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radip Beriwal\Desktop\Reserach @ 2016\Polished\FMCG &amp; Durables\"/>
    </mc:Choice>
  </mc:AlternateContent>
  <bookViews>
    <workbookView xWindow="0" yWindow="0" windowWidth="15360" windowHeight="7650" tabRatio="877" activeTab="10"/>
  </bookViews>
  <sheets>
    <sheet name="Dashboard" sheetId="1" r:id="rId1"/>
    <sheet name="Scorecard" sheetId="18" r:id="rId2"/>
    <sheet name="Analysis" sheetId="19" r:id="rId3"/>
    <sheet name="Valuation" sheetId="11" r:id="rId4"/>
    <sheet name="Dupont" sheetId="16" r:id="rId5"/>
    <sheet name="Piotroski" sheetId="14" r:id="rId6"/>
    <sheet name="Altman" sheetId="15" r:id="rId7"/>
    <sheet name="MICAP" sheetId="17" state="hidden" r:id="rId8"/>
    <sheet name="Polished Data" sheetId="20" r:id="rId9"/>
    <sheet name="Quantitative" sheetId="21" r:id="rId10"/>
    <sheet name="Qualitative" sheetId="24" r:id="rId11"/>
  </sheets>
  <externalReferences>
    <externalReference r:id="rId1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ividend">'Polished Data'!$H$76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UPDATE">Quantitative!$E$1</definedName>
  </definedNames>
  <calcPr calcId="152511"/>
</workbook>
</file>

<file path=xl/calcChain.xml><?xml version="1.0" encoding="utf-8"?>
<calcChain xmlns="http://schemas.openxmlformats.org/spreadsheetml/2006/main">
  <c r="D5" i="24" l="1"/>
  <c r="L12" i="18" l="1"/>
  <c r="H5" i="18" l="1"/>
  <c r="L5" i="18" s="1"/>
  <c r="G17" i="11" l="1"/>
  <c r="B9" i="11"/>
  <c r="F17" i="11" s="1"/>
  <c r="B39" i="20"/>
  <c r="H17" i="11" l="1"/>
  <c r="I17" i="11"/>
  <c r="E17" i="11"/>
  <c r="J17" i="11"/>
  <c r="B8" i="11"/>
  <c r="K93" i="21"/>
  <c r="J93" i="21"/>
  <c r="I93" i="21"/>
  <c r="H93" i="21"/>
  <c r="G93" i="21"/>
  <c r="F93" i="21"/>
  <c r="E93" i="21"/>
  <c r="D93" i="21"/>
  <c r="C93" i="21"/>
  <c r="B93" i="21"/>
  <c r="B6" i="21"/>
  <c r="E1" i="21"/>
  <c r="K6" i="1" l="1"/>
  <c r="K7" i="1"/>
  <c r="B5" i="1"/>
  <c r="A1" i="20"/>
  <c r="B11" i="1"/>
  <c r="B8" i="1"/>
  <c r="M13" i="19"/>
  <c r="H16" i="19"/>
  <c r="G16" i="19"/>
  <c r="F16" i="19"/>
  <c r="E16" i="19"/>
  <c r="D16" i="19"/>
  <c r="B4" i="1"/>
  <c r="B3" i="1"/>
  <c r="L34" i="18"/>
  <c r="L30" i="18"/>
  <c r="L31" i="18"/>
  <c r="L32" i="18"/>
  <c r="L29" i="18"/>
  <c r="L27" i="18"/>
  <c r="L23" i="18"/>
  <c r="L24" i="18"/>
  <c r="L25" i="18"/>
  <c r="L22" i="18"/>
  <c r="L18" i="18"/>
  <c r="L19" i="18"/>
  <c r="L20" i="18"/>
  <c r="L17" i="18"/>
  <c r="B24" i="11"/>
  <c r="L28" i="18" l="1"/>
  <c r="K28" i="18"/>
  <c r="D72" i="20" l="1"/>
  <c r="E72" i="20"/>
  <c r="F72" i="20"/>
  <c r="G72" i="20"/>
  <c r="H72" i="20"/>
  <c r="I72" i="20"/>
  <c r="J72" i="20"/>
  <c r="K72" i="20"/>
  <c r="L72" i="20"/>
  <c r="C72" i="20"/>
  <c r="C25" i="20"/>
  <c r="D25" i="20"/>
  <c r="E25" i="20"/>
  <c r="F25" i="20"/>
  <c r="G25" i="20"/>
  <c r="H25" i="20"/>
  <c r="I25" i="20"/>
  <c r="J25" i="20"/>
  <c r="K25" i="20"/>
  <c r="L25" i="20"/>
  <c r="L73" i="20"/>
  <c r="K73" i="20"/>
  <c r="F12" i="11" s="1"/>
  <c r="J73" i="20"/>
  <c r="G12" i="11" s="1"/>
  <c r="I75" i="20"/>
  <c r="H10" i="11" s="1"/>
  <c r="H73" i="20"/>
  <c r="I12" i="11" s="1"/>
  <c r="G73" i="20"/>
  <c r="J12" i="11" s="1"/>
  <c r="F73" i="20"/>
  <c r="E75" i="20"/>
  <c r="D73" i="20"/>
  <c r="C75" i="20"/>
  <c r="H76" i="20"/>
  <c r="D76" i="20"/>
  <c r="H74" i="20"/>
  <c r="I9" i="11" s="1"/>
  <c r="D74" i="20"/>
  <c r="L65" i="20"/>
  <c r="K65" i="20"/>
  <c r="J65" i="20"/>
  <c r="I65" i="20"/>
  <c r="H65" i="20"/>
  <c r="G65" i="20"/>
  <c r="F65" i="20"/>
  <c r="E65" i="20"/>
  <c r="D65" i="20"/>
  <c r="C65" i="20"/>
  <c r="L64" i="20"/>
  <c r="K64" i="20"/>
  <c r="J64" i="20"/>
  <c r="I64" i="20"/>
  <c r="H64" i="20"/>
  <c r="G64" i="20"/>
  <c r="F64" i="20"/>
  <c r="E64" i="20"/>
  <c r="D64" i="20"/>
  <c r="C64" i="20"/>
  <c r="K62" i="20"/>
  <c r="J62" i="20"/>
  <c r="E9" i="14" s="1"/>
  <c r="I62" i="20"/>
  <c r="F9" i="14" s="1"/>
  <c r="H62" i="20"/>
  <c r="G62" i="20"/>
  <c r="F62" i="20"/>
  <c r="E62" i="20"/>
  <c r="D62" i="20"/>
  <c r="C62" i="20"/>
  <c r="L60" i="20"/>
  <c r="C6" i="15" s="1"/>
  <c r="K60" i="20"/>
  <c r="J60" i="20"/>
  <c r="I60" i="20"/>
  <c r="H60" i="20"/>
  <c r="G60" i="20"/>
  <c r="F60" i="20"/>
  <c r="E60" i="20"/>
  <c r="D60" i="20"/>
  <c r="C60" i="20"/>
  <c r="L59" i="20"/>
  <c r="K59" i="20"/>
  <c r="J59" i="20"/>
  <c r="I59" i="20"/>
  <c r="H59" i="20"/>
  <c r="G59" i="20"/>
  <c r="F59" i="20"/>
  <c r="E59" i="20"/>
  <c r="D59" i="20"/>
  <c r="C59" i="20"/>
  <c r="L55" i="20"/>
  <c r="L8" i="20" s="1"/>
  <c r="C22" i="20" s="1"/>
  <c r="K55" i="20"/>
  <c r="K8" i="20" s="1"/>
  <c r="J55" i="20"/>
  <c r="J8" i="20" s="1"/>
  <c r="I55" i="20"/>
  <c r="I8" i="20" s="1"/>
  <c r="H55" i="20"/>
  <c r="G55" i="20"/>
  <c r="G8" i="20" s="1"/>
  <c r="F55" i="20"/>
  <c r="F8" i="20" s="1"/>
  <c r="E55" i="20"/>
  <c r="E8" i="20" s="1"/>
  <c r="D55" i="20"/>
  <c r="D8" i="20" s="1"/>
  <c r="C55" i="20"/>
  <c r="C8" i="20" s="1"/>
  <c r="L54" i="20"/>
  <c r="L6" i="20" s="1"/>
  <c r="K54" i="20"/>
  <c r="K6" i="20" s="1"/>
  <c r="J54" i="20"/>
  <c r="J6" i="20" s="1"/>
  <c r="I54" i="20"/>
  <c r="I6" i="20" s="1"/>
  <c r="H54" i="20"/>
  <c r="H6" i="20" s="1"/>
  <c r="G54" i="20"/>
  <c r="G6" i="20" s="1"/>
  <c r="F54" i="20"/>
  <c r="F6" i="20" s="1"/>
  <c r="E54" i="20"/>
  <c r="E6" i="20" s="1"/>
  <c r="D54" i="20"/>
  <c r="D6" i="20" s="1"/>
  <c r="C54" i="20"/>
  <c r="C6" i="20" s="1"/>
  <c r="L53" i="20"/>
  <c r="L7" i="20" s="1"/>
  <c r="K53" i="20"/>
  <c r="K7" i="20" s="1"/>
  <c r="J53" i="20"/>
  <c r="J7" i="20" s="1"/>
  <c r="I53" i="20"/>
  <c r="I7" i="20" s="1"/>
  <c r="H53" i="20"/>
  <c r="H7" i="20" s="1"/>
  <c r="G53" i="20"/>
  <c r="G7" i="20" s="1"/>
  <c r="F53" i="20"/>
  <c r="F7" i="20" s="1"/>
  <c r="E53" i="20"/>
  <c r="E7" i="20" s="1"/>
  <c r="D53" i="20"/>
  <c r="D7" i="20" s="1"/>
  <c r="C53" i="20"/>
  <c r="L52" i="20"/>
  <c r="C5" i="15" s="1"/>
  <c r="K52" i="20"/>
  <c r="J52" i="20"/>
  <c r="I52" i="20"/>
  <c r="H52" i="20"/>
  <c r="G52" i="20"/>
  <c r="F52" i="20"/>
  <c r="E52" i="20"/>
  <c r="D52" i="20"/>
  <c r="C52" i="20"/>
  <c r="L51" i="20"/>
  <c r="K51" i="20"/>
  <c r="J51" i="20"/>
  <c r="I51" i="20"/>
  <c r="H51" i="20"/>
  <c r="G51" i="20"/>
  <c r="F51" i="20"/>
  <c r="E51" i="20"/>
  <c r="D51" i="20"/>
  <c r="C51" i="20"/>
  <c r="L50" i="20"/>
  <c r="K50" i="20"/>
  <c r="J50" i="20"/>
  <c r="I50" i="20"/>
  <c r="H50" i="20"/>
  <c r="G50" i="20"/>
  <c r="F50" i="20"/>
  <c r="E50" i="20"/>
  <c r="D50" i="20"/>
  <c r="C50" i="20"/>
  <c r="L49" i="20"/>
  <c r="K49" i="20"/>
  <c r="J49" i="20"/>
  <c r="I49" i="20"/>
  <c r="H49" i="20"/>
  <c r="G49" i="20"/>
  <c r="F49" i="20"/>
  <c r="E49" i="20"/>
  <c r="D49" i="20"/>
  <c r="C49" i="20"/>
  <c r="L48" i="20"/>
  <c r="L10" i="20" s="1"/>
  <c r="K48" i="20"/>
  <c r="K10" i="20" s="1"/>
  <c r="J48" i="20"/>
  <c r="J10" i="20" s="1"/>
  <c r="I48" i="20"/>
  <c r="I10" i="20" s="1"/>
  <c r="H48" i="20"/>
  <c r="H10" i="20" s="1"/>
  <c r="G48" i="20"/>
  <c r="G10" i="20" s="1"/>
  <c r="F48" i="20"/>
  <c r="F10" i="20" s="1"/>
  <c r="E48" i="20"/>
  <c r="E10" i="20" s="1"/>
  <c r="D48" i="20"/>
  <c r="D10" i="20" s="1"/>
  <c r="C48" i="20"/>
  <c r="C10" i="20" s="1"/>
  <c r="L47" i="20"/>
  <c r="L9" i="20" s="1"/>
  <c r="K47" i="20"/>
  <c r="K9" i="20" s="1"/>
  <c r="J47" i="20"/>
  <c r="J9" i="20" s="1"/>
  <c r="I47" i="20"/>
  <c r="I9" i="20" s="1"/>
  <c r="H47" i="20"/>
  <c r="H9" i="20" s="1"/>
  <c r="G47" i="20"/>
  <c r="G9" i="20" s="1"/>
  <c r="F47" i="20"/>
  <c r="F9" i="20" s="1"/>
  <c r="E47" i="20"/>
  <c r="E9" i="20" s="1"/>
  <c r="D47" i="20"/>
  <c r="D9" i="20" s="1"/>
  <c r="C47" i="20"/>
  <c r="C9" i="20" s="1"/>
  <c r="L46" i="20"/>
  <c r="K46" i="20"/>
  <c r="J46" i="20"/>
  <c r="I46" i="20"/>
  <c r="H46" i="20"/>
  <c r="G46" i="20"/>
  <c r="F46" i="20"/>
  <c r="E46" i="20"/>
  <c r="D46" i="20"/>
  <c r="C46" i="20"/>
  <c r="L45" i="20"/>
  <c r="C5" i="14" s="1"/>
  <c r="K45" i="20"/>
  <c r="D5" i="14" s="1"/>
  <c r="J45" i="20"/>
  <c r="E5" i="14" s="1"/>
  <c r="I45" i="20"/>
  <c r="F5" i="14" s="1"/>
  <c r="H45" i="20"/>
  <c r="G5" i="14" s="1"/>
  <c r="G45" i="20"/>
  <c r="F45" i="20"/>
  <c r="E45" i="20"/>
  <c r="D45" i="20"/>
  <c r="C45" i="20"/>
  <c r="L41" i="20"/>
  <c r="C8" i="15" s="1"/>
  <c r="K41" i="20"/>
  <c r="J41" i="20"/>
  <c r="I41" i="20"/>
  <c r="H41" i="20"/>
  <c r="G41" i="20"/>
  <c r="F41" i="20"/>
  <c r="E41" i="20"/>
  <c r="D41" i="20"/>
  <c r="C41" i="20"/>
  <c r="L40" i="20"/>
  <c r="K40" i="20"/>
  <c r="D10" i="14" s="1"/>
  <c r="J40" i="20"/>
  <c r="E10" i="14" s="1"/>
  <c r="I40" i="20"/>
  <c r="F10" i="14" s="1"/>
  <c r="H40" i="20"/>
  <c r="G10" i="14" s="1"/>
  <c r="G40" i="20"/>
  <c r="F40" i="20"/>
  <c r="E40" i="20"/>
  <c r="D40" i="20"/>
  <c r="C40" i="20"/>
  <c r="B38" i="20"/>
  <c r="L37" i="20"/>
  <c r="H37" i="20"/>
  <c r="D37" i="20"/>
  <c r="L36" i="20"/>
  <c r="K36" i="20"/>
  <c r="J36" i="20"/>
  <c r="I36" i="20"/>
  <c r="H36" i="20"/>
  <c r="G36" i="20"/>
  <c r="F36" i="20"/>
  <c r="E36" i="20"/>
  <c r="D36" i="20"/>
  <c r="C36" i="20"/>
  <c r="L34" i="20"/>
  <c r="K34" i="20"/>
  <c r="J34" i="20"/>
  <c r="I34" i="20"/>
  <c r="H34" i="20"/>
  <c r="G34" i="20"/>
  <c r="F34" i="20"/>
  <c r="E34" i="20"/>
  <c r="D34" i="20"/>
  <c r="C34" i="20"/>
  <c r="L32" i="20"/>
  <c r="K32" i="20"/>
  <c r="J32" i="20"/>
  <c r="I32" i="20"/>
  <c r="H32" i="20"/>
  <c r="G32" i="20"/>
  <c r="F32" i="20"/>
  <c r="E32" i="20"/>
  <c r="D32" i="20"/>
  <c r="C32" i="20"/>
  <c r="L30" i="20"/>
  <c r="K30" i="20"/>
  <c r="J30" i="20"/>
  <c r="I30" i="20"/>
  <c r="H30" i="20"/>
  <c r="G30" i="20"/>
  <c r="F30" i="20"/>
  <c r="E30" i="20"/>
  <c r="D30" i="20"/>
  <c r="C30" i="20"/>
  <c r="L29" i="20"/>
  <c r="K29" i="20"/>
  <c r="J29" i="20"/>
  <c r="I29" i="20"/>
  <c r="H29" i="20"/>
  <c r="G29" i="20"/>
  <c r="F29" i="20"/>
  <c r="E29" i="20"/>
  <c r="D29" i="20"/>
  <c r="C29" i="20"/>
  <c r="A27" i="20"/>
  <c r="L26" i="20"/>
  <c r="K26" i="20"/>
  <c r="J26" i="20"/>
  <c r="I26" i="20"/>
  <c r="H26" i="20"/>
  <c r="G26" i="20"/>
  <c r="F26" i="20"/>
  <c r="E26" i="20"/>
  <c r="D26" i="20"/>
  <c r="C26" i="20"/>
  <c r="A24" i="20"/>
  <c r="L21" i="20"/>
  <c r="K21" i="20"/>
  <c r="J21" i="20"/>
  <c r="I21" i="20"/>
  <c r="H21" i="20"/>
  <c r="G21" i="20"/>
  <c r="F21" i="20"/>
  <c r="E21" i="20"/>
  <c r="D21" i="20"/>
  <c r="C21" i="20"/>
  <c r="L20" i="20"/>
  <c r="K20" i="20"/>
  <c r="J20" i="20"/>
  <c r="I20" i="20"/>
  <c r="H20" i="20"/>
  <c r="G20" i="20"/>
  <c r="F20" i="20"/>
  <c r="E20" i="20"/>
  <c r="D20" i="20"/>
  <c r="C20" i="20"/>
  <c r="L17" i="20"/>
  <c r="K17" i="20"/>
  <c r="J17" i="20"/>
  <c r="I17" i="20"/>
  <c r="H17" i="20"/>
  <c r="G17" i="20"/>
  <c r="F17" i="20"/>
  <c r="E17" i="20"/>
  <c r="D17" i="20"/>
  <c r="C17" i="20"/>
  <c r="L16" i="20"/>
  <c r="K16" i="20"/>
  <c r="J16" i="20"/>
  <c r="I16" i="20"/>
  <c r="H16" i="20"/>
  <c r="G16" i="20"/>
  <c r="F16" i="20"/>
  <c r="E16" i="20"/>
  <c r="D16" i="20"/>
  <c r="C16" i="20"/>
  <c r="L15" i="20"/>
  <c r="L27" i="20" s="1"/>
  <c r="K15" i="20"/>
  <c r="K27" i="20" s="1"/>
  <c r="J15" i="20"/>
  <c r="J27" i="20" s="1"/>
  <c r="I15" i="20"/>
  <c r="I27" i="20" s="1"/>
  <c r="H15" i="20"/>
  <c r="H27" i="20" s="1"/>
  <c r="G15" i="20"/>
  <c r="G27" i="20" s="1"/>
  <c r="F15" i="20"/>
  <c r="F27" i="20" s="1"/>
  <c r="E15" i="20"/>
  <c r="E27" i="20" s="1"/>
  <c r="D15" i="20"/>
  <c r="D27" i="20" s="1"/>
  <c r="C15" i="20"/>
  <c r="C27" i="20" s="1"/>
  <c r="C7" i="20"/>
  <c r="L4" i="20"/>
  <c r="L14" i="20" s="1"/>
  <c r="L24" i="20" s="1"/>
  <c r="K4" i="20"/>
  <c r="K14" i="20" s="1"/>
  <c r="K24" i="20" s="1"/>
  <c r="J4" i="20"/>
  <c r="J14" i="20" s="1"/>
  <c r="J24" i="20" s="1"/>
  <c r="I4" i="20"/>
  <c r="I14" i="20" s="1"/>
  <c r="I24" i="20" s="1"/>
  <c r="H4" i="20"/>
  <c r="H14" i="20" s="1"/>
  <c r="H24" i="20" s="1"/>
  <c r="G4" i="20"/>
  <c r="G14" i="20" s="1"/>
  <c r="G24" i="20" s="1"/>
  <c r="F4" i="20"/>
  <c r="F14" i="20" s="1"/>
  <c r="F24" i="20" s="1"/>
  <c r="E4" i="20"/>
  <c r="E14" i="20" s="1"/>
  <c r="E24" i="20" s="1"/>
  <c r="D4" i="20"/>
  <c r="D14" i="20" s="1"/>
  <c r="D24" i="20" s="1"/>
  <c r="C4" i="20"/>
  <c r="C14" i="20" s="1"/>
  <c r="C24" i="20" s="1"/>
  <c r="A4" i="20"/>
  <c r="K4" i="19"/>
  <c r="K3" i="19"/>
  <c r="L33" i="18"/>
  <c r="C9" i="18" s="1"/>
  <c r="K33" i="18"/>
  <c r="B8" i="18"/>
  <c r="H27" i="18"/>
  <c r="H26" i="18"/>
  <c r="L26" i="18" s="1"/>
  <c r="L21" i="18" s="1"/>
  <c r="C7" i="18" s="1"/>
  <c r="K21" i="18"/>
  <c r="L16" i="18"/>
  <c r="C6" i="18" s="1"/>
  <c r="K16" i="18"/>
  <c r="H12" i="18"/>
  <c r="B9" i="18"/>
  <c r="C8" i="18"/>
  <c r="H7" i="18"/>
  <c r="L7" i="18" s="1"/>
  <c r="B7" i="18"/>
  <c r="B6" i="18"/>
  <c r="K3" i="18"/>
  <c r="B5" i="18" s="1"/>
  <c r="B7" i="1" l="1"/>
  <c r="F7" i="15"/>
  <c r="C10" i="15"/>
  <c r="N12" i="19"/>
  <c r="E90" i="20"/>
  <c r="I90" i="20"/>
  <c r="D58" i="20"/>
  <c r="C6" i="14"/>
  <c r="D90" i="20"/>
  <c r="H90" i="20"/>
  <c r="G76" i="20"/>
  <c r="G77" i="20" s="1"/>
  <c r="F4" i="16"/>
  <c r="C5" i="16"/>
  <c r="F90" i="20"/>
  <c r="J90" i="20"/>
  <c r="C4" i="16"/>
  <c r="C37" i="20"/>
  <c r="C83" i="20" s="1"/>
  <c r="K37" i="20"/>
  <c r="K82" i="20" s="1"/>
  <c r="D6" i="14"/>
  <c r="D5" i="16"/>
  <c r="C74" i="20"/>
  <c r="K74" i="20"/>
  <c r="F9" i="11" s="1"/>
  <c r="G5" i="16"/>
  <c r="G6" i="14"/>
  <c r="E5" i="16"/>
  <c r="C76" i="20"/>
  <c r="K76" i="20"/>
  <c r="K77" i="20" s="1"/>
  <c r="H75" i="20"/>
  <c r="I10" i="11" s="1"/>
  <c r="E11" i="14"/>
  <c r="C7" i="15"/>
  <c r="G4" i="16"/>
  <c r="E13" i="19"/>
  <c r="H9" i="18" s="1"/>
  <c r="L9" i="18" s="1"/>
  <c r="G37" i="20"/>
  <c r="G81" i="20" s="1"/>
  <c r="F5" i="16"/>
  <c r="G74" i="20"/>
  <c r="J9" i="11" s="1"/>
  <c r="D77" i="20"/>
  <c r="D4" i="16"/>
  <c r="F11" i="14"/>
  <c r="B6" i="1"/>
  <c r="F6" i="14"/>
  <c r="E6" i="14"/>
  <c r="J23" i="20"/>
  <c r="J63" i="20" s="1"/>
  <c r="C10" i="14"/>
  <c r="C20" i="14" s="1"/>
  <c r="D22" i="16"/>
  <c r="E4" i="16"/>
  <c r="E74" i="20"/>
  <c r="I37" i="20"/>
  <c r="I83" i="20" s="1"/>
  <c r="E37" i="20"/>
  <c r="E83" i="20" s="1"/>
  <c r="I76" i="20"/>
  <c r="I77" i="20" s="1"/>
  <c r="I74" i="20"/>
  <c r="H9" i="11" s="1"/>
  <c r="E76" i="20"/>
  <c r="E77" i="20" s="1"/>
  <c r="D75" i="20"/>
  <c r="C73" i="20"/>
  <c r="J12" i="19" s="1"/>
  <c r="F37" i="20"/>
  <c r="F83" i="20" s="1"/>
  <c r="J37" i="20"/>
  <c r="J81" i="20" s="1"/>
  <c r="F74" i="20"/>
  <c r="J74" i="20"/>
  <c r="G9" i="11" s="1"/>
  <c r="I73" i="20"/>
  <c r="H12" i="11" s="1"/>
  <c r="L75" i="20"/>
  <c r="E10" i="11" s="1"/>
  <c r="E73" i="20"/>
  <c r="E12" i="11"/>
  <c r="K12" i="11" s="1"/>
  <c r="J13" i="19"/>
  <c r="F76" i="20"/>
  <c r="F77" i="20" s="1"/>
  <c r="J76" i="20"/>
  <c r="K75" i="20"/>
  <c r="F10" i="11" s="1"/>
  <c r="G75" i="20"/>
  <c r="J10" i="11" s="1"/>
  <c r="J75" i="20"/>
  <c r="G10" i="11" s="1"/>
  <c r="F75" i="20"/>
  <c r="H77" i="20"/>
  <c r="I8" i="11"/>
  <c r="B4" i="18"/>
  <c r="C18" i="14"/>
  <c r="E12" i="19"/>
  <c r="G7" i="14"/>
  <c r="C7" i="14"/>
  <c r="B11" i="11"/>
  <c r="G11" i="14"/>
  <c r="F23" i="20"/>
  <c r="C11" i="14"/>
  <c r="E42" i="20"/>
  <c r="E57" i="20" s="1"/>
  <c r="I42" i="20"/>
  <c r="F58" i="20"/>
  <c r="J58" i="20"/>
  <c r="D11" i="14"/>
  <c r="H4" i="19"/>
  <c r="G13" i="19"/>
  <c r="E4" i="19"/>
  <c r="I31" i="20"/>
  <c r="I88" i="20" s="1"/>
  <c r="D86" i="20"/>
  <c r="C11" i="15"/>
  <c r="G4" i="19"/>
  <c r="F31" i="20"/>
  <c r="F88" i="20" s="1"/>
  <c r="J31" i="20"/>
  <c r="J33" i="20" s="1"/>
  <c r="J35" i="20" s="1"/>
  <c r="E3" i="16" s="1"/>
  <c r="D89" i="20"/>
  <c r="H89" i="20"/>
  <c r="L89" i="20"/>
  <c r="N13" i="19"/>
  <c r="D11" i="20"/>
  <c r="L11" i="20"/>
  <c r="E11" i="20"/>
  <c r="D23" i="20"/>
  <c r="D63" i="20" s="1"/>
  <c r="D80" i="20" s="1"/>
  <c r="H23" i="20"/>
  <c r="H63" i="20" s="1"/>
  <c r="L23" i="20"/>
  <c r="E23" i="20"/>
  <c r="E63" i="20" s="1"/>
  <c r="I23" i="20"/>
  <c r="I63" i="20" s="1"/>
  <c r="E86" i="20"/>
  <c r="I86" i="20"/>
  <c r="H3" i="19"/>
  <c r="I3" i="19"/>
  <c r="C9" i="15"/>
  <c r="E31" i="20"/>
  <c r="E88" i="20" s="1"/>
  <c r="H86" i="20"/>
  <c r="D7" i="14"/>
  <c r="H11" i="20"/>
  <c r="J3" i="19"/>
  <c r="F13" i="19"/>
  <c r="E3" i="19"/>
  <c r="G12" i="19"/>
  <c r="C11" i="20"/>
  <c r="G11" i="20"/>
  <c r="K11" i="20"/>
  <c r="F42" i="20"/>
  <c r="F57" i="20" s="1"/>
  <c r="J42" i="20"/>
  <c r="J57" i="20" s="1"/>
  <c r="C58" i="20"/>
  <c r="G58" i="20"/>
  <c r="K58" i="20"/>
  <c r="F12" i="19"/>
  <c r="G3" i="19"/>
  <c r="H58" i="20"/>
  <c r="E7" i="14"/>
  <c r="I11" i="20"/>
  <c r="F7" i="14"/>
  <c r="I4" i="19"/>
  <c r="H8" i="20"/>
  <c r="H82" i="20" s="1"/>
  <c r="G23" i="20"/>
  <c r="G63" i="20" s="1"/>
  <c r="G80" i="20" s="1"/>
  <c r="K23" i="20"/>
  <c r="K63" i="20" s="1"/>
  <c r="K80" i="20" s="1"/>
  <c r="C28" i="20"/>
  <c r="G28" i="20"/>
  <c r="K28" i="20"/>
  <c r="C31" i="20"/>
  <c r="C88" i="20" s="1"/>
  <c r="G31" i="20"/>
  <c r="G33" i="20" s="1"/>
  <c r="G35" i="20" s="1"/>
  <c r="G70" i="20" s="1"/>
  <c r="G87" i="20" s="1"/>
  <c r="K31" i="20"/>
  <c r="K33" i="20" s="1"/>
  <c r="K35" i="20" s="1"/>
  <c r="F3" i="16" s="1"/>
  <c r="F86" i="20"/>
  <c r="J86" i="20"/>
  <c r="J4" i="19"/>
  <c r="H14" i="18" s="1"/>
  <c r="L14" i="18" s="1"/>
  <c r="F11" i="20"/>
  <c r="J11" i="20"/>
  <c r="D31" i="20"/>
  <c r="D33" i="20" s="1"/>
  <c r="H31" i="20"/>
  <c r="H88" i="20" s="1"/>
  <c r="L31" i="20"/>
  <c r="L33" i="20" s="1"/>
  <c r="L35" i="20" s="1"/>
  <c r="D83" i="20"/>
  <c r="H83" i="20"/>
  <c r="L83" i="20"/>
  <c r="C42" i="20"/>
  <c r="C57" i="20" s="1"/>
  <c r="G42" i="20"/>
  <c r="G57" i="20" s="1"/>
  <c r="K42" i="20"/>
  <c r="K57" i="20" s="1"/>
  <c r="L58" i="20"/>
  <c r="C86" i="20"/>
  <c r="G86" i="20"/>
  <c r="K86" i="20"/>
  <c r="G9" i="14"/>
  <c r="C81" i="20"/>
  <c r="D42" i="20"/>
  <c r="D57" i="20" s="1"/>
  <c r="H42" i="20"/>
  <c r="H57" i="20" s="1"/>
  <c r="L42" i="20"/>
  <c r="L57" i="20" s="1"/>
  <c r="E58" i="20"/>
  <c r="I58" i="20"/>
  <c r="F63" i="20"/>
  <c r="D9" i="14"/>
  <c r="L28" i="20"/>
  <c r="L76" i="20"/>
  <c r="L74" i="20"/>
  <c r="E9" i="11" s="1"/>
  <c r="D28" i="20"/>
  <c r="H28" i="20"/>
  <c r="D69" i="20"/>
  <c r="H69" i="20"/>
  <c r="L69" i="20"/>
  <c r="D79" i="20"/>
  <c r="H79" i="20"/>
  <c r="D81" i="20"/>
  <c r="H81" i="20"/>
  <c r="L81" i="20"/>
  <c r="C90" i="20"/>
  <c r="G90" i="20"/>
  <c r="K90" i="20"/>
  <c r="L62" i="20"/>
  <c r="C9" i="14" s="1"/>
  <c r="E28" i="20"/>
  <c r="I28" i="20"/>
  <c r="C82" i="20"/>
  <c r="G82" i="20"/>
  <c r="G84" i="20"/>
  <c r="F28" i="20"/>
  <c r="J28" i="20"/>
  <c r="D82" i="20"/>
  <c r="L82" i="20"/>
  <c r="D84" i="20"/>
  <c r="L84" i="20"/>
  <c r="C79" i="20"/>
  <c r="E69" i="20" l="1"/>
  <c r="C19" i="14"/>
  <c r="F33" i="20"/>
  <c r="F35" i="20" s="1"/>
  <c r="F70" i="20" s="1"/>
  <c r="F87" i="20" s="1"/>
  <c r="K84" i="20"/>
  <c r="I79" i="20"/>
  <c r="L78" i="20"/>
  <c r="E82" i="20"/>
  <c r="E81" i="20"/>
  <c r="G88" i="20"/>
  <c r="H84" i="20"/>
  <c r="E33" i="20"/>
  <c r="E35" i="20" s="1"/>
  <c r="E70" i="20" s="1"/>
  <c r="E87" i="20" s="1"/>
  <c r="E84" i="20"/>
  <c r="E78" i="20"/>
  <c r="E79" i="20"/>
  <c r="E89" i="20"/>
  <c r="E80" i="20"/>
  <c r="K89" i="20"/>
  <c r="K79" i="20"/>
  <c r="K69" i="20"/>
  <c r="G89" i="20"/>
  <c r="C84" i="20"/>
  <c r="K81" i="20"/>
  <c r="G83" i="20"/>
  <c r="K83" i="20"/>
  <c r="G79" i="20"/>
  <c r="G69" i="20"/>
  <c r="C89" i="20"/>
  <c r="F8" i="11"/>
  <c r="J84" i="20"/>
  <c r="I84" i="20"/>
  <c r="I80" i="20"/>
  <c r="J83" i="20"/>
  <c r="H33" i="20"/>
  <c r="H35" i="20" s="1"/>
  <c r="C3" i="16" s="1"/>
  <c r="I81" i="20"/>
  <c r="I69" i="20"/>
  <c r="I89" i="20"/>
  <c r="I82" i="20"/>
  <c r="J89" i="20"/>
  <c r="B5" i="19"/>
  <c r="C33" i="20"/>
  <c r="C35" i="20" s="1"/>
  <c r="C70" i="20" s="1"/>
  <c r="C87" i="20" s="1"/>
  <c r="I78" i="20"/>
  <c r="H11" i="11" s="1"/>
  <c r="F69" i="20"/>
  <c r="F80" i="20"/>
  <c r="H80" i="20"/>
  <c r="F82" i="20"/>
  <c r="H8" i="11"/>
  <c r="F78" i="20"/>
  <c r="F79" i="20"/>
  <c r="F89" i="20"/>
  <c r="F84" i="20"/>
  <c r="F81" i="20"/>
  <c r="K10" i="11"/>
  <c r="J69" i="20"/>
  <c r="J82" i="20"/>
  <c r="J80" i="20"/>
  <c r="B3" i="19"/>
  <c r="J79" i="20"/>
  <c r="B10" i="11"/>
  <c r="E8" i="11"/>
  <c r="B4" i="19"/>
  <c r="E11" i="11"/>
  <c r="C4" i="19"/>
  <c r="J77" i="20"/>
  <c r="G8" i="11"/>
  <c r="C21" i="14"/>
  <c r="L66" i="20"/>
  <c r="L67" i="20" s="1"/>
  <c r="K78" i="20"/>
  <c r="F11" i="11" s="1"/>
  <c r="J88" i="20"/>
  <c r="C22" i="14"/>
  <c r="I57" i="20"/>
  <c r="H78" i="20"/>
  <c r="D78" i="20"/>
  <c r="I33" i="20"/>
  <c r="I35" i="20" s="1"/>
  <c r="D3" i="16" s="1"/>
  <c r="K88" i="20"/>
  <c r="J78" i="20"/>
  <c r="G11" i="11" s="1"/>
  <c r="G3" i="16"/>
  <c r="G4" i="14"/>
  <c r="G78" i="20"/>
  <c r="O12" i="19"/>
  <c r="C4" i="14"/>
  <c r="C8" i="14"/>
  <c r="C14" i="14" s="1"/>
  <c r="J70" i="20"/>
  <c r="J87" i="20" s="1"/>
  <c r="E8" i="14"/>
  <c r="E4" i="14"/>
  <c r="K70" i="20"/>
  <c r="K87" i="20" s="1"/>
  <c r="D8" i="14"/>
  <c r="D4" i="14"/>
  <c r="O13" i="19"/>
  <c r="D35" i="20"/>
  <c r="D70" i="20" s="1"/>
  <c r="D87" i="20" s="1"/>
  <c r="D66" i="20"/>
  <c r="D67" i="20" s="1"/>
  <c r="L77" i="20"/>
  <c r="D88" i="20"/>
  <c r="C78" i="20"/>
  <c r="H70" i="20"/>
  <c r="H87" i="20" s="1"/>
  <c r="K13" i="19"/>
  <c r="L63" i="20"/>
  <c r="M9" i="19" s="1"/>
  <c r="K12" i="19"/>
  <c r="J9" i="19"/>
  <c r="F9" i="19"/>
  <c r="L8" i="19"/>
  <c r="K9" i="19"/>
  <c r="G9" i="19"/>
  <c r="E8" i="19"/>
  <c r="I9" i="19"/>
  <c r="E9" i="19"/>
  <c r="H15" i="18" s="1"/>
  <c r="L15" i="18" s="1"/>
  <c r="K8" i="19"/>
  <c r="G8" i="19"/>
  <c r="I8" i="19"/>
  <c r="L9" i="19"/>
  <c r="H9" i="19"/>
  <c r="J8" i="19"/>
  <c r="F8" i="19"/>
  <c r="K66" i="20"/>
  <c r="K67" i="20" s="1"/>
  <c r="L70" i="20"/>
  <c r="N4" i="19"/>
  <c r="H13" i="19"/>
  <c r="H19" i="18" s="1"/>
  <c r="L4" i="19"/>
  <c r="H13" i="18" s="1"/>
  <c r="L13" i="18" s="1"/>
  <c r="O4" i="19"/>
  <c r="F4" i="19"/>
  <c r="M4" i="19"/>
  <c r="B12" i="11" s="1"/>
  <c r="J66" i="20"/>
  <c r="J67" i="20" s="1"/>
  <c r="L79" i="20"/>
  <c r="I13" i="19"/>
  <c r="H6" i="18" s="1"/>
  <c r="L6" i="18" s="1"/>
  <c r="I12" i="19"/>
  <c r="H8" i="18" s="1"/>
  <c r="L8" i="18" s="1"/>
  <c r="G66" i="20"/>
  <c r="G67" i="20" s="1"/>
  <c r="H66" i="20" l="1"/>
  <c r="H67" i="20" s="1"/>
  <c r="I70" i="20"/>
  <c r="I87" i="20" s="1"/>
  <c r="B21" i="11"/>
  <c r="B25" i="11" s="1"/>
  <c r="G8" i="14"/>
  <c r="M3" i="19"/>
  <c r="B19" i="11" s="1"/>
  <c r="D20" i="16"/>
  <c r="F66" i="20"/>
  <c r="F67" i="20" s="1"/>
  <c r="L3" i="19"/>
  <c r="E66" i="20"/>
  <c r="E67" i="20" s="1"/>
  <c r="H8" i="19"/>
  <c r="H11" i="18" s="1"/>
  <c r="L11" i="18" s="1"/>
  <c r="F3" i="19"/>
  <c r="H10" i="18" s="1"/>
  <c r="L10" i="18" s="1"/>
  <c r="I66" i="20"/>
  <c r="I67" i="20" s="1"/>
  <c r="N3" i="19"/>
  <c r="O3" i="19"/>
  <c r="F8" i="14"/>
  <c r="H12" i="19"/>
  <c r="C66" i="20"/>
  <c r="C67" i="20" s="1"/>
  <c r="M8" i="19"/>
  <c r="H34" i="18" s="1"/>
  <c r="C16" i="14"/>
  <c r="F4" i="14"/>
  <c r="I11" i="11"/>
  <c r="B22" i="11" s="1"/>
  <c r="C5" i="19"/>
  <c r="C3" i="19"/>
  <c r="K9" i="11"/>
  <c r="C17" i="14"/>
  <c r="L12" i="19"/>
  <c r="L13" i="19"/>
  <c r="N9" i="19"/>
  <c r="N8" i="19"/>
  <c r="L80" i="20"/>
  <c r="L3" i="18" l="1"/>
  <c r="C5" i="18" s="1"/>
  <c r="C4" i="18" s="1"/>
  <c r="C15" i="14"/>
  <c r="C23" i="14" s="1"/>
  <c r="F20" i="16"/>
  <c r="B16" i="17" l="1"/>
  <c r="B15" i="17"/>
  <c r="B17" i="17" l="1"/>
  <c r="B18" i="17" s="1"/>
  <c r="B4" i="17" l="1"/>
  <c r="U7" i="17" l="1"/>
  <c r="E2" i="17"/>
  <c r="F2" i="17" s="1"/>
  <c r="G2" i="17" s="1"/>
  <c r="H2" i="17" s="1"/>
  <c r="I2" i="17" s="1"/>
  <c r="J2" i="17" s="1"/>
  <c r="D4" i="17"/>
  <c r="E4" i="17" s="1"/>
  <c r="F4" i="17" s="1"/>
  <c r="G4" i="17" s="1"/>
  <c r="H4" i="17" s="1"/>
  <c r="I4" i="17" s="1"/>
  <c r="J4" i="17" s="1"/>
  <c r="K4" i="17" s="1"/>
  <c r="L4" i="17" s="1"/>
  <c r="M4" i="17" s="1"/>
  <c r="N4" i="17" s="1"/>
  <c r="O4" i="17" s="1"/>
  <c r="P4" i="17" s="1"/>
  <c r="Q4" i="17" s="1"/>
  <c r="R4" i="17" s="1"/>
  <c r="S4" i="17" s="1"/>
  <c r="T4" i="17" s="1"/>
  <c r="U4" i="17" s="1"/>
  <c r="V4" i="17" s="1"/>
  <c r="W4" i="17" s="1"/>
  <c r="X4" i="17" s="1"/>
  <c r="G7" i="17" l="1"/>
  <c r="K7" i="17"/>
  <c r="O7" i="17"/>
  <c r="S7" i="17"/>
  <c r="W7" i="17"/>
  <c r="F7" i="17"/>
  <c r="J7" i="17"/>
  <c r="N7" i="17"/>
  <c r="R7" i="17"/>
  <c r="V7" i="17"/>
  <c r="D7" i="17"/>
  <c r="H7" i="17"/>
  <c r="L7" i="17"/>
  <c r="P7" i="17"/>
  <c r="T7" i="17"/>
  <c r="X7" i="17"/>
  <c r="D3" i="17"/>
  <c r="D5" i="17" s="1"/>
  <c r="D6" i="17" s="1"/>
  <c r="E7" i="17"/>
  <c r="I7" i="17"/>
  <c r="M7" i="17"/>
  <c r="Q7" i="17"/>
  <c r="K2" i="17"/>
  <c r="L2" i="17" s="1"/>
  <c r="M2" i="17" s="1"/>
  <c r="N2" i="17" s="1"/>
  <c r="D8" i="17" l="1"/>
  <c r="D9" i="17" s="1"/>
  <c r="E3" i="17"/>
  <c r="E5" i="17" s="1"/>
  <c r="O2" i="17"/>
  <c r="P2" i="17" s="1"/>
  <c r="Q2" i="17" s="1"/>
  <c r="R2" i="17" s="1"/>
  <c r="S2" i="17" s="1"/>
  <c r="T2" i="17" s="1"/>
  <c r="U2" i="17" s="1"/>
  <c r="V2" i="17" s="1"/>
  <c r="W2" i="17" s="1"/>
  <c r="X2" i="17" s="1"/>
  <c r="E6" i="16"/>
  <c r="C6" i="16"/>
  <c r="D6" i="16"/>
  <c r="G6" i="16"/>
  <c r="F6" i="16"/>
  <c r="F3" i="17" l="1"/>
  <c r="G3" i="17" s="1"/>
  <c r="E6" i="17"/>
  <c r="E8" i="17" s="1"/>
  <c r="E9" i="17" s="1"/>
  <c r="F5" i="17" l="1"/>
  <c r="F6" i="17" s="1"/>
  <c r="F8" i="17" s="1"/>
  <c r="F9" i="17" s="1"/>
  <c r="G5" i="17"/>
  <c r="H3" i="17"/>
  <c r="H5" i="17" l="1"/>
  <c r="H6" i="17" s="1"/>
  <c r="H8" i="17" s="1"/>
  <c r="H9" i="17" s="1"/>
  <c r="I3" i="17"/>
  <c r="G6" i="17"/>
  <c r="G8" i="17" s="1"/>
  <c r="G9" i="17" s="1"/>
  <c r="J3" i="17" l="1"/>
  <c r="I5" i="17"/>
  <c r="I6" i="17" s="1"/>
  <c r="I8" i="17" s="1"/>
  <c r="I9" i="17" s="1"/>
  <c r="J5" i="17" l="1"/>
  <c r="K3" i="17"/>
  <c r="L3" i="17" l="1"/>
  <c r="K5" i="17"/>
  <c r="K6" i="17" s="1"/>
  <c r="K8" i="17" s="1"/>
  <c r="K9" i="17" s="1"/>
  <c r="J6" i="17"/>
  <c r="J8" i="17" s="1"/>
  <c r="J9" i="17" s="1"/>
  <c r="G10" i="15"/>
  <c r="L5" i="17" l="1"/>
  <c r="L6" i="17" s="1"/>
  <c r="L8" i="17" s="1"/>
  <c r="L9" i="17" s="1"/>
  <c r="M3" i="17"/>
  <c r="B12" i="17"/>
  <c r="M5" i="17" l="1"/>
  <c r="M6" i="17" s="1"/>
  <c r="M8" i="17" s="1"/>
  <c r="M9" i="17" s="1"/>
  <c r="N3" i="17"/>
  <c r="O3" i="17" l="1"/>
  <c r="N5" i="17"/>
  <c r="N6" i="17" s="1"/>
  <c r="N8" i="17" s="1"/>
  <c r="N9" i="17" s="1"/>
  <c r="F8" i="15"/>
  <c r="F5" i="15"/>
  <c r="F6" i="15"/>
  <c r="F4" i="15"/>
  <c r="E21" i="11"/>
  <c r="P3" i="17" l="1"/>
  <c r="O5" i="17"/>
  <c r="O6" i="17" s="1"/>
  <c r="O8" i="17" s="1"/>
  <c r="O9" i="17" s="1"/>
  <c r="K12" i="14"/>
  <c r="K14" i="14" s="1"/>
  <c r="E18" i="11"/>
  <c r="F14" i="11"/>
  <c r="B15" i="11"/>
  <c r="E14" i="11"/>
  <c r="B14" i="11"/>
  <c r="H14" i="11"/>
  <c r="I14" i="11"/>
  <c r="P5" i="17" l="1"/>
  <c r="P6" i="17" s="1"/>
  <c r="P8" i="17" s="1"/>
  <c r="P9" i="17" s="1"/>
  <c r="Q3" i="17"/>
  <c r="E27" i="11"/>
  <c r="E28" i="11" s="1"/>
  <c r="G14" i="11"/>
  <c r="B20" i="11" s="1"/>
  <c r="E29" i="11" l="1"/>
  <c r="F18" i="11"/>
  <c r="Q5" i="17"/>
  <c r="Q6" i="17" s="1"/>
  <c r="Q8" i="17" s="1"/>
  <c r="Q9" i="17" s="1"/>
  <c r="R3" i="17"/>
  <c r="G18" i="11" l="1"/>
  <c r="R5" i="17"/>
  <c r="R6" i="17" s="1"/>
  <c r="R8" i="17" s="1"/>
  <c r="R9" i="17" s="1"/>
  <c r="S3" i="17"/>
  <c r="H18" i="11"/>
  <c r="F27" i="11"/>
  <c r="F28" i="11" s="1"/>
  <c r="F29" i="11" l="1"/>
  <c r="S5" i="17"/>
  <c r="S6" i="17" s="1"/>
  <c r="S8" i="17" s="1"/>
  <c r="S9" i="17" s="1"/>
  <c r="T3" i="17"/>
  <c r="I18" i="11"/>
  <c r="G27" i="11" l="1"/>
  <c r="G28" i="11" s="1"/>
  <c r="T5" i="17"/>
  <c r="T6" i="17" s="1"/>
  <c r="T8" i="17" s="1"/>
  <c r="T9" i="17" s="1"/>
  <c r="U3" i="17"/>
  <c r="E20" i="11"/>
  <c r="E23" i="11" s="1"/>
  <c r="J18" i="11"/>
  <c r="E22" i="11" s="1"/>
  <c r="G29" i="11" l="1"/>
  <c r="U5" i="17"/>
  <c r="U6" i="17" s="1"/>
  <c r="U8" i="17" s="1"/>
  <c r="U9" i="17" s="1"/>
  <c r="V3" i="17"/>
  <c r="H27" i="11" l="1"/>
  <c r="E24" i="11"/>
  <c r="B26" i="11" s="1"/>
  <c r="V5" i="17"/>
  <c r="V6" i="17" s="1"/>
  <c r="V8" i="17" s="1"/>
  <c r="V9" i="17" s="1"/>
  <c r="W3" i="17"/>
  <c r="H28" i="11" l="1"/>
  <c r="H29" i="11" s="1"/>
  <c r="X3" i="17"/>
  <c r="X5" i="17" s="1"/>
  <c r="W5" i="17"/>
  <c r="W6" i="17" s="1"/>
  <c r="W8" i="17" s="1"/>
  <c r="W9" i="17" s="1"/>
  <c r="I27" i="11" l="1"/>
  <c r="I28" i="11" s="1"/>
  <c r="I29" i="11" s="1"/>
  <c r="X6" i="17"/>
  <c r="X8" i="17" s="1"/>
  <c r="X9" i="17" s="1"/>
  <c r="B6" i="17" s="1"/>
  <c r="J27" i="11" l="1"/>
  <c r="J28" i="11" s="1"/>
  <c r="J29" i="11" l="1"/>
  <c r="E31" i="11" s="1"/>
  <c r="E30" i="11" l="1"/>
  <c r="E32" i="11" s="1"/>
  <c r="B27" i="11" s="1"/>
  <c r="E33" i="11" l="1"/>
  <c r="C14" i="15"/>
  <c r="J5" i="15" s="1"/>
  <c r="J7" i="15" s="1"/>
</calcChain>
</file>

<file path=xl/comments1.xml><?xml version="1.0" encoding="utf-8"?>
<comments xmlns="http://schemas.openxmlformats.org/spreadsheetml/2006/main">
  <authors>
    <author>HP</author>
  </authors>
  <commentList>
    <comment ref="I6" authorId="0" shapeId="0">
      <text>
        <r>
          <rPr>
            <sz val="9"/>
            <color indexed="81"/>
            <rFont val="Tahoma"/>
            <family val="2"/>
          </rPr>
          <t xml:space="preserve">How much CMP higher than P E/B Valuation
</t>
        </r>
      </text>
    </comment>
    <comment ref="I7" authorId="0" shapeId="0">
      <text>
        <r>
          <rPr>
            <sz val="9"/>
            <color indexed="81"/>
            <rFont val="Tahoma"/>
            <family val="2"/>
          </rPr>
          <t xml:space="preserve">CAGR b/n CMP and future price based on historical valuation
</t>
        </r>
      </text>
    </comment>
  </commentList>
</comments>
</file>

<file path=xl/comments2.xml><?xml version="1.0" encoding="utf-8"?>
<comments xmlns="http://schemas.openxmlformats.org/spreadsheetml/2006/main">
  <authors>
    <author>HP</author>
  </authors>
  <commentList>
    <comment ref="E2" authorId="0" shapeId="0">
      <text>
        <r>
          <rPr>
            <sz val="9"/>
            <color indexed="81"/>
            <rFont val="Tahoma"/>
            <family val="2"/>
          </rPr>
          <t xml:space="preserve">Gross margins suggest pricing power. Higher = Better, but also invites competition. So watch out for consistency.
</t>
        </r>
      </text>
    </comment>
    <comment ref="I7" authorId="0" shapeId="0">
      <text>
        <r>
          <rPr>
            <sz val="9"/>
            <color indexed="81"/>
            <rFont val="Tahoma"/>
            <family val="2"/>
          </rPr>
          <t xml:space="preserve">Accruals method of accounting -
Revenue is booked when sales transaction takes place, not when the actual cash is collected.
Low number would mean that company is able to report higher revenue without realizing the cash benefit from the transactions.
Fluctuating trend reflects operational weakness
</t>
        </r>
      </text>
    </comment>
    <comment ref="J7" authorId="0" shapeId="0">
      <text>
        <r>
          <rPr>
            <sz val="9"/>
            <color indexed="81"/>
            <rFont val="Tahoma"/>
            <family val="2"/>
          </rPr>
          <t xml:space="preserve">How efficiently company's assets are used
</t>
        </r>
      </text>
    </comment>
    <comment ref="K7" authorId="0" shapeId="0">
      <text>
        <r>
          <rPr>
            <sz val="9"/>
            <color indexed="81"/>
            <rFont val="Tahoma"/>
            <family val="2"/>
          </rPr>
          <t xml:space="preserve">Abilty to pay short term loan
</t>
        </r>
      </text>
    </comment>
    <comment ref="L7" authorId="0" shapeId="0">
      <text>
        <r>
          <rPr>
            <sz val="9"/>
            <color indexed="81"/>
            <rFont val="Tahoma"/>
            <family val="2"/>
          </rPr>
          <t xml:space="preserve">Abilty to pay borrowings
</t>
        </r>
      </text>
    </comment>
  </commentList>
</comments>
</file>

<file path=xl/comments3.xml><?xml version="1.0" encoding="utf-8"?>
<comments xmlns="http://schemas.openxmlformats.org/spreadsheetml/2006/main">
  <authors>
    <author>Kumar Saurabh</author>
  </authors>
  <commentList>
    <comment ref="A53" authorId="0" shapeId="0">
      <text>
        <r>
          <rPr>
            <b/>
            <sz val="9"/>
            <color indexed="81"/>
            <rFont val="Tahoma"/>
            <family val="2"/>
          </rPr>
          <t>Kumar Saurabh:</t>
        </r>
        <r>
          <rPr>
            <sz val="9"/>
            <color indexed="81"/>
            <rFont val="Tahoma"/>
            <family val="2"/>
          </rPr>
          <t xml:space="preserve">
Trades Receiavbles</t>
        </r>
      </text>
    </comment>
    <comment ref="A58" authorId="0" shapeId="0">
      <text>
        <r>
          <rPr>
            <b/>
            <sz val="9"/>
            <color indexed="81"/>
            <rFont val="Tahoma"/>
            <family val="2"/>
          </rPr>
          <t>Kumar Saurabh:</t>
        </r>
        <r>
          <rPr>
            <sz val="9"/>
            <color indexed="81"/>
            <rFont val="Tahoma"/>
            <family val="2"/>
          </rPr>
          <t xml:space="preserve">
EBIT/Capital Employed where capital employed = total asset - current liability</t>
        </r>
      </text>
    </comment>
  </commentList>
</comments>
</file>

<file path=xl/sharedStrings.xml><?xml version="1.0" encoding="utf-8"?>
<sst xmlns="http://schemas.openxmlformats.org/spreadsheetml/2006/main" count="516" uniqueCount="393">
  <si>
    <t>Company</t>
  </si>
  <si>
    <t>Sector</t>
  </si>
  <si>
    <t>Face value</t>
  </si>
  <si>
    <t>No of shares outstanding</t>
  </si>
  <si>
    <t>Market Cap</t>
  </si>
  <si>
    <t>Promoter Shareholding</t>
  </si>
  <si>
    <t>Business Summary</t>
  </si>
  <si>
    <t>Equity Share Capital</t>
  </si>
  <si>
    <t>Reserves</t>
  </si>
  <si>
    <t>Networth</t>
  </si>
  <si>
    <t>Secured Loans</t>
  </si>
  <si>
    <t>Unsecured Loans</t>
  </si>
  <si>
    <t>Total Liabilities</t>
  </si>
  <si>
    <t>Net Block</t>
  </si>
  <si>
    <t>Capital Work in Progress</t>
  </si>
  <si>
    <t>Investments</t>
  </si>
  <si>
    <t>Current Liabilities</t>
  </si>
  <si>
    <t>Total Assets</t>
  </si>
  <si>
    <t>Net Sales</t>
  </si>
  <si>
    <t>Other Income</t>
  </si>
  <si>
    <t>Total Income</t>
  </si>
  <si>
    <t>Raw Materials</t>
  </si>
  <si>
    <t>Employee Cost</t>
  </si>
  <si>
    <t>Operating Profit</t>
  </si>
  <si>
    <t>Interest</t>
  </si>
  <si>
    <t>Depreciation</t>
  </si>
  <si>
    <t>Tax</t>
  </si>
  <si>
    <t>Current Assets</t>
  </si>
  <si>
    <t>Year</t>
  </si>
  <si>
    <t>Free Cash Flow</t>
  </si>
  <si>
    <t>Shares Outstanding</t>
  </si>
  <si>
    <t>CAGR</t>
  </si>
  <si>
    <t>FCF</t>
  </si>
  <si>
    <t>DPS</t>
  </si>
  <si>
    <t>Input</t>
  </si>
  <si>
    <t>EPS</t>
  </si>
  <si>
    <t>CMP</t>
  </si>
  <si>
    <t>BVPS</t>
  </si>
  <si>
    <t>P/E</t>
  </si>
  <si>
    <t>Earnings Yeild</t>
  </si>
  <si>
    <t>Dividend Yeild</t>
  </si>
  <si>
    <t>Discount rate</t>
  </si>
  <si>
    <t>ROE</t>
  </si>
  <si>
    <t>Payout Ratio</t>
  </si>
  <si>
    <t>Current Data</t>
  </si>
  <si>
    <t>Average Data</t>
  </si>
  <si>
    <t>Payout</t>
  </si>
  <si>
    <t>Bond Yeild</t>
  </si>
  <si>
    <t>Projections Historical</t>
  </si>
  <si>
    <t>Earnings after 5 years</t>
  </si>
  <si>
    <t>Sum Of dividend paid</t>
  </si>
  <si>
    <t>Projected Price</t>
  </si>
  <si>
    <t>Total Gain</t>
  </si>
  <si>
    <t>Projections Growth</t>
  </si>
  <si>
    <t>Historical Earnings Growth</t>
  </si>
  <si>
    <t>Sustainable Earnings Growth</t>
  </si>
  <si>
    <t>Year Ending</t>
  </si>
  <si>
    <t>Piotroski F Score</t>
  </si>
  <si>
    <t>ROA</t>
  </si>
  <si>
    <t>Current Ratio</t>
  </si>
  <si>
    <t>Gross Margin</t>
  </si>
  <si>
    <t>Net Income</t>
  </si>
  <si>
    <t>Operating Cash Flow</t>
  </si>
  <si>
    <t>Asset Turnover</t>
  </si>
  <si>
    <t>Working Capital</t>
  </si>
  <si>
    <t>EBITDA</t>
  </si>
  <si>
    <t>Market Value of Equity</t>
  </si>
  <si>
    <t>Score</t>
  </si>
  <si>
    <t>T1 = Working Capital/Total Assets</t>
  </si>
  <si>
    <t>T3 = EBITDA/Total Assets</t>
  </si>
  <si>
    <t>T5 = Net Sales/Total Assets</t>
  </si>
  <si>
    <r>
      <t>Stock Price</t>
    </r>
    <r>
      <rPr>
        <sz val="10"/>
        <color theme="0"/>
        <rFont val="Arial"/>
        <family val="2"/>
      </rPr>
      <t>#</t>
    </r>
  </si>
  <si>
    <t>Snapshot</t>
  </si>
  <si>
    <t>Value</t>
  </si>
  <si>
    <t>Altman Zscore = 1.2T1 + 1.4T2 + 3.3T3 + 0.6T4 + 0.999T5.</t>
  </si>
  <si>
    <t>Value of stock based on</t>
  </si>
  <si>
    <t>Value of Stock</t>
  </si>
  <si>
    <t>Year 0</t>
  </si>
  <si>
    <t>Start</t>
  </si>
  <si>
    <t>Intial</t>
  </si>
  <si>
    <t>Middle</t>
  </si>
  <si>
    <t>End</t>
  </si>
  <si>
    <t>Max</t>
  </si>
  <si>
    <t>Pointer</t>
  </si>
  <si>
    <t>Altman Score</t>
  </si>
  <si>
    <t>0 to 1.8</t>
  </si>
  <si>
    <t>1.8 to 3</t>
  </si>
  <si>
    <t>Less Chances of Bankruptcy</t>
  </si>
  <si>
    <t>3+</t>
  </si>
  <si>
    <t>How to read score</t>
  </si>
  <si>
    <t>Not likely to be Bankrupt</t>
  </si>
  <si>
    <t>Likely to be Bankrupt</t>
  </si>
  <si>
    <t>Piotroski F Score data</t>
  </si>
  <si>
    <t>Weak</t>
  </si>
  <si>
    <t>Stable</t>
  </si>
  <si>
    <t>Strong</t>
  </si>
  <si>
    <t>Qualatative parameters</t>
  </si>
  <si>
    <t>Piotrosoki Score</t>
  </si>
  <si>
    <t>Altman Zscore</t>
  </si>
  <si>
    <t>CY</t>
  </si>
  <si>
    <t>CY-1</t>
  </si>
  <si>
    <t>CY-2</t>
  </si>
  <si>
    <t>CY-3</t>
  </si>
  <si>
    <t>CY-4</t>
  </si>
  <si>
    <t>CFO</t>
  </si>
  <si>
    <t>NPM</t>
  </si>
  <si>
    <t>Equity Multiplier</t>
  </si>
  <si>
    <t>DU Pont Analysis</t>
  </si>
  <si>
    <t>DuPont analysis is an extended analysis of a company's return on equity. It concludes that a company can earn a high return on equity if:</t>
  </si>
  <si>
    <t>3. It has a high financial leverage</t>
  </si>
  <si>
    <r>
      <t>2. It uses its assets effectively to generate more sales; and/or -</t>
    </r>
    <r>
      <rPr>
        <b/>
        <sz val="11"/>
        <color rgb="FF00B050"/>
        <rFont val="Calibri"/>
        <family val="2"/>
        <scheme val="minor"/>
      </rPr>
      <t xml:space="preserve"> Preferred</t>
    </r>
  </si>
  <si>
    <r>
      <t xml:space="preserve">1. It earns a high net profit margin - </t>
    </r>
    <r>
      <rPr>
        <b/>
        <sz val="11"/>
        <color rgb="FF00B050"/>
        <rFont val="Calibri"/>
        <family val="2"/>
        <scheme val="minor"/>
      </rPr>
      <t>Preferred</t>
    </r>
  </si>
  <si>
    <t>Multiple</t>
  </si>
  <si>
    <t>PV</t>
  </si>
  <si>
    <t>MICAP</t>
  </si>
  <si>
    <t>Cumulative FCF Sum of PV</t>
  </si>
  <si>
    <t>PV of Terminal Value</t>
  </si>
  <si>
    <t>Discounted Value Today</t>
  </si>
  <si>
    <t xml:space="preserve">FCF growth </t>
  </si>
  <si>
    <t>FCF (per Share)</t>
  </si>
  <si>
    <t>* The module will pick FCF / Share, You can change Input cells</t>
  </si>
  <si>
    <t>Model FCF / Share</t>
  </si>
  <si>
    <t>Capex</t>
  </si>
  <si>
    <t>Owner's Earnings</t>
  </si>
  <si>
    <r>
      <rPr>
        <sz val="11"/>
        <color rgb="FF00B050"/>
        <rFont val="Calibri"/>
        <family val="2"/>
        <scheme val="minor"/>
      </rPr>
      <t>Add</t>
    </r>
    <r>
      <rPr>
        <sz val="11"/>
        <color theme="1"/>
        <rFont val="Calibri"/>
        <family val="2"/>
        <scheme val="minor"/>
      </rPr>
      <t xml:space="preserve"> Depreciation</t>
    </r>
  </si>
  <si>
    <r>
      <rPr>
        <sz val="11"/>
        <color rgb="FFFF0000"/>
        <rFont val="Calibri"/>
        <family val="2"/>
        <scheme val="minor"/>
      </rPr>
      <t>Minus</t>
    </r>
    <r>
      <rPr>
        <sz val="11"/>
        <color theme="1"/>
        <rFont val="Calibri"/>
        <family val="2"/>
        <scheme val="minor"/>
      </rPr>
      <t xml:space="preserve"> Average Capex</t>
    </r>
  </si>
  <si>
    <t>Note - If MICAP is more than twenty it will shown as Zero</t>
  </si>
  <si>
    <t>Owner's Earnings (in INR Cr)</t>
  </si>
  <si>
    <t>This is based on whatever you have input on FCF sheet</t>
  </si>
  <si>
    <t>꓿</t>
  </si>
  <si>
    <r>
      <t>NP</t>
    </r>
    <r>
      <rPr>
        <vertAlign val="subscript"/>
        <sz val="11"/>
        <color theme="1"/>
        <rFont val="Calibri"/>
        <family val="2"/>
        <scheme val="minor"/>
      </rPr>
      <t>CY</t>
    </r>
    <r>
      <rPr>
        <sz val="11"/>
        <color theme="1"/>
        <rFont val="Calibri"/>
        <family val="2"/>
        <scheme val="minor"/>
      </rPr>
      <t xml:space="preserve"> - NP</t>
    </r>
    <r>
      <rPr>
        <vertAlign val="subscript"/>
        <sz val="11"/>
        <color theme="1"/>
        <rFont val="Calibri"/>
        <family val="2"/>
        <scheme val="minor"/>
      </rPr>
      <t>CY-4</t>
    </r>
  </si>
  <si>
    <r>
      <t>NW</t>
    </r>
    <r>
      <rPr>
        <vertAlign val="subscript"/>
        <sz val="11"/>
        <color theme="1"/>
        <rFont val="Calibri"/>
        <family val="2"/>
        <scheme val="minor"/>
      </rPr>
      <t>CY</t>
    </r>
    <r>
      <rPr>
        <sz val="11"/>
        <color theme="1"/>
        <rFont val="Calibri"/>
        <family val="2"/>
        <scheme val="minor"/>
      </rPr>
      <t xml:space="preserve"> - NW</t>
    </r>
    <r>
      <rPr>
        <vertAlign val="subscript"/>
        <sz val="11"/>
        <color theme="1"/>
        <rFont val="Calibri"/>
        <family val="2"/>
        <scheme val="minor"/>
      </rPr>
      <t>CY-4</t>
    </r>
  </si>
  <si>
    <t>Piotroski 2: Operating Cash Flow &gt;0</t>
  </si>
  <si>
    <t>Piotroski 3: Return on Assets higher than last Yr.</t>
  </si>
  <si>
    <t>Piotroski 7: Shares Outstanding not higher than last Yr.</t>
  </si>
  <si>
    <t>Piotroski 8: Gross Margin higher than last Yr.</t>
  </si>
  <si>
    <t>Piotroski 9: Total Income/Total Assets higher than last Yr.</t>
  </si>
  <si>
    <t>Discount Rate</t>
  </si>
  <si>
    <t>RESEARCH FRAMEWORK</t>
  </si>
  <si>
    <t>S.No</t>
  </si>
  <si>
    <t>Criteria</t>
  </si>
  <si>
    <t>Goal</t>
  </si>
  <si>
    <t>Actual</t>
  </si>
  <si>
    <t>Description</t>
  </si>
  <si>
    <t>Review</t>
  </si>
  <si>
    <t>Weight</t>
  </si>
  <si>
    <t>PARAMETER</t>
  </si>
  <si>
    <t>Max WEIGHT</t>
  </si>
  <si>
    <t>Actual Weight</t>
  </si>
  <si>
    <t>FINANCIAL ANALYSIS</t>
  </si>
  <si>
    <t>TOTAL</t>
  </si>
  <si>
    <t>Financial Anlaysis</t>
  </si>
  <si>
    <t>ROE/ROA 5 Yr.</t>
  </si>
  <si>
    <t>&gt; 20%</t>
  </si>
  <si>
    <t>Industry Analysis</t>
  </si>
  <si>
    <t>EPS growth 5 Yr.</t>
  </si>
  <si>
    <t>&gt;20%</t>
  </si>
  <si>
    <t>Management Analysis</t>
  </si>
  <si>
    <t>Promoter Pledged Holding</t>
  </si>
  <si>
    <t>Other Parameters</t>
  </si>
  <si>
    <t>EPS growth 10 Yr.</t>
  </si>
  <si>
    <t>Margin of Safety</t>
  </si>
  <si>
    <t>Sales growth 5 Yr.</t>
  </si>
  <si>
    <t>Growth should be consistent year on year. Ignore companies where a sudden spurt of sales in one year is confounding the 10 years performance.
Very high growth rates of &gt;50% are unsustainable.</t>
  </si>
  <si>
    <t>Avg. NP margin 5 Yr.</t>
  </si>
  <si>
    <t xml:space="preserve"> &gt;8%</t>
  </si>
  <si>
    <t>Look for companies with sustained operating &amp; net profit margins over the years - See more at: http://www.drvijaymalik.com/2015/01/selecting-top-stocks-to-buy-part-10.html#sthash.swZnrKBv.dpuf</t>
  </si>
  <si>
    <t>CFO/PAT 5 Yr.</t>
  </si>
  <si>
    <t>&gt;1</t>
  </si>
  <si>
    <t>Cumulative PAT and CFO are similar for last 10 years</t>
  </si>
  <si>
    <t>Promoter Holding 5 Yr.</t>
  </si>
  <si>
    <t>Debt/Net Profit</t>
  </si>
  <si>
    <t>&lt;=5</t>
  </si>
  <si>
    <t>Current ratio</t>
  </si>
  <si>
    <t>&gt;1.25</t>
  </si>
  <si>
    <t>Current Cash flow</t>
  </si>
  <si>
    <t>CFO &gt; 0</t>
  </si>
  <si>
    <t>Positive CFO is necessary. It’s great if CFO meets the outflow for CFI and CFF</t>
  </si>
  <si>
    <t>BUSINESS &amp; INDUSTRY ANALYSIS</t>
  </si>
  <si>
    <t>Comparison with industry peers</t>
  </si>
  <si>
    <t>Sales growth &gt; peers</t>
  </si>
  <si>
    <t>The Company must show sales growth higher than peers. If its sales growth is similar to peers, then there is no Moat</t>
  </si>
  <si>
    <t>Increase in production capacity and sales volume</t>
  </si>
  <si>
    <t>Production capacity &amp; sales volume CAGR ~ Sales CAGR</t>
  </si>
  <si>
    <t>Company must have shown increased market penetration by selling higher volumes of its product/service</t>
  </si>
  <si>
    <t>Conversion of sales growth into profits</t>
  </si>
  <si>
    <t>Profit CAGR 5 Yr.~ Sales CAGR 5 Yr.</t>
  </si>
  <si>
    <t>A Moat would result in increasing profits with increasing sales. Otherwise, sales growth is only a result of unnecessary expansion or aggressive marketing push, which would erode value in long term.</t>
  </si>
  <si>
    <t>Creation of value for shareholders from the profits retained</t>
  </si>
  <si>
    <t>The increase in MCap in last 10 yrs. &gt; Retained profits in last 10 yrs.</t>
  </si>
  <si>
    <t>Otherwise, company is destroying wealth of shareholders</t>
  </si>
  <si>
    <t>MANAGEMENT ANALYSIS</t>
  </si>
  <si>
    <t>Background check of promoters &amp; directors</t>
  </si>
  <si>
    <t>Web Search</t>
  </si>
  <si>
    <t>There should not be any information questioning the integrity of promoters &amp; directors</t>
  </si>
  <si>
    <t>Management succession plans</t>
  </si>
  <si>
    <t>Good succession plan should be in place</t>
  </si>
  <si>
    <t>Salary being paid to potential successors should be in line with their experience</t>
  </si>
  <si>
    <t>Salary of promoters vs. net profits</t>
  </si>
  <si>
    <t>No salary increase with declining profits/losses</t>
  </si>
  <si>
    <t>promoter should not have a history of seeking increase in remuneration when the profits of the company declined in past</t>
  </si>
  <si>
    <t>Project execution skills</t>
  </si>
  <si>
    <t>Green/brownfield project execution</t>
  </si>
  <si>
    <t>The company should have shown good project execution skills with cost and time overruns.Exclude capacity increase by mergers &amp; acquisitions.</t>
  </si>
  <si>
    <t>Promoter shareholding</t>
  </si>
  <si>
    <t>&gt; 51%</t>
  </si>
  <si>
    <t>Higher the better</t>
  </si>
  <si>
    <t>FII shareholding</t>
  </si>
  <si>
    <t>~ 0%</t>
  </si>
  <si>
    <t>the lower the better</t>
  </si>
  <si>
    <t>OTHER BUSINESS PARAMETERS</t>
  </si>
  <si>
    <t>Product diversification</t>
  </si>
  <si>
    <t>Pure play</t>
  </si>
  <si>
    <t>The company should be either a pure play (only one business segment) or related products. Pure play model ensures that the management is specialized in what they are doing. Entirely different unrelated products/services are a strict NO. An investor should rather buy stocks of different companies if she wants such diversification.</t>
  </si>
  <si>
    <t>Govt. influence</t>
  </si>
  <si>
    <t>No govt. interference in profit making</t>
  </si>
  <si>
    <t>No cap on profit returns or pricing of the product.No compulsion to supply to certain clients.</t>
  </si>
  <si>
    <t>Labor Problems</t>
  </si>
  <si>
    <t>Free Cash Flow (FCF)</t>
  </si>
  <si>
    <t>FCF/CFO &gt;&gt; 0</t>
  </si>
  <si>
    <t>CASH FLOW</t>
  </si>
  <si>
    <t xml:space="preserve"> CFF/CFO</t>
  </si>
  <si>
    <t>Capex/CFO</t>
  </si>
  <si>
    <t>CFO/PAT</t>
  </si>
  <si>
    <t>CFO/Sales</t>
  </si>
  <si>
    <t>CFO/Assets</t>
  </si>
  <si>
    <t>CFO/Current Liabilty</t>
  </si>
  <si>
    <t>CFO/Total Debt</t>
  </si>
  <si>
    <t>CAPEX/FCF</t>
  </si>
  <si>
    <t>5 Yr. Average</t>
  </si>
  <si>
    <t>Current</t>
  </si>
  <si>
    <t>OTHERS</t>
  </si>
  <si>
    <t>Gross Profit Margin</t>
  </si>
  <si>
    <t>Net Profit Margin</t>
  </si>
  <si>
    <t>Inventory/Sales</t>
  </si>
  <si>
    <t>Current Cash/Assets</t>
  </si>
  <si>
    <t>Current Assets/Current Liabilities</t>
  </si>
  <si>
    <t>Leverage</t>
  </si>
  <si>
    <t>ROCE</t>
  </si>
  <si>
    <t>GROWTH</t>
  </si>
  <si>
    <t>Sales</t>
  </si>
  <si>
    <t xml:space="preserve">Inventory </t>
  </si>
  <si>
    <t xml:space="preserve">Receivables </t>
  </si>
  <si>
    <t>PAT</t>
  </si>
  <si>
    <t>Promoter Holding</t>
  </si>
  <si>
    <t>Share Capital</t>
  </si>
  <si>
    <t>10 YR CAGR</t>
  </si>
  <si>
    <t>5 YR CAGR</t>
  </si>
  <si>
    <t>Salary/PAT</t>
  </si>
  <si>
    <t>Pledged Promoter
Holding</t>
  </si>
  <si>
    <t>FII</t>
  </si>
  <si>
    <t>DII</t>
  </si>
  <si>
    <t>COPY PASTE DATA FROM ANY FINANCIAL WEBSITE: ONLY FOR THE FIELDS MARKED GREEN BELOW</t>
  </si>
  <si>
    <t>CONSOLIDATED</t>
  </si>
  <si>
    <t>Inventory</t>
  </si>
  <si>
    <t>Debtors</t>
  </si>
  <si>
    <t>Cash &amp; Bank Balance</t>
  </si>
  <si>
    <t>Working Capital (check)</t>
  </si>
  <si>
    <t>COPY PASTE DATA FROM ANNUAL REPORTS: ONLY FOR THE FIELDS MARKED ORANGE BELOW</t>
  </si>
  <si>
    <t>Operating Expenses/Capex</t>
  </si>
  <si>
    <t>Employee cost</t>
  </si>
  <si>
    <t>Advertising and sales promotion</t>
  </si>
  <si>
    <t>Freight, transport and distribution</t>
  </si>
  <si>
    <t>Royalty</t>
  </si>
  <si>
    <t>Power and fuel</t>
  </si>
  <si>
    <t>Miscellaneous expenses</t>
  </si>
  <si>
    <t>R&amp;D Cost</t>
  </si>
  <si>
    <t>Gross Profit</t>
  </si>
  <si>
    <t>Depreciation &amp; Amortisation</t>
  </si>
  <si>
    <t>EBIT</t>
  </si>
  <si>
    <t>PBT</t>
  </si>
  <si>
    <t>Dividends</t>
  </si>
  <si>
    <t>Current Market Cap</t>
  </si>
  <si>
    <t>Equity</t>
  </si>
  <si>
    <t>Reserves &amp; Surplus</t>
  </si>
  <si>
    <t>Borrowings</t>
  </si>
  <si>
    <t>Other Liabilities</t>
  </si>
  <si>
    <t>Current Asset</t>
  </si>
  <si>
    <t>Net Fixed Assets</t>
  </si>
  <si>
    <t>Cash</t>
  </si>
  <si>
    <t>Net Other Assets</t>
  </si>
  <si>
    <t>Invested Capital</t>
  </si>
  <si>
    <t>Capital Employed</t>
  </si>
  <si>
    <t>Total Liability</t>
  </si>
  <si>
    <t>Cash from Investing Activity</t>
  </si>
  <si>
    <t>Cash from Financing Activity</t>
  </si>
  <si>
    <t>Tax Rate</t>
  </si>
  <si>
    <t>NOPAT</t>
  </si>
  <si>
    <t>MktCap+Dividend</t>
  </si>
  <si>
    <t>Retained Profit</t>
  </si>
  <si>
    <t>PEG</t>
  </si>
  <si>
    <t>Price/Book</t>
  </si>
  <si>
    <t>Price/operating CashFlow</t>
  </si>
  <si>
    <t>Price/Free Cashflow</t>
  </si>
  <si>
    <t>Price/Sales</t>
  </si>
  <si>
    <t>EV/EBITDA</t>
  </si>
  <si>
    <t>Dividend Yield</t>
  </si>
  <si>
    <t>Enterprise Value</t>
  </si>
  <si>
    <t>Z-Weights</t>
  </si>
  <si>
    <t>Working Capital/Total Assets</t>
  </si>
  <si>
    <t>Retained Profits/Total Assets</t>
  </si>
  <si>
    <t>EBIT/Total Assets</t>
  </si>
  <si>
    <t>Market Cap/Total Liabilities</t>
  </si>
  <si>
    <t>Sales/Total Assets</t>
  </si>
  <si>
    <t>COMPANY NAME</t>
  </si>
  <si>
    <t>LATEST VERSION</t>
  </si>
  <si>
    <t>PLEASE DO NOT MAKE ANY CHANGES TO THIS SHEET</t>
  </si>
  <si>
    <t>CURRENT VERSION</t>
  </si>
  <si>
    <t>META</t>
  </si>
  <si>
    <t>Number of shares</t>
  </si>
  <si>
    <t>Face Value</t>
  </si>
  <si>
    <t>Current Price</t>
  </si>
  <si>
    <t>Market Capitalization</t>
  </si>
  <si>
    <t>PROFIT &amp; LOSS</t>
  </si>
  <si>
    <t>Report Date</t>
  </si>
  <si>
    <t>Raw Material Cost</t>
  </si>
  <si>
    <t>Change in Inventory</t>
  </si>
  <si>
    <t>Power and Fuel</t>
  </si>
  <si>
    <t>Other Mfr. Exp</t>
  </si>
  <si>
    <t>Selling and admin</t>
  </si>
  <si>
    <t>Other Expenses</t>
  </si>
  <si>
    <t>Profit before tax</t>
  </si>
  <si>
    <t>Net profit</t>
  </si>
  <si>
    <t>Dividend Amount</t>
  </si>
  <si>
    <t>Quarters</t>
  </si>
  <si>
    <t>Expenses</t>
  </si>
  <si>
    <t>BALANCE SHEET</t>
  </si>
  <si>
    <t>Total</t>
  </si>
  <si>
    <t>Other Assets</t>
  </si>
  <si>
    <t>Receivables</t>
  </si>
  <si>
    <t>Cash &amp; Bank</t>
  </si>
  <si>
    <t>No. of Equity Shares</t>
  </si>
  <si>
    <t>New Bonus Shares</t>
  </si>
  <si>
    <t>CASH FLOW:</t>
  </si>
  <si>
    <t>Cash from Operating Activity</t>
  </si>
  <si>
    <t>Net Cash Flow</t>
  </si>
  <si>
    <t>PRICE:</t>
  </si>
  <si>
    <t>DERIVED:</t>
  </si>
  <si>
    <t>Adjusted Equity Shares in Cr</t>
  </si>
  <si>
    <t>Piotroski 1: PAT &gt;0</t>
  </si>
  <si>
    <t>Piotroski 4: Operating Cash Flow higher than PAT</t>
  </si>
  <si>
    <t>T2 = Reserves &amp; Surplus/Total Assets</t>
  </si>
  <si>
    <t>Borrowings / Total Assets</t>
  </si>
  <si>
    <t>Piotroski 5: Borrowings/Assets lower than last Yr.</t>
  </si>
  <si>
    <t>Piotroski 6: Current Ratio than last Yr.</t>
  </si>
  <si>
    <t>T4 = Market Value of Equity/Total Assets</t>
  </si>
  <si>
    <t>Price</t>
  </si>
  <si>
    <t>CY-5</t>
  </si>
  <si>
    <t>P E/B Valuation</t>
  </si>
  <si>
    <t>Avg P/E Ratio</t>
  </si>
  <si>
    <t>Avg P/B Ratio</t>
  </si>
  <si>
    <t>EPS/BV  after 5 years</t>
  </si>
  <si>
    <t xml:space="preserve">EPS/BV </t>
  </si>
  <si>
    <t>5 Yr. Max</t>
  </si>
  <si>
    <t xml:space="preserve"> </t>
  </si>
  <si>
    <t>Receivables/
Sales</t>
  </si>
  <si>
    <t>PE</t>
  </si>
  <si>
    <t>PB</t>
  </si>
  <si>
    <t>Buffett prefers that firms reinvest their earnings within the company, provided that profitable opportunities exist. When companies have excess cash flow, Buffett favours shareholder-enhancing maneuvers such as share buybacks. While we do not screen for this factor, a follow-up examination of a company would reveal if it has a share buyback plan in place.</t>
  </si>
  <si>
    <t>FCF/CFO</t>
  </si>
  <si>
    <t>Pricing Power</t>
  </si>
  <si>
    <t>That's what is called "pricing power". Companies with moat (as seen from other screening metrics as suggested above (like high ROE, high grow margins, low debt etc.) are able to adjust prices to inflation without the risk of losing significant volume sales.</t>
  </si>
  <si>
    <t>Companies that consistently need capital to grow their sales and profits are like bank savings account, and thus bad for an investor's long term portfolio. Seek companies that don't need high capital investments consistently. Retained earnings must first go toward maintaining current operations at competitive levels, so the lower the amount needed to maintain current operations, the better. Here, more than just an absolute assessment, a comparison against competitors will help a lot. Seek companies that consistently generate positive and rising free cash flows.</t>
  </si>
  <si>
    <t>Rising earnings serve as a good catalyst for stock prices. So seek companies with strong, consistent, and expanding earnings (profits). Seek companies with 5/10 year earnings per share growth greater than 25% (alongwith safe balance sheets). To help indicate that earnings growth is still strong, look for companies where the last 3-years earnings growth rate is higher than the last 10-years growth rate. More important than the rate of growth is the consistency in such growth. So exclude companies with volatile earnings growth in the past, even if the "average" growth has been high.</t>
  </si>
  <si>
    <t>Seeks out companies with conservative financing, which equates to a simple, safe balance sheet. Such companies tend to have strong cash flows, with little need for long-term debt. Look for low debt to equity or low debt-burden ratios. Also seek companies that have history of consistently generating positive free cash flows.</t>
  </si>
  <si>
    <t>Current Ratio measures the liquidity of a company, or its ability to pay short-term obligations. 
Current Ratio = Current Assets / Current Liabilities
The ratio is mainly used to give an idea of the company's ability to pay back its short-term liabilities (debt and payables) with its short-term assets (cash, inventory, receivables). The higher the current ratio, the more capable the company is of paying its obligations. A ratio under 1 suggests that the company would be unable to pay off its obligations if they came due at that point.
While this shows the company is not in good financial health, it does not necessarily mean that it will go bankrupt - as there are many ways to access financing - but it is definitely not a good sign.
The current ratio can give a sense of the efficiency of a company's operating cycle or its ability to turn its product into cash. Companies that have trouble getting paid on their receivables or have long inventory turnover can run into liquidity problems because they are unable to alleviate their obligations.</t>
  </si>
  <si>
    <t>Seek companies where earnings have risen as retained earnings (earnings after paying dividends) have been employed profitably. A great way to screen for such companies is by looking at those that have had consistent earnings and strong return on equity in the past.
  What counts in the long run is the increase in "per share value", not overall growth or size of a business.</t>
  </si>
  <si>
    <t>ROE = Efficiency in allocating capital, which is a CEO's #1 job. Higher = Better. Look for consistency. 
Consider it a positive sign when a company is able to earn above-average (better than competitors) returns on equity without employing much debt. Average return on equity for Indian companies over the last 10 years is approximately 16%. Thus, seek companies that earn atleast this much (16%) or more than this. Again, consistency is the key here.</t>
  </si>
  <si>
    <t>Final Price</t>
  </si>
  <si>
    <t>Conservative furture growth in EPS/BVPS</t>
  </si>
  <si>
    <t>ROE 5 Yr.</t>
  </si>
  <si>
    <t>Scorecard</t>
  </si>
  <si>
    <t>FII Holding</t>
  </si>
  <si>
    <t>DII Holding</t>
  </si>
  <si>
    <t>Pledged Promoter Holding</t>
  </si>
  <si>
    <t>Promoter Salary/PAT</t>
  </si>
  <si>
    <t>5 Yrs Back Promoter Holding</t>
  </si>
  <si>
    <t>ZZ</t>
  </si>
  <si>
    <t>Sales Trend</t>
  </si>
  <si>
    <t>PAT &amp; EPS Trend</t>
  </si>
  <si>
    <t>Book Value Trend</t>
  </si>
  <si>
    <t>Assumptions</t>
  </si>
  <si>
    <t>PE Ratio</t>
  </si>
  <si>
    <t>PB Ratio</t>
  </si>
  <si>
    <t>BRITANNIA INDUSTRIES LTD</t>
  </si>
  <si>
    <t>FMCG</t>
  </si>
  <si>
    <t>Bank Interest 1 Yr</t>
  </si>
  <si>
    <t>Current EPS</t>
  </si>
  <si>
    <t>&gt;=-3%</t>
  </si>
  <si>
    <t>Debt/PAT</t>
  </si>
  <si>
    <t>Distance Covered</t>
  </si>
  <si>
    <t>Distance Left</t>
  </si>
  <si>
    <t>Britannia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</si>
</sst>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gt;9999999]##\,##\,##\,##0.00;[&gt;99999]##\,##\,##0.00;##,##0.00"/>
    <numFmt numFmtId="165" formatCode="_ &quot;₹&quot;\ * #,##0_ ;_ &quot;₹&quot;\ * \-#,##0_ ;_ &quot;₹&quot;\ * &quot;-&quot;??_ ;_ @_ "/>
    <numFmt numFmtId="166" formatCode="_(* #,##0_);_(* \(#,##0\);_(* &quot;-&quot;??_);_(@_)"/>
    <numFmt numFmtId="167" formatCode="0.0"/>
    <numFmt numFmtId="168" formatCode="0.0%"/>
    <numFmt numFmtId="169" formatCode="_(* #,##0.0_);_(* \(#,##0.0\);_(* &quot;-&quot;??_);_(@_)"/>
    <numFmt numFmtId="170" formatCode="_ * #,##0.00_ ;_ * \-#,##0.00_ ;_ * &quot;-&quot;??_ ;_ @_ "/>
    <numFmt numFmtId="171" formatCode="[$-409]mmm\-yy;@"/>
  </numFmts>
  <fonts count="54">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b/>
      <sz val="11"/>
      <color theme="1"/>
      <name val="Arial"/>
      <family val="2"/>
    </font>
    <font>
      <sz val="11"/>
      <color theme="1"/>
      <name val="Arial"/>
      <family val="2"/>
    </font>
    <font>
      <sz val="11"/>
      <color theme="0"/>
      <name val="Arial"/>
      <family val="2"/>
    </font>
    <font>
      <sz val="10"/>
      <color theme="0"/>
      <name val="Arial"/>
      <family val="2"/>
    </font>
    <font>
      <u/>
      <sz val="11"/>
      <color theme="10"/>
      <name val="Arial"/>
      <family val="2"/>
    </font>
    <font>
      <b/>
      <sz val="12"/>
      <color theme="3" tint="-0.249977111117893"/>
      <name val="Georgia"/>
      <family val="1"/>
    </font>
    <font>
      <u/>
      <sz val="10"/>
      <color theme="10"/>
      <name val="Arial"/>
      <family val="2"/>
    </font>
    <font>
      <sz val="10"/>
      <color theme="1"/>
      <name val="Arial"/>
      <family val="2"/>
    </font>
    <font>
      <sz val="10"/>
      <color theme="0"/>
      <name val="Calibri"/>
      <family val="2"/>
      <scheme val="minor"/>
    </font>
    <font>
      <b/>
      <sz val="10"/>
      <color theme="1"/>
      <name val="Arial"/>
      <family val="2"/>
    </font>
    <font>
      <b/>
      <sz val="10"/>
      <color theme="0"/>
      <name val="Calibri"/>
      <family val="2"/>
      <scheme val="minor"/>
    </font>
    <font>
      <sz val="11"/>
      <name val="Arial"/>
      <family val="2"/>
    </font>
    <font>
      <sz val="11"/>
      <color rgb="FF3F3F76"/>
      <name val="Calibri"/>
      <family val="2"/>
      <scheme val="minor"/>
    </font>
    <font>
      <sz val="11"/>
      <color rgb="FFFF0000"/>
      <name val="Calibri"/>
      <family val="2"/>
      <scheme val="minor"/>
    </font>
    <font>
      <sz val="10"/>
      <name val="Arial"/>
      <family val="2"/>
    </font>
    <font>
      <sz val="11"/>
      <color theme="1"/>
      <name val="Calibri"/>
      <family val="2"/>
      <scheme val="minor"/>
    </font>
    <font>
      <b/>
      <sz val="11"/>
      <color rgb="FF7030A0"/>
      <name val="Calibri"/>
      <family val="2"/>
      <scheme val="minor"/>
    </font>
    <font>
      <b/>
      <sz val="11"/>
      <color rgb="FF00B050"/>
      <name val="Calibri"/>
      <family val="2"/>
      <scheme val="minor"/>
    </font>
    <font>
      <sz val="9"/>
      <color theme="1"/>
      <name val="Arial"/>
      <family val="2"/>
    </font>
    <font>
      <sz val="9"/>
      <color rgb="FF3F3F76"/>
      <name val="Calibri"/>
      <family val="2"/>
      <scheme val="minor"/>
    </font>
    <font>
      <b/>
      <sz val="11"/>
      <color theme="0"/>
      <name val="Calibri"/>
      <family val="2"/>
      <scheme val="minor"/>
    </font>
    <font>
      <b/>
      <sz val="11"/>
      <color rgb="FFFF0000"/>
      <name val="Calibri"/>
      <family val="2"/>
      <scheme val="minor"/>
    </font>
    <font>
      <sz val="11"/>
      <color rgb="FF00B050"/>
      <name val="Calibri"/>
      <family val="2"/>
      <scheme val="minor"/>
    </font>
    <font>
      <u/>
      <sz val="11"/>
      <color rgb="FF555555"/>
      <name val="Inherit"/>
    </font>
    <font>
      <sz val="26"/>
      <color theme="1"/>
      <name val="Calibri"/>
      <family val="2"/>
    </font>
    <font>
      <vertAlign val="subscript"/>
      <sz val="11"/>
      <color theme="1"/>
      <name val="Calibri"/>
      <family val="2"/>
      <scheme val="minor"/>
    </font>
    <font>
      <sz val="9"/>
      <color theme="1"/>
      <name val="Cambria"/>
      <family val="1"/>
      <scheme val="major"/>
    </font>
    <font>
      <b/>
      <sz val="9"/>
      <color theme="1"/>
      <name val="Cambria"/>
      <family val="1"/>
      <scheme val="major"/>
    </font>
    <font>
      <sz val="9"/>
      <color rgb="FF444444"/>
      <name val="Cambria"/>
      <family val="1"/>
      <scheme val="major"/>
    </font>
    <font>
      <b/>
      <sz val="9"/>
      <color rgb="FF444444"/>
      <name val="Cambria"/>
      <family val="1"/>
      <scheme val="major"/>
    </font>
    <font>
      <b/>
      <sz val="9"/>
      <color theme="1"/>
      <name val="Calibri"/>
      <family val="2"/>
    </font>
    <font>
      <sz val="9"/>
      <color theme="1"/>
      <name val="Calibri"/>
      <family val="2"/>
      <charset val="1"/>
    </font>
    <font>
      <sz val="11"/>
      <color theme="1"/>
      <name val="Calibri"/>
      <family val="2"/>
      <charset val="1"/>
    </font>
    <font>
      <sz val="9"/>
      <color theme="1"/>
      <name val="Calibri"/>
      <family val="2"/>
    </font>
    <font>
      <sz val="9"/>
      <color indexed="81"/>
      <name val="Tahoma"/>
      <family val="2"/>
    </font>
    <font>
      <b/>
      <sz val="11"/>
      <name val="Calibri"/>
      <family val="2"/>
      <charset val="1"/>
    </font>
    <font>
      <sz val="11"/>
      <name val="Calibri"/>
      <family val="2"/>
      <charset val="1"/>
    </font>
    <font>
      <b/>
      <sz val="11"/>
      <color indexed="9"/>
      <name val="Calibri"/>
      <family val="2"/>
      <charset val="1"/>
    </font>
    <font>
      <sz val="10"/>
      <name val="Calibri"/>
      <family val="2"/>
      <charset val="1"/>
    </font>
    <font>
      <b/>
      <sz val="10"/>
      <name val="Calibri"/>
      <family val="2"/>
      <charset val="1"/>
    </font>
    <font>
      <sz val="10"/>
      <color indexed="59"/>
      <name val="Calibri"/>
      <family val="2"/>
      <charset val="1"/>
    </font>
    <font>
      <sz val="9"/>
      <name val="Arial"/>
      <family val="2"/>
      <charset val="1"/>
    </font>
    <font>
      <sz val="10"/>
      <color indexed="8"/>
      <name val="Calibri"/>
      <family val="2"/>
      <charset val="1"/>
    </font>
    <font>
      <b/>
      <sz val="9"/>
      <color indexed="81"/>
      <name val="Tahoma"/>
      <family val="2"/>
    </font>
    <font>
      <u/>
      <sz val="11"/>
      <color theme="10"/>
      <name val="Calibri"/>
      <family val="2"/>
    </font>
    <font>
      <sz val="8"/>
      <color theme="1"/>
      <name val="Arial"/>
      <family val="2"/>
    </font>
    <font>
      <sz val="10"/>
      <color theme="1"/>
      <name val="Calibri"/>
      <family val="2"/>
      <scheme val="minor"/>
    </font>
    <font>
      <sz val="9"/>
      <color theme="1"/>
      <name val="Calibri"/>
      <family val="2"/>
      <scheme val="minor"/>
    </font>
    <font>
      <sz val="8"/>
      <color rgb="FF000000"/>
      <name val="Segoe UI"/>
      <family val="2"/>
    </font>
  </fonts>
  <fills count="30">
    <fill>
      <patternFill patternType="none"/>
    </fill>
    <fill>
      <patternFill patternType="gray125"/>
    </fill>
    <fill>
      <patternFill patternType="solid">
        <fgColor theme="4"/>
      </patternFill>
    </fill>
    <fill>
      <patternFill patternType="solid">
        <fgColor theme="7"/>
      </patternFill>
    </fill>
    <fill>
      <patternFill patternType="solid">
        <fgColor theme="1"/>
        <bgColor indexed="64"/>
      </patternFill>
    </fill>
    <fill>
      <patternFill patternType="solid">
        <fgColor rgb="FFFFFFFF"/>
        <bgColor indexed="64"/>
      </patternFill>
    </fill>
    <fill>
      <patternFill patternType="solid">
        <fgColor rgb="FFFFFF00"/>
        <bgColor indexed="64"/>
      </patternFill>
    </fill>
    <fill>
      <patternFill patternType="solid">
        <fgColor theme="6"/>
      </patternFill>
    </fill>
    <fill>
      <patternFill patternType="solid">
        <fgColor theme="3" tint="0.79998168889431442"/>
        <bgColor indexed="64"/>
      </patternFill>
    </fill>
    <fill>
      <patternFill patternType="solid">
        <fgColor theme="5"/>
        <bgColor indexed="64"/>
      </patternFill>
    </fill>
    <fill>
      <patternFill patternType="solid">
        <fgColor rgb="FF92D050"/>
        <bgColor indexed="64"/>
      </patternFill>
    </fill>
    <fill>
      <patternFill patternType="solid">
        <fgColor theme="7"/>
        <bgColor indexed="64"/>
      </patternFill>
    </fill>
    <fill>
      <patternFill patternType="solid">
        <fgColor rgb="FFFFCC99"/>
      </patternFill>
    </fill>
    <fill>
      <patternFill patternType="solid">
        <fgColor rgb="FFFFC00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6"/>
        <bgColor indexed="64"/>
      </patternFill>
    </fill>
    <fill>
      <patternFill patternType="solid">
        <fgColor theme="7" tint="-0.249977111117893"/>
        <bgColor indexed="64"/>
      </patternFill>
    </fill>
    <fill>
      <patternFill patternType="solid">
        <fgColor theme="9"/>
      </patternFill>
    </fill>
    <fill>
      <patternFill patternType="solid">
        <fgColor theme="0" tint="-4.9989318521683403E-2"/>
        <bgColor indexed="64"/>
      </patternFill>
    </fill>
    <fill>
      <patternFill patternType="solid">
        <fgColor rgb="FFC7E6A4"/>
        <bgColor indexed="64"/>
      </patternFill>
    </fill>
    <fill>
      <patternFill patternType="solid">
        <fgColor rgb="FFF2F2F2"/>
        <bgColor indexed="64"/>
      </patternFill>
    </fill>
    <fill>
      <patternFill patternType="solid">
        <fgColor indexed="16"/>
        <bgColor indexed="37"/>
      </patternFill>
    </fill>
    <fill>
      <patternFill patternType="solid">
        <fgColor indexed="50"/>
        <bgColor indexed="55"/>
      </patternFill>
    </fill>
    <fill>
      <patternFill patternType="solid">
        <fgColor indexed="30"/>
        <bgColor indexed="40"/>
      </patternFill>
    </fill>
    <fill>
      <patternFill patternType="solid">
        <fgColor indexed="41"/>
        <bgColor indexed="31"/>
      </patternFill>
    </fill>
    <fill>
      <patternFill patternType="solid">
        <fgColor indexed="51"/>
        <bgColor indexed="52"/>
      </patternFill>
    </fill>
    <fill>
      <patternFill patternType="solid">
        <fgColor indexed="40"/>
        <bgColor indexed="30"/>
      </patternFill>
    </fill>
    <fill>
      <patternFill patternType="solid">
        <fgColor rgb="FF0275D8"/>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right/>
      <top style="thin">
        <color rgb="FF7F7F7F"/>
      </top>
      <bottom/>
      <diagonal/>
    </border>
    <border>
      <left/>
      <right style="thin">
        <color indexed="64"/>
      </right>
      <top style="thin">
        <color rgb="FF7F7F7F"/>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double">
        <color auto="1"/>
      </top>
      <bottom/>
      <diagonal/>
    </border>
    <border>
      <left/>
      <right/>
      <top/>
      <bottom style="double">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bottom/>
      <diagonal/>
    </border>
    <border>
      <left style="medium">
        <color indexed="64"/>
      </left>
      <right/>
      <top/>
      <bottom/>
      <diagonal/>
    </border>
    <border>
      <left style="thin">
        <color indexed="64"/>
      </left>
      <right/>
      <top style="thin">
        <color indexed="64"/>
      </top>
      <bottom/>
      <diagonal/>
    </border>
    <border>
      <left/>
      <right/>
      <top style="double">
        <color theme="0" tint="-0.499984740745262"/>
      </top>
      <bottom/>
      <diagonal/>
    </border>
    <border>
      <left/>
      <right/>
      <top/>
      <bottom style="double">
        <color theme="0" tint="-0.499984740745262"/>
      </bottom>
      <diagonal/>
    </border>
  </borders>
  <cellStyleXfs count="12">
    <xf numFmtId="0" fontId="0" fillId="0" borderId="0"/>
    <xf numFmtId="0" fontId="2" fillId="2" borderId="0" applyNumberFormat="0" applyBorder="0" applyAlignment="0" applyProtection="0"/>
    <xf numFmtId="0" fontId="2" fillId="3" borderId="0" applyNumberFormat="0" applyBorder="0" applyAlignment="0" applyProtection="0"/>
    <xf numFmtId="0" fontId="4" fillId="0" borderId="0" applyNumberFormat="0" applyFill="0" applyBorder="0" applyAlignment="0" applyProtection="0"/>
    <xf numFmtId="0" fontId="2" fillId="7" borderId="0" applyNumberFormat="0" applyBorder="0" applyAlignment="0" applyProtection="0"/>
    <xf numFmtId="0" fontId="17" fillId="12" borderId="8" applyNumberFormat="0" applyAlignment="0" applyProtection="0"/>
    <xf numFmtId="9" fontId="20" fillId="0" borderId="0" applyFont="0" applyFill="0" applyBorder="0" applyAlignment="0" applyProtection="0"/>
    <xf numFmtId="43" fontId="20" fillId="0" borderId="0" applyFont="0" applyFill="0" applyBorder="0" applyAlignment="0" applyProtection="0"/>
    <xf numFmtId="0" fontId="2" fillId="19" borderId="0" applyNumberFormat="0" applyBorder="0" applyAlignment="0" applyProtection="0"/>
    <xf numFmtId="0" fontId="19" fillId="0" borderId="0"/>
    <xf numFmtId="170" fontId="20" fillId="0" borderId="0" applyFont="0" applyFill="0" applyBorder="0" applyAlignment="0" applyProtection="0"/>
    <xf numFmtId="0" fontId="49" fillId="0" borderId="0" applyNumberFormat="0" applyFill="0" applyBorder="0" applyAlignment="0" applyProtection="0">
      <alignment vertical="top"/>
      <protection locked="0"/>
    </xf>
  </cellStyleXfs>
  <cellXfs count="296">
    <xf numFmtId="0" fontId="0" fillId="0" borderId="0" xfId="0"/>
    <xf numFmtId="164" fontId="7" fillId="2" borderId="1" xfId="1" applyNumberFormat="1" applyFont="1" applyBorder="1" applyAlignment="1" applyProtection="1">
      <alignment horizontal="center" vertical="center" wrapText="1"/>
      <protection hidden="1"/>
    </xf>
    <xf numFmtId="0" fontId="0" fillId="0" borderId="0" xfId="0" applyProtection="1">
      <protection locked="0"/>
    </xf>
    <xf numFmtId="0" fontId="7" fillId="2" borderId="1" xfId="1" applyFont="1" applyBorder="1" applyAlignment="1" applyProtection="1">
      <alignment horizontal="center" vertical="center"/>
      <protection locked="0"/>
    </xf>
    <xf numFmtId="0" fontId="7" fillId="9" borderId="0" xfId="0" applyFont="1" applyFill="1" applyProtection="1">
      <protection locked="0"/>
    </xf>
    <xf numFmtId="0" fontId="0" fillId="0" borderId="0" xfId="0" applyAlignment="1" applyProtection="1">
      <alignment wrapText="1"/>
      <protection locked="0"/>
    </xf>
    <xf numFmtId="0" fontId="16" fillId="10" borderId="0" xfId="0" applyFont="1" applyFill="1" applyProtection="1">
      <protection locked="0"/>
    </xf>
    <xf numFmtId="0" fontId="7" fillId="11" borderId="0" xfId="0" applyFont="1" applyFill="1" applyProtection="1">
      <protection locked="0"/>
    </xf>
    <xf numFmtId="0" fontId="12" fillId="0" borderId="0" xfId="0" applyFont="1" applyProtection="1">
      <protection hidden="1"/>
    </xf>
    <xf numFmtId="0" fontId="12" fillId="0" borderId="1" xfId="0" applyFont="1" applyBorder="1" applyProtection="1">
      <protection hidden="1"/>
    </xf>
    <xf numFmtId="2" fontId="12" fillId="0" borderId="1" xfId="0" applyNumberFormat="1" applyFont="1" applyBorder="1" applyProtection="1">
      <protection hidden="1"/>
    </xf>
    <xf numFmtId="10" fontId="12" fillId="0" borderId="1" xfId="0" applyNumberFormat="1" applyFont="1" applyBorder="1" applyProtection="1">
      <protection hidden="1"/>
    </xf>
    <xf numFmtId="0" fontId="12" fillId="0" borderId="2" xfId="0" applyFont="1" applyBorder="1" applyProtection="1">
      <protection hidden="1"/>
    </xf>
    <xf numFmtId="0" fontId="12" fillId="0" borderId="0" xfId="0" applyFont="1" applyBorder="1" applyProtection="1">
      <protection hidden="1"/>
    </xf>
    <xf numFmtId="10" fontId="12" fillId="6" borderId="2" xfId="0" applyNumberFormat="1" applyFont="1" applyFill="1" applyBorder="1" applyProtection="1">
      <protection hidden="1"/>
    </xf>
    <xf numFmtId="1" fontId="12" fillId="0" borderId="1" xfId="0" applyNumberFormat="1" applyFont="1" applyBorder="1" applyAlignment="1" applyProtection="1">
      <alignment horizontal="right"/>
      <protection hidden="1"/>
    </xf>
    <xf numFmtId="2" fontId="12" fillId="0" borderId="2" xfId="0" applyNumberFormat="1" applyFont="1" applyBorder="1" applyProtection="1">
      <protection hidden="1"/>
    </xf>
    <xf numFmtId="0" fontId="17" fillId="12" borderId="8" xfId="5" applyAlignment="1" applyProtection="1">
      <alignment horizontal="center" vertical="center" wrapText="1"/>
      <protection locked="0"/>
    </xf>
    <xf numFmtId="10" fontId="17" fillId="12" borderId="8" xfId="5" applyNumberFormat="1" applyAlignment="1" applyProtection="1">
      <alignment horizontal="center" vertical="center" wrapText="1"/>
      <protection locked="0"/>
    </xf>
    <xf numFmtId="0" fontId="17" fillId="12" borderId="8" xfId="5" applyAlignment="1" applyProtection="1">
      <alignment horizontal="left" vertical="center" wrapText="1"/>
      <protection locked="0"/>
    </xf>
    <xf numFmtId="0" fontId="15" fillId="7" borderId="1" xfId="4" applyFont="1" applyBorder="1" applyProtection="1">
      <protection hidden="1"/>
    </xf>
    <xf numFmtId="14" fontId="15" fillId="7" borderId="1" xfId="4" applyNumberFormat="1" applyFont="1" applyBorder="1" applyAlignment="1" applyProtection="1">
      <alignment horizontal="right" vertical="center" wrapText="1"/>
      <protection hidden="1"/>
    </xf>
    <xf numFmtId="0" fontId="6" fillId="0" borderId="1" xfId="0" applyFont="1" applyBorder="1" applyProtection="1">
      <protection hidden="1"/>
    </xf>
    <xf numFmtId="2" fontId="6" fillId="0" borderId="1" xfId="0" applyNumberFormat="1" applyFont="1" applyBorder="1" applyProtection="1">
      <protection hidden="1"/>
    </xf>
    <xf numFmtId="0" fontId="6" fillId="0" borderId="1" xfId="0" applyFont="1" applyFill="1" applyBorder="1" applyProtection="1">
      <protection hidden="1"/>
    </xf>
    <xf numFmtId="10" fontId="6" fillId="0" borderId="1" xfId="0" applyNumberFormat="1" applyFont="1" applyBorder="1" applyProtection="1">
      <protection hidden="1"/>
    </xf>
    <xf numFmtId="0" fontId="6" fillId="6" borderId="1" xfId="0" applyFont="1" applyFill="1" applyBorder="1" applyProtection="1">
      <protection hidden="1"/>
    </xf>
    <xf numFmtId="3" fontId="6" fillId="0" borderId="1" xfId="0" applyNumberFormat="1" applyFont="1" applyBorder="1" applyProtection="1">
      <protection hidden="1"/>
    </xf>
    <xf numFmtId="0" fontId="6" fillId="0" borderId="0" xfId="0" applyFont="1" applyBorder="1" applyProtection="1">
      <protection hidden="1"/>
    </xf>
    <xf numFmtId="0" fontId="6" fillId="0" borderId="0" xfId="0" applyFont="1" applyProtection="1">
      <protection hidden="1"/>
    </xf>
    <xf numFmtId="0" fontId="7" fillId="7" borderId="1" xfId="4" applyFont="1" applyBorder="1" applyProtection="1">
      <protection hidden="1"/>
    </xf>
    <xf numFmtId="14" fontId="7" fillId="7" borderId="1" xfId="4" applyNumberFormat="1" applyFont="1" applyBorder="1" applyAlignment="1" applyProtection="1">
      <alignment horizontal="center" vertical="center" wrapText="1"/>
      <protection hidden="1"/>
    </xf>
    <xf numFmtId="0" fontId="7" fillId="0" borderId="0" xfId="0" applyFont="1" applyProtection="1">
      <protection hidden="1"/>
    </xf>
    <xf numFmtId="0" fontId="6" fillId="0" borderId="2" xfId="0" applyFont="1" applyBorder="1" applyProtection="1">
      <protection hidden="1"/>
    </xf>
    <xf numFmtId="1" fontId="7" fillId="0" borderId="0" xfId="0" applyNumberFormat="1" applyFont="1" applyProtection="1">
      <protection hidden="1"/>
    </xf>
    <xf numFmtId="0" fontId="6" fillId="0" borderId="1" xfId="0" applyNumberFormat="1" applyFont="1" applyFill="1" applyBorder="1" applyAlignment="1" applyProtection="1">
      <alignment horizontal="right"/>
      <protection hidden="1"/>
    </xf>
    <xf numFmtId="0" fontId="6" fillId="0" borderId="0" xfId="0" applyNumberFormat="1" applyFont="1" applyFill="1" applyBorder="1" applyAlignment="1" applyProtection="1">
      <alignment horizontal="right"/>
      <protection hidden="1"/>
    </xf>
    <xf numFmtId="0" fontId="6" fillId="0" borderId="1" xfId="0" applyNumberFormat="1" applyFont="1" applyBorder="1" applyAlignment="1" applyProtection="1">
      <alignment horizontal="right"/>
      <protection hidden="1"/>
    </xf>
    <xf numFmtId="0" fontId="6" fillId="0" borderId="0" xfId="0" applyNumberFormat="1" applyFont="1" applyBorder="1" applyAlignment="1" applyProtection="1">
      <alignment horizontal="right"/>
      <protection hidden="1"/>
    </xf>
    <xf numFmtId="0" fontId="5" fillId="6" borderId="1" xfId="0" applyFont="1" applyFill="1" applyBorder="1" applyAlignment="1" applyProtection="1">
      <alignment wrapText="1"/>
      <protection hidden="1"/>
    </xf>
    <xf numFmtId="0" fontId="5" fillId="6" borderId="1" xfId="0" applyNumberFormat="1" applyFont="1" applyFill="1" applyBorder="1" applyAlignment="1" applyProtection="1">
      <alignment horizontal="right"/>
      <protection hidden="1"/>
    </xf>
    <xf numFmtId="0" fontId="5" fillId="0" borderId="0" xfId="0" applyNumberFormat="1" applyFont="1" applyBorder="1" applyAlignment="1" applyProtection="1">
      <alignment horizontal="right"/>
      <protection hidden="1"/>
    </xf>
    <xf numFmtId="0" fontId="5" fillId="0" borderId="1" xfId="0" applyFont="1" applyBorder="1" applyAlignment="1" applyProtection="1">
      <alignment horizontal="center"/>
      <protection hidden="1"/>
    </xf>
    <xf numFmtId="0" fontId="16" fillId="0" borderId="0" xfId="0" applyFont="1" applyProtection="1">
      <protection hidden="1"/>
    </xf>
    <xf numFmtId="2" fontId="6" fillId="6" borderId="1" xfId="0" applyNumberFormat="1" applyFont="1" applyFill="1" applyBorder="1" applyProtection="1">
      <protection hidden="1"/>
    </xf>
    <xf numFmtId="0" fontId="2" fillId="7" borderId="0" xfId="4" applyProtection="1">
      <protection hidden="1"/>
    </xf>
    <xf numFmtId="0" fontId="0" fillId="0" borderId="0" xfId="0" applyAlignment="1">
      <alignment horizontal="left" vertical="center" indent="1"/>
    </xf>
    <xf numFmtId="0" fontId="21" fillId="0" borderId="0" xfId="0" applyFont="1"/>
    <xf numFmtId="0" fontId="0" fillId="13" borderId="1" xfId="0" applyFill="1" applyBorder="1" applyAlignment="1" applyProtection="1">
      <alignment horizontal="center"/>
      <protection hidden="1"/>
    </xf>
    <xf numFmtId="0" fontId="1" fillId="13" borderId="1" xfId="0" applyFont="1" applyFill="1" applyBorder="1" applyAlignment="1" applyProtection="1">
      <alignment horizontal="center" vertical="center" wrapText="1"/>
      <protection hidden="1"/>
    </xf>
    <xf numFmtId="0" fontId="0" fillId="14" borderId="1" xfId="0" applyFill="1" applyBorder="1" applyAlignment="1" applyProtection="1">
      <alignment horizontal="center"/>
      <protection hidden="1"/>
    </xf>
    <xf numFmtId="9" fontId="0" fillId="14" borderId="1" xfId="6" applyFont="1" applyFill="1" applyBorder="1" applyAlignment="1" applyProtection="1">
      <alignment horizontal="center"/>
      <protection hidden="1"/>
    </xf>
    <xf numFmtId="2" fontId="0" fillId="14" borderId="1" xfId="0" applyNumberFormat="1" applyFill="1" applyBorder="1" applyAlignment="1" applyProtection="1">
      <alignment horizontal="center"/>
      <protection hidden="1"/>
    </xf>
    <xf numFmtId="0" fontId="1" fillId="14" borderId="1" xfId="0" applyFont="1" applyFill="1" applyBorder="1" applyAlignment="1" applyProtection="1">
      <alignment horizontal="center"/>
      <protection hidden="1"/>
    </xf>
    <xf numFmtId="9" fontId="1" fillId="14" borderId="1" xfId="6" applyFont="1" applyFill="1" applyBorder="1" applyAlignment="1" applyProtection="1">
      <alignment horizontal="center"/>
      <protection hidden="1"/>
    </xf>
    <xf numFmtId="165" fontId="0" fillId="0" borderId="0" xfId="0" applyNumberFormat="1"/>
    <xf numFmtId="0" fontId="2" fillId="3" borderId="0" xfId="2" applyAlignment="1">
      <alignment wrapText="1"/>
    </xf>
    <xf numFmtId="0" fontId="24" fillId="12" borderId="8" xfId="5" applyFont="1" applyAlignment="1">
      <alignment wrapText="1"/>
    </xf>
    <xf numFmtId="0" fontId="23" fillId="0" borderId="1" xfId="0" applyFont="1" applyBorder="1" applyAlignment="1" applyProtection="1">
      <alignment wrapText="1"/>
      <protection hidden="1"/>
    </xf>
    <xf numFmtId="1" fontId="23" fillId="0" borderId="1" xfId="0" applyNumberFormat="1" applyFont="1" applyBorder="1" applyAlignment="1" applyProtection="1">
      <alignment wrapText="1"/>
      <protection hidden="1"/>
    </xf>
    <xf numFmtId="2" fontId="23" fillId="0" borderId="1" xfId="0" applyNumberFormat="1" applyFont="1" applyBorder="1" applyAlignment="1" applyProtection="1">
      <alignment wrapText="1"/>
      <protection hidden="1"/>
    </xf>
    <xf numFmtId="0" fontId="23" fillId="0" borderId="1" xfId="0" applyFont="1" applyBorder="1" applyProtection="1">
      <protection hidden="1"/>
    </xf>
    <xf numFmtId="0" fontId="23" fillId="0" borderId="6" xfId="0" applyFont="1" applyBorder="1" applyAlignment="1">
      <alignment wrapText="1"/>
    </xf>
    <xf numFmtId="0" fontId="23" fillId="0" borderId="7" xfId="0" applyFont="1" applyBorder="1" applyAlignment="1">
      <alignment wrapText="1"/>
    </xf>
    <xf numFmtId="0" fontId="24" fillId="16" borderId="8" xfId="5" applyFont="1" applyFill="1" applyAlignment="1" applyProtection="1">
      <alignment wrapText="1"/>
      <protection hidden="1"/>
    </xf>
    <xf numFmtId="0" fontId="17" fillId="16" borderId="8" xfId="5" applyFill="1" applyAlignment="1" applyProtection="1">
      <alignment wrapText="1"/>
      <protection hidden="1"/>
    </xf>
    <xf numFmtId="9" fontId="17" fillId="12" borderId="8" xfId="5" applyNumberFormat="1" applyAlignment="1" applyProtection="1">
      <alignment wrapText="1"/>
      <protection locked="0"/>
    </xf>
    <xf numFmtId="0" fontId="0" fillId="17" borderId="0" xfId="0" applyFill="1"/>
    <xf numFmtId="1" fontId="17" fillId="12" borderId="8" xfId="5" applyNumberFormat="1" applyAlignment="1" applyProtection="1">
      <alignment wrapText="1"/>
      <protection locked="0"/>
    </xf>
    <xf numFmtId="1" fontId="0" fillId="17" borderId="0" xfId="0" applyNumberFormat="1" applyFill="1" applyProtection="1">
      <protection hidden="1"/>
    </xf>
    <xf numFmtId="3" fontId="17" fillId="12" borderId="8" xfId="5" applyNumberFormat="1" applyAlignment="1" applyProtection="1">
      <alignment horizontal="center" vertical="center" wrapText="1"/>
      <protection locked="0"/>
    </xf>
    <xf numFmtId="0" fontId="26" fillId="0" borderId="0" xfId="0" applyFont="1"/>
    <xf numFmtId="0" fontId="0" fillId="0" borderId="0" xfId="0" applyBorder="1"/>
    <xf numFmtId="0" fontId="0" fillId="0" borderId="17" xfId="0" applyBorder="1"/>
    <xf numFmtId="0" fontId="0" fillId="0" borderId="18" xfId="0" applyBorder="1"/>
    <xf numFmtId="0" fontId="0" fillId="0" borderId="19" xfId="0" applyBorder="1"/>
    <xf numFmtId="1" fontId="24" fillId="16" borderId="8" xfId="5" applyNumberFormat="1" applyFont="1" applyFill="1" applyAlignment="1" applyProtection="1">
      <alignment wrapText="1"/>
      <protection hidden="1"/>
    </xf>
    <xf numFmtId="0" fontId="28" fillId="0" borderId="0" xfId="0" applyFont="1"/>
    <xf numFmtId="0" fontId="3" fillId="0" borderId="0" xfId="1" applyFont="1" applyFill="1" applyBorder="1" applyAlignment="1" applyProtection="1">
      <alignment horizontal="left" vertical="top"/>
      <protection locked="0"/>
    </xf>
    <xf numFmtId="0" fontId="15" fillId="3" borderId="2" xfId="2" applyFont="1" applyBorder="1" applyAlignment="1" applyProtection="1">
      <alignment horizontal="center"/>
      <protection hidden="1"/>
    </xf>
    <xf numFmtId="0" fontId="31" fillId="0" borderId="0" xfId="0" applyFont="1" applyAlignment="1">
      <alignment wrapText="1"/>
    </xf>
    <xf numFmtId="0" fontId="31" fillId="0" borderId="0" xfId="0" applyFont="1" applyAlignment="1">
      <alignment horizontal="center" wrapText="1"/>
    </xf>
    <xf numFmtId="0" fontId="33" fillId="16" borderId="1" xfId="0" applyFont="1" applyFill="1" applyBorder="1" applyAlignment="1">
      <alignment horizontal="center" vertical="center" wrapText="1"/>
    </xf>
    <xf numFmtId="0" fontId="34" fillId="16" borderId="1" xfId="0" applyFont="1" applyFill="1" applyBorder="1" applyAlignment="1">
      <alignment vertical="center" wrapText="1"/>
    </xf>
    <xf numFmtId="0" fontId="34" fillId="16" borderId="1" xfId="0" applyFont="1" applyFill="1" applyBorder="1" applyAlignment="1">
      <alignment horizontal="center" vertical="center" wrapText="1"/>
    </xf>
    <xf numFmtId="0" fontId="32" fillId="20" borderId="24" xfId="0" applyFont="1" applyFill="1" applyBorder="1" applyAlignment="1">
      <alignment horizontal="center" vertical="center" wrapText="1"/>
    </xf>
    <xf numFmtId="0" fontId="33" fillId="6" borderId="1" xfId="0" applyFont="1" applyFill="1" applyBorder="1" applyAlignment="1">
      <alignment horizontal="center" wrapText="1"/>
    </xf>
    <xf numFmtId="9" fontId="33" fillId="6" borderId="1" xfId="0" applyNumberFormat="1" applyFont="1" applyFill="1" applyBorder="1" applyAlignment="1">
      <alignment horizontal="center" wrapText="1"/>
    </xf>
    <xf numFmtId="0" fontId="33" fillId="5" borderId="1" xfId="0" applyFont="1" applyFill="1" applyBorder="1" applyAlignment="1">
      <alignment horizontal="center" wrapText="1"/>
    </xf>
    <xf numFmtId="0" fontId="32" fillId="21" borderId="1" xfId="0" applyFont="1" applyFill="1" applyBorder="1" applyAlignment="1">
      <alignment horizontal="left" vertical="center" wrapText="1"/>
    </xf>
    <xf numFmtId="9" fontId="32" fillId="0" borderId="1" xfId="0" applyNumberFormat="1" applyFont="1" applyBorder="1" applyAlignment="1">
      <alignment horizontal="center" vertical="center" wrapText="1"/>
    </xf>
    <xf numFmtId="167" fontId="32" fillId="0" borderId="1" xfId="0" applyNumberFormat="1" applyFont="1" applyBorder="1" applyAlignment="1">
      <alignment horizontal="center" vertical="center" wrapText="1"/>
    </xf>
    <xf numFmtId="0" fontId="34" fillId="6" borderId="2" xfId="0" applyFont="1" applyFill="1" applyBorder="1" applyAlignment="1">
      <alignment horizontal="center" vertical="center" wrapText="1"/>
    </xf>
    <xf numFmtId="0" fontId="34" fillId="6" borderId="4" xfId="0" applyFont="1" applyFill="1" applyBorder="1" applyAlignment="1">
      <alignment horizontal="center" vertical="center" wrapText="1"/>
    </xf>
    <xf numFmtId="0" fontId="34" fillId="6" borderId="3" xfId="0" applyFont="1" applyFill="1" applyBorder="1" applyAlignment="1">
      <alignment horizontal="center" vertical="center" wrapText="1"/>
    </xf>
    <xf numFmtId="9" fontId="31" fillId="0" borderId="1" xfId="6" applyFont="1" applyBorder="1" applyAlignment="1">
      <alignment horizontal="center" vertical="center" wrapText="1"/>
    </xf>
    <xf numFmtId="167" fontId="31" fillId="0" borderId="1" xfId="0" applyNumberFormat="1" applyFont="1" applyBorder="1" applyAlignment="1">
      <alignment horizontal="center" vertical="center" wrapText="1"/>
    </xf>
    <xf numFmtId="0" fontId="33" fillId="5" borderId="1" xfId="0" applyFont="1" applyFill="1" applyBorder="1" applyAlignment="1">
      <alignment horizontal="center" vertical="center" wrapText="1"/>
    </xf>
    <xf numFmtId="0" fontId="33" fillId="5" borderId="1" xfId="0" applyFont="1" applyFill="1" applyBorder="1" applyAlignment="1">
      <alignment vertical="center" wrapText="1"/>
    </xf>
    <xf numFmtId="9" fontId="33" fillId="5" borderId="1" xfId="6" applyFont="1" applyFill="1" applyBorder="1" applyAlignment="1">
      <alignment horizontal="center" vertical="center" wrapText="1"/>
    </xf>
    <xf numFmtId="0" fontId="33" fillId="5" borderId="1" xfId="0" applyFont="1" applyFill="1" applyBorder="1" applyAlignment="1">
      <alignment horizontal="left" vertical="center" wrapText="1"/>
    </xf>
    <xf numFmtId="9" fontId="33" fillId="5" borderId="1" xfId="0" applyNumberFormat="1" applyFont="1" applyFill="1" applyBorder="1" applyAlignment="1">
      <alignment horizontal="center" vertical="center" wrapText="1"/>
    </xf>
    <xf numFmtId="0" fontId="33" fillId="5" borderId="3" xfId="0" applyFont="1" applyFill="1" applyBorder="1" applyAlignment="1">
      <alignment horizontal="left" vertical="center" wrapText="1"/>
    </xf>
    <xf numFmtId="0" fontId="33" fillId="5" borderId="1" xfId="0" applyFont="1" applyFill="1" applyBorder="1" applyAlignment="1">
      <alignment horizontal="justify" vertical="center" wrapText="1"/>
    </xf>
    <xf numFmtId="167" fontId="33" fillId="5" borderId="1" xfId="6" applyNumberFormat="1" applyFont="1" applyFill="1" applyBorder="1" applyAlignment="1">
      <alignment horizontal="center" vertical="center" wrapText="1"/>
    </xf>
    <xf numFmtId="2" fontId="33" fillId="5" borderId="1" xfId="0" applyNumberFormat="1" applyFont="1" applyFill="1" applyBorder="1" applyAlignment="1">
      <alignment horizontal="center" vertical="center" wrapText="1"/>
    </xf>
    <xf numFmtId="0" fontId="33" fillId="5" borderId="1" xfId="0" applyFont="1" applyFill="1" applyBorder="1" applyAlignment="1">
      <alignment vertical="top" wrapText="1"/>
    </xf>
    <xf numFmtId="1" fontId="33" fillId="5" borderId="1" xfId="0" applyNumberFormat="1" applyFont="1" applyFill="1" applyBorder="1" applyAlignment="1">
      <alignment horizontal="center" vertical="center" wrapText="1"/>
    </xf>
    <xf numFmtId="9" fontId="33" fillId="6" borderId="1" xfId="0" applyNumberFormat="1" applyFont="1" applyFill="1" applyBorder="1" applyAlignment="1">
      <alignment horizontal="center" vertical="center" wrapText="1"/>
    </xf>
    <xf numFmtId="0" fontId="33" fillId="6" borderId="1" xfId="0" applyFont="1" applyFill="1" applyBorder="1" applyAlignment="1">
      <alignment horizontal="center" vertical="center" wrapText="1"/>
    </xf>
    <xf numFmtId="167" fontId="33" fillId="5" borderId="1" xfId="0" applyNumberFormat="1" applyFont="1" applyFill="1" applyBorder="1" applyAlignment="1">
      <alignment horizontal="center" vertical="center" wrapText="1"/>
    </xf>
    <xf numFmtId="0" fontId="33" fillId="5" borderId="1" xfId="0" applyFont="1" applyFill="1" applyBorder="1" applyAlignment="1">
      <alignment horizontal="center" vertical="top" wrapText="1"/>
    </xf>
    <xf numFmtId="10" fontId="33" fillId="5" borderId="1" xfId="0" applyNumberFormat="1" applyFont="1" applyFill="1" applyBorder="1" applyAlignment="1">
      <alignment horizontal="left" vertical="center" wrapText="1"/>
    </xf>
    <xf numFmtId="9" fontId="33" fillId="5" borderId="1" xfId="0" applyNumberFormat="1" applyFont="1" applyFill="1" applyBorder="1" applyAlignment="1">
      <alignment horizontal="left" vertical="center" wrapText="1"/>
    </xf>
    <xf numFmtId="0" fontId="35" fillId="6" borderId="25" xfId="9" applyFont="1" applyFill="1" applyBorder="1" applyAlignment="1">
      <alignment horizontal="center" vertical="center" wrapText="1"/>
    </xf>
    <xf numFmtId="0" fontId="35" fillId="22" borderId="25" xfId="9" applyFont="1" applyFill="1" applyBorder="1" applyAlignment="1">
      <alignment horizontal="center" vertical="center" wrapText="1"/>
    </xf>
    <xf numFmtId="0" fontId="36" fillId="0" borderId="0" xfId="9" applyFont="1" applyFill="1" applyBorder="1" applyAlignment="1">
      <alignment horizontal="center" vertical="center" wrapText="1"/>
    </xf>
    <xf numFmtId="167" fontId="36" fillId="0" borderId="25" xfId="9" applyNumberFormat="1" applyFont="1" applyFill="1" applyBorder="1" applyAlignment="1">
      <alignment horizontal="center" vertical="center" wrapText="1"/>
    </xf>
    <xf numFmtId="9" fontId="36" fillId="0" borderId="25" xfId="6" applyFont="1" applyFill="1" applyBorder="1" applyAlignment="1">
      <alignment horizontal="center" vertical="center" wrapText="1"/>
    </xf>
    <xf numFmtId="9" fontId="36" fillId="0" borderId="25" xfId="9" applyNumberFormat="1" applyFont="1" applyFill="1" applyBorder="1" applyAlignment="1">
      <alignment horizontal="center" vertical="center" wrapText="1"/>
    </xf>
    <xf numFmtId="10" fontId="36" fillId="0" borderId="25" xfId="9" applyNumberFormat="1" applyFont="1" applyFill="1" applyBorder="1" applyAlignment="1">
      <alignment horizontal="center" vertical="center" wrapText="1"/>
    </xf>
    <xf numFmtId="168" fontId="36" fillId="0" borderId="25" xfId="9" applyNumberFormat="1" applyFont="1" applyFill="1" applyBorder="1" applyAlignment="1">
      <alignment horizontal="center" vertical="center" wrapText="1"/>
    </xf>
    <xf numFmtId="168" fontId="35" fillId="0" borderId="25" xfId="9" applyNumberFormat="1" applyFont="1" applyFill="1" applyBorder="1" applyAlignment="1">
      <alignment horizontal="center" vertical="center" wrapText="1"/>
    </xf>
    <xf numFmtId="168" fontId="36" fillId="0" borderId="25" xfId="6" applyNumberFormat="1" applyFont="1" applyFill="1" applyBorder="1" applyAlignment="1">
      <alignment horizontal="center" vertical="center" wrapText="1"/>
    </xf>
    <xf numFmtId="9" fontId="35" fillId="0" borderId="25" xfId="6" applyFont="1" applyFill="1" applyBorder="1" applyAlignment="1">
      <alignment horizontal="center" vertical="center" wrapText="1"/>
    </xf>
    <xf numFmtId="0" fontId="35" fillId="0" borderId="0" xfId="9" applyFont="1" applyFill="1" applyBorder="1" applyAlignment="1">
      <alignment horizontal="center" vertical="center" wrapText="1"/>
    </xf>
    <xf numFmtId="167" fontId="36" fillId="0" borderId="0" xfId="9" applyNumberFormat="1" applyFont="1" applyFill="1" applyBorder="1" applyAlignment="1">
      <alignment horizontal="center" vertical="center" wrapText="1"/>
    </xf>
    <xf numFmtId="9" fontId="36" fillId="0" borderId="0" xfId="6" applyFont="1" applyFill="1" applyBorder="1" applyAlignment="1">
      <alignment horizontal="center" vertical="center" wrapText="1"/>
    </xf>
    <xf numFmtId="168" fontId="36" fillId="0" borderId="0" xfId="6" applyNumberFormat="1" applyFont="1" applyFill="1" applyBorder="1" applyAlignment="1">
      <alignment horizontal="center" vertical="center" wrapText="1"/>
    </xf>
    <xf numFmtId="0" fontId="36" fillId="0" borderId="0" xfId="9" applyFont="1" applyFill="1" applyBorder="1" applyAlignment="1">
      <alignment horizontal="center" vertical="center" wrapText="1"/>
    </xf>
    <xf numFmtId="9" fontId="31" fillId="0" borderId="25" xfId="6" applyFont="1" applyFill="1" applyBorder="1" applyAlignment="1">
      <alignment horizontal="center" vertical="center" wrapText="1"/>
    </xf>
    <xf numFmtId="168" fontId="36" fillId="0" borderId="0" xfId="9" applyNumberFormat="1" applyFont="1" applyFill="1" applyBorder="1" applyAlignment="1">
      <alignment horizontal="center" vertical="center" wrapText="1"/>
    </xf>
    <xf numFmtId="10" fontId="36" fillId="0" borderId="0" xfId="9" applyNumberFormat="1" applyFont="1" applyFill="1" applyBorder="1" applyAlignment="1">
      <alignment horizontal="center" vertical="center" wrapText="1"/>
    </xf>
    <xf numFmtId="9" fontId="36" fillId="0" borderId="0" xfId="9" applyNumberFormat="1" applyFont="1" applyFill="1" applyBorder="1" applyAlignment="1">
      <alignment horizontal="center" vertical="center" wrapText="1"/>
    </xf>
    <xf numFmtId="0" fontId="36" fillId="22" borderId="25" xfId="9" applyFont="1" applyFill="1" applyBorder="1" applyAlignment="1">
      <alignment horizontal="center" vertical="center" wrapText="1"/>
    </xf>
    <xf numFmtId="2" fontId="36" fillId="0" borderId="0" xfId="9" applyNumberFormat="1" applyFont="1" applyFill="1" applyBorder="1" applyAlignment="1">
      <alignment horizontal="center" vertical="center" wrapText="1"/>
    </xf>
    <xf numFmtId="168" fontId="37" fillId="0" borderId="25" xfId="6" applyNumberFormat="1" applyFont="1" applyFill="1" applyBorder="1" applyAlignment="1">
      <alignment horizontal="center" vertical="center"/>
    </xf>
    <xf numFmtId="168" fontId="31" fillId="0" borderId="25" xfId="6" applyNumberFormat="1" applyFont="1" applyFill="1" applyBorder="1" applyAlignment="1">
      <alignment horizontal="center" vertical="center" wrapText="1"/>
    </xf>
    <xf numFmtId="0" fontId="40" fillId="0" borderId="0" xfId="0" applyFont="1" applyBorder="1"/>
    <xf numFmtId="0" fontId="41" fillId="0" borderId="0" xfId="0" applyFont="1" applyBorder="1"/>
    <xf numFmtId="0" fontId="43" fillId="24" borderId="0" xfId="0" applyFont="1" applyFill="1"/>
    <xf numFmtId="0" fontId="43" fillId="0" borderId="0" xfId="0" applyFont="1"/>
    <xf numFmtId="0" fontId="42" fillId="25" borderId="26" xfId="0" applyFont="1" applyFill="1" applyBorder="1" applyAlignment="1">
      <alignment horizontal="center"/>
    </xf>
    <xf numFmtId="0" fontId="44" fillId="0" borderId="26" xfId="0" applyFont="1" applyBorder="1"/>
    <xf numFmtId="0" fontId="43" fillId="0" borderId="26" xfId="0" applyFont="1" applyBorder="1"/>
    <xf numFmtId="0" fontId="43" fillId="0" borderId="26" xfId="0" applyFont="1" applyFill="1" applyBorder="1" applyAlignment="1">
      <alignment horizontal="left" wrapText="1"/>
    </xf>
    <xf numFmtId="4" fontId="45" fillId="0" borderId="1" xfId="0" applyNumberFormat="1" applyFont="1" applyFill="1" applyBorder="1" applyAlignment="1">
      <alignment horizontal="right" vertical="center" wrapText="1"/>
    </xf>
    <xf numFmtId="0" fontId="46" fillId="27" borderId="27" xfId="0" applyFont="1" applyFill="1" applyBorder="1" applyAlignment="1">
      <alignment horizontal="right" vertical="center" wrapText="1"/>
    </xf>
    <xf numFmtId="0" fontId="42" fillId="28" borderId="27" xfId="0" applyFont="1" applyFill="1" applyBorder="1"/>
    <xf numFmtId="0" fontId="43" fillId="0" borderId="27" xfId="0" applyFont="1" applyFill="1" applyBorder="1"/>
    <xf numFmtId="2" fontId="43" fillId="0" borderId="27" xfId="0" applyNumberFormat="1" applyFont="1" applyFill="1" applyBorder="1"/>
    <xf numFmtId="2" fontId="43" fillId="0" borderId="27" xfId="0" applyNumberFormat="1" applyFont="1" applyFill="1" applyBorder="1" applyAlignment="1">
      <alignment horizontal="right"/>
    </xf>
    <xf numFmtId="10" fontId="43" fillId="0" borderId="0" xfId="0" applyNumberFormat="1" applyFont="1" applyFill="1"/>
    <xf numFmtId="0" fontId="43" fillId="13" borderId="27" xfId="0" applyFont="1" applyFill="1" applyBorder="1"/>
    <xf numFmtId="0" fontId="42" fillId="25" borderId="28" xfId="0" applyFont="1" applyFill="1" applyBorder="1" applyAlignment="1">
      <alignment horizontal="center"/>
    </xf>
    <xf numFmtId="0" fontId="43" fillId="0" borderId="1" xfId="0" applyFont="1" applyBorder="1"/>
    <xf numFmtId="43" fontId="43" fillId="0" borderId="1" xfId="0" applyNumberFormat="1" applyFont="1" applyBorder="1"/>
    <xf numFmtId="0" fontId="43" fillId="24" borderId="29" xfId="0" applyFont="1" applyFill="1" applyBorder="1"/>
    <xf numFmtId="0" fontId="43" fillId="0" borderId="1" xfId="0" applyFont="1" applyFill="1" applyBorder="1"/>
    <xf numFmtId="2" fontId="43" fillId="0" borderId="1" xfId="0" applyNumberFormat="1" applyFont="1" applyBorder="1"/>
    <xf numFmtId="0" fontId="43" fillId="13" borderId="1" xfId="0" applyFont="1" applyFill="1" applyBorder="1"/>
    <xf numFmtId="0" fontId="43" fillId="6" borderId="1" xfId="0" applyFont="1" applyFill="1" applyBorder="1"/>
    <xf numFmtId="0" fontId="41" fillId="0" borderId="1" xfId="0" applyFont="1" applyBorder="1"/>
    <xf numFmtId="167" fontId="43" fillId="0" borderId="1" xfId="0" applyNumberFormat="1" applyFont="1" applyBorder="1"/>
    <xf numFmtId="9" fontId="47" fillId="0" borderId="1" xfId="6" applyFont="1" applyBorder="1"/>
    <xf numFmtId="0" fontId="43" fillId="0" borderId="27" xfId="0" applyFont="1" applyFill="1" applyBorder="1" applyAlignment="1">
      <alignment horizontal="left"/>
    </xf>
    <xf numFmtId="0" fontId="43" fillId="0" borderId="27" xfId="0" applyFont="1" applyBorder="1"/>
    <xf numFmtId="0" fontId="43" fillId="0" borderId="1" xfId="0" applyFont="1" applyFill="1" applyBorder="1" applyAlignment="1"/>
    <xf numFmtId="2" fontId="43" fillId="0" borderId="1" xfId="0" applyNumberFormat="1" applyFont="1" applyFill="1" applyBorder="1" applyAlignment="1">
      <alignment horizontal="center" vertical="center"/>
    </xf>
    <xf numFmtId="2" fontId="43" fillId="0" borderId="1" xfId="0" applyNumberFormat="1" applyFont="1" applyBorder="1" applyAlignment="1">
      <alignment horizontal="center" vertical="center"/>
    </xf>
    <xf numFmtId="10" fontId="43" fillId="0" borderId="1" xfId="0" applyNumberFormat="1" applyFont="1" applyBorder="1"/>
    <xf numFmtId="0" fontId="43" fillId="0" borderId="0" xfId="0" applyFont="1" applyBorder="1"/>
    <xf numFmtId="10" fontId="43" fillId="0" borderId="0" xfId="0" applyNumberFormat="1" applyFont="1" applyBorder="1"/>
    <xf numFmtId="169" fontId="43" fillId="0" borderId="0" xfId="0" applyNumberFormat="1" applyFont="1" applyBorder="1"/>
    <xf numFmtId="170" fontId="1" fillId="0" borderId="0" xfId="10" applyFont="1" applyBorder="1"/>
    <xf numFmtId="170" fontId="0" fillId="0" borderId="0" xfId="10" applyFont="1" applyBorder="1"/>
    <xf numFmtId="171" fontId="25" fillId="29" borderId="0" xfId="10" applyNumberFormat="1" applyFont="1" applyFill="1" applyBorder="1"/>
    <xf numFmtId="171" fontId="25" fillId="29" borderId="0" xfId="0" applyNumberFormat="1" applyFont="1" applyFill="1" applyBorder="1" applyAlignment="1">
      <alignment horizontal="center"/>
    </xf>
    <xf numFmtId="171" fontId="3" fillId="0" borderId="0" xfId="10" applyNumberFormat="1" applyFont="1" applyFill="1" applyBorder="1"/>
    <xf numFmtId="170" fontId="20" fillId="0" borderId="0" xfId="10" applyFont="1" applyBorder="1"/>
    <xf numFmtId="43" fontId="0" fillId="0" borderId="0" xfId="10" applyNumberFormat="1" applyFont="1" applyBorder="1"/>
    <xf numFmtId="9" fontId="6" fillId="0" borderId="1" xfId="6" applyFont="1" applyBorder="1" applyProtection="1">
      <protection hidden="1"/>
    </xf>
    <xf numFmtId="168" fontId="6" fillId="0" borderId="1" xfId="6" applyNumberFormat="1" applyFont="1" applyBorder="1" applyProtection="1">
      <protection hidden="1"/>
    </xf>
    <xf numFmtId="1" fontId="43" fillId="0" borderId="1" xfId="0" applyNumberFormat="1" applyFont="1" applyFill="1" applyBorder="1" applyAlignment="1">
      <alignment horizontal="center" vertical="center"/>
    </xf>
    <xf numFmtId="167" fontId="12" fillId="0" borderId="1" xfId="0" applyNumberFormat="1" applyFont="1" applyBorder="1" applyProtection="1">
      <protection hidden="1"/>
    </xf>
    <xf numFmtId="3" fontId="6" fillId="0" borderId="0" xfId="0" applyNumberFormat="1" applyFont="1" applyBorder="1" applyProtection="1">
      <protection hidden="1"/>
    </xf>
    <xf numFmtId="1" fontId="17" fillId="12" borderId="8" xfId="5" applyNumberFormat="1" applyAlignment="1" applyProtection="1">
      <alignment horizontal="center" vertical="center" wrapText="1"/>
      <protection locked="0"/>
    </xf>
    <xf numFmtId="9" fontId="12" fillId="0" borderId="1" xfId="0" applyNumberFormat="1" applyFont="1" applyBorder="1" applyProtection="1">
      <protection hidden="1"/>
    </xf>
    <xf numFmtId="1" fontId="12" fillId="0" borderId="2" xfId="0" applyNumberFormat="1" applyFont="1" applyBorder="1" applyProtection="1">
      <protection hidden="1"/>
    </xf>
    <xf numFmtId="0" fontId="50" fillId="0" borderId="0" xfId="0" applyFont="1" applyAlignment="1" applyProtection="1">
      <alignment horizontal="left"/>
      <protection hidden="1"/>
    </xf>
    <xf numFmtId="1" fontId="12" fillId="0" borderId="0" xfId="0" applyNumberFormat="1" applyFont="1" applyBorder="1" applyProtection="1">
      <protection hidden="1"/>
    </xf>
    <xf numFmtId="9" fontId="33" fillId="5" borderId="1" xfId="6" applyNumberFormat="1" applyFont="1" applyFill="1" applyBorder="1" applyAlignment="1">
      <alignment horizontal="center" vertical="center" wrapText="1"/>
    </xf>
    <xf numFmtId="9" fontId="12" fillId="0" borderId="0" xfId="0" applyNumberFormat="1" applyFont="1" applyProtection="1">
      <protection hidden="1"/>
    </xf>
    <xf numFmtId="0" fontId="12" fillId="0" borderId="3" xfId="0" applyFont="1" applyBorder="1" applyProtection="1">
      <protection hidden="1"/>
    </xf>
    <xf numFmtId="168" fontId="38" fillId="0" borderId="25" xfId="9" applyNumberFormat="1" applyFont="1" applyFill="1" applyBorder="1" applyAlignment="1">
      <alignment horizontal="center" vertical="center" wrapText="1"/>
    </xf>
    <xf numFmtId="0" fontId="51" fillId="0" borderId="0" xfId="0" applyFont="1" applyAlignment="1">
      <alignment horizontal="left" vertical="center"/>
    </xf>
    <xf numFmtId="0" fontId="0" fillId="0" borderId="0" xfId="0" applyAlignment="1">
      <alignment horizontal="left" vertical="center"/>
    </xf>
    <xf numFmtId="171" fontId="42" fillId="25" borderId="28" xfId="0" applyNumberFormat="1" applyFont="1" applyFill="1" applyBorder="1" applyAlignment="1">
      <alignment horizontal="center"/>
    </xf>
    <xf numFmtId="0" fontId="51" fillId="0" borderId="25" xfId="0" applyFont="1" applyBorder="1" applyAlignment="1">
      <alignment horizontal="left" vertical="center"/>
    </xf>
    <xf numFmtId="10" fontId="51" fillId="0" borderId="25" xfId="0" applyNumberFormat="1" applyFont="1" applyBorder="1" applyAlignment="1">
      <alignment horizontal="left" vertical="center"/>
    </xf>
    <xf numFmtId="9" fontId="51" fillId="0" borderId="25" xfId="0" applyNumberFormat="1" applyFont="1" applyBorder="1" applyAlignment="1">
      <alignment horizontal="left" vertical="center"/>
    </xf>
    <xf numFmtId="0" fontId="0" fillId="0" borderId="25" xfId="0" applyBorder="1" applyAlignment="1">
      <alignment horizontal="left" vertical="center"/>
    </xf>
    <xf numFmtId="0" fontId="51" fillId="6" borderId="25" xfId="0" applyFont="1" applyFill="1" applyBorder="1" applyAlignment="1">
      <alignment horizontal="left" vertical="center"/>
    </xf>
    <xf numFmtId="9" fontId="51" fillId="0" borderId="25" xfId="6" applyFont="1" applyBorder="1" applyAlignment="1">
      <alignment horizontal="left" vertical="center"/>
    </xf>
    <xf numFmtId="0" fontId="52" fillId="0" borderId="25" xfId="0" applyFont="1" applyBorder="1" applyAlignment="1">
      <alignment horizontal="left" vertical="center" wrapText="1"/>
    </xf>
    <xf numFmtId="10" fontId="12" fillId="0" borderId="2" xfId="0" applyNumberFormat="1" applyFont="1" applyFill="1" applyBorder="1" applyProtection="1">
      <protection hidden="1"/>
    </xf>
    <xf numFmtId="0" fontId="43" fillId="26" borderId="28" xfId="0" applyFont="1" applyFill="1" applyBorder="1" applyAlignment="1"/>
    <xf numFmtId="1" fontId="12" fillId="0" borderId="0" xfId="0" applyNumberFormat="1" applyFont="1" applyProtection="1">
      <protection hidden="1"/>
    </xf>
    <xf numFmtId="9" fontId="36" fillId="0" borderId="25" xfId="6" applyNumberFormat="1" applyFont="1" applyFill="1" applyBorder="1" applyAlignment="1">
      <alignment horizontal="center" vertical="center" wrapText="1"/>
    </xf>
    <xf numFmtId="167" fontId="43" fillId="24" borderId="29" xfId="0" applyNumberFormat="1" applyFont="1" applyFill="1" applyBorder="1"/>
    <xf numFmtId="166" fontId="43" fillId="24" borderId="29" xfId="7" applyNumberFormat="1" applyFont="1" applyFill="1" applyBorder="1"/>
    <xf numFmtId="168" fontId="33" fillId="5" borderId="1" xfId="6" applyNumberFormat="1" applyFont="1" applyFill="1" applyBorder="1" applyAlignment="1">
      <alignment horizontal="center" vertical="center" wrapText="1"/>
    </xf>
    <xf numFmtId="10" fontId="12" fillId="0" borderId="2" xfId="0" applyNumberFormat="1" applyFont="1" applyBorder="1" applyProtection="1">
      <protection hidden="1"/>
    </xf>
    <xf numFmtId="168" fontId="12" fillId="0" borderId="2" xfId="0" applyNumberFormat="1" applyFont="1" applyBorder="1" applyProtection="1">
      <protection hidden="1"/>
    </xf>
    <xf numFmtId="0" fontId="15" fillId="3" borderId="4" xfId="2" applyFont="1" applyBorder="1" applyAlignment="1" applyProtection="1">
      <alignment horizontal="center"/>
      <protection hidden="1"/>
    </xf>
    <xf numFmtId="9" fontId="12" fillId="0" borderId="35" xfId="6" applyFont="1" applyBorder="1" applyProtection="1">
      <protection hidden="1"/>
    </xf>
    <xf numFmtId="0" fontId="15" fillId="7" borderId="3" xfId="4" applyFont="1" applyBorder="1" applyProtection="1">
      <protection hidden="1"/>
    </xf>
    <xf numFmtId="0" fontId="12" fillId="0" borderId="3" xfId="0" applyFont="1" applyFill="1" applyBorder="1" applyProtection="1">
      <protection hidden="1"/>
    </xf>
    <xf numFmtId="0" fontId="14" fillId="0" borderId="3" xfId="0" applyFont="1" applyBorder="1" applyProtection="1">
      <protection hidden="1"/>
    </xf>
    <xf numFmtId="0" fontId="12" fillId="6" borderId="3" xfId="0" applyFont="1" applyFill="1" applyBorder="1" applyProtection="1">
      <protection hidden="1"/>
    </xf>
    <xf numFmtId="0" fontId="0" fillId="0" borderId="0" xfId="0" applyFill="1" applyBorder="1"/>
    <xf numFmtId="0" fontId="15" fillId="0" borderId="0" xfId="4" applyFont="1" applyFill="1" applyBorder="1" applyAlignment="1" applyProtection="1">
      <alignment horizontal="center"/>
      <protection hidden="1"/>
    </xf>
    <xf numFmtId="0" fontId="12" fillId="0" borderId="0" xfId="0" applyFont="1" applyFill="1" applyBorder="1" applyProtection="1">
      <protection hidden="1"/>
    </xf>
    <xf numFmtId="2" fontId="12" fillId="0" borderId="0" xfId="0" applyNumberFormat="1" applyFont="1" applyFill="1" applyBorder="1" applyProtection="1">
      <protection hidden="1"/>
    </xf>
    <xf numFmtId="9" fontId="12" fillId="0" borderId="0" xfId="0" applyNumberFormat="1" applyFont="1" applyFill="1" applyBorder="1" applyProtection="1">
      <protection hidden="1"/>
    </xf>
    <xf numFmtId="10" fontId="12" fillId="0" borderId="0" xfId="0" applyNumberFormat="1" applyFont="1" applyFill="1" applyBorder="1" applyProtection="1">
      <protection hidden="1"/>
    </xf>
    <xf numFmtId="0" fontId="13" fillId="0" borderId="0" xfId="4" applyFont="1" applyFill="1" applyBorder="1" applyAlignment="1" applyProtection="1">
      <alignment horizontal="center"/>
      <protection hidden="1"/>
    </xf>
    <xf numFmtId="168" fontId="12" fillId="0" borderId="0" xfId="0" applyNumberFormat="1" applyFont="1" applyFill="1" applyBorder="1" applyProtection="1">
      <protection hidden="1"/>
    </xf>
    <xf numFmtId="0" fontId="15" fillId="0" borderId="0" xfId="2" applyFont="1" applyFill="1" applyBorder="1" applyAlignment="1" applyProtection="1">
      <alignment horizontal="center"/>
      <protection hidden="1"/>
    </xf>
    <xf numFmtId="9" fontId="12" fillId="0" borderId="0" xfId="6" applyFont="1" applyFill="1" applyBorder="1" applyProtection="1">
      <protection hidden="1"/>
    </xf>
    <xf numFmtId="1" fontId="12" fillId="0" borderId="0" xfId="0" applyNumberFormat="1" applyFont="1" applyFill="1" applyBorder="1" applyProtection="1">
      <protection hidden="1"/>
    </xf>
    <xf numFmtId="0" fontId="43" fillId="26" borderId="28" xfId="0" applyFont="1" applyFill="1" applyBorder="1" applyAlignment="1"/>
    <xf numFmtId="9" fontId="12" fillId="0" borderId="0" xfId="6" applyFont="1" applyBorder="1" applyProtection="1">
      <protection hidden="1"/>
    </xf>
    <xf numFmtId="0" fontId="10" fillId="8" borderId="0" xfId="0" applyFont="1" applyFill="1" applyAlignment="1" applyProtection="1">
      <alignment horizontal="center"/>
      <protection locked="0"/>
    </xf>
    <xf numFmtId="0" fontId="7" fillId="9" borderId="0" xfId="0" applyFont="1" applyFill="1" applyAlignment="1" applyProtection="1">
      <alignment horizontal="center"/>
      <protection locked="0"/>
    </xf>
    <xf numFmtId="0" fontId="6" fillId="10" borderId="0" xfId="0" applyFont="1" applyFill="1" applyAlignment="1" applyProtection="1">
      <alignment horizontal="center"/>
      <protection locked="0"/>
    </xf>
    <xf numFmtId="0" fontId="7" fillId="11" borderId="0" xfId="0" applyFont="1" applyFill="1" applyAlignment="1" applyProtection="1">
      <alignment horizontal="center"/>
      <protection locked="0"/>
    </xf>
    <xf numFmtId="0" fontId="3" fillId="0" borderId="0" xfId="1" applyFont="1" applyFill="1" applyBorder="1" applyAlignment="1" applyProtection="1">
      <alignment horizontal="left" vertical="top"/>
      <protection locked="0"/>
    </xf>
    <xf numFmtId="0" fontId="5" fillId="15" borderId="12" xfId="0" applyFont="1" applyFill="1" applyBorder="1" applyAlignment="1" applyProtection="1">
      <alignment horizontal="center"/>
      <protection locked="0"/>
    </xf>
    <xf numFmtId="0" fontId="5" fillId="15" borderId="13" xfId="0" applyFont="1" applyFill="1" applyBorder="1" applyAlignment="1" applyProtection="1">
      <alignment horizontal="center"/>
      <protection locked="0"/>
    </xf>
    <xf numFmtId="0" fontId="5" fillId="15" borderId="34" xfId="0" applyFont="1" applyFill="1" applyBorder="1" applyAlignment="1" applyProtection="1">
      <alignment horizontal="center"/>
      <protection locked="0"/>
    </xf>
    <xf numFmtId="0" fontId="5" fillId="15" borderId="0" xfId="0" applyFont="1" applyFill="1" applyBorder="1" applyAlignment="1" applyProtection="1">
      <alignment horizontal="center"/>
      <protection locked="0"/>
    </xf>
    <xf numFmtId="0" fontId="5" fillId="8" borderId="34" xfId="0" applyFont="1" applyFill="1" applyBorder="1" applyAlignment="1" applyProtection="1">
      <alignment horizontal="center"/>
      <protection locked="0"/>
    </xf>
    <xf numFmtId="0" fontId="5" fillId="8" borderId="0" xfId="0" applyFont="1" applyFill="1" applyBorder="1" applyAlignment="1" applyProtection="1">
      <alignment horizontal="center"/>
      <protection locked="0"/>
    </xf>
    <xf numFmtId="0" fontId="0" fillId="0" borderId="0" xfId="0" applyAlignment="1" applyProtection="1">
      <alignment horizontal="center"/>
      <protection locked="0"/>
    </xf>
    <xf numFmtId="9" fontId="1" fillId="0" borderId="36" xfId="6" applyFont="1" applyBorder="1" applyAlignment="1" applyProtection="1">
      <alignment horizontal="right"/>
      <protection locked="0"/>
    </xf>
    <xf numFmtId="0" fontId="1" fillId="0" borderId="36" xfId="0" applyFont="1" applyBorder="1" applyAlignment="1" applyProtection="1">
      <alignment horizontal="left"/>
      <protection locked="0"/>
    </xf>
    <xf numFmtId="0" fontId="1" fillId="0" borderId="37" xfId="0" applyFont="1" applyBorder="1" applyAlignment="1" applyProtection="1">
      <alignment horizontal="left"/>
      <protection locked="0"/>
    </xf>
    <xf numFmtId="9" fontId="1" fillId="0" borderId="37" xfId="6" applyFont="1" applyBorder="1" applyAlignment="1" applyProtection="1">
      <alignment horizontal="right"/>
      <protection locked="0"/>
    </xf>
    <xf numFmtId="0" fontId="34" fillId="6" borderId="2" xfId="0" applyFont="1" applyFill="1" applyBorder="1" applyAlignment="1">
      <alignment horizontal="center" vertical="center" wrapText="1"/>
    </xf>
    <xf numFmtId="0" fontId="34" fillId="6" borderId="4"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2" fillId="16" borderId="22" xfId="0" applyFont="1" applyFill="1" applyBorder="1" applyAlignment="1">
      <alignment horizontal="center" vertical="center" wrapText="1"/>
    </xf>
    <xf numFmtId="0" fontId="32" fillId="16" borderId="23" xfId="0" applyFont="1" applyFill="1" applyBorder="1" applyAlignment="1">
      <alignment horizontal="center" vertical="center" wrapText="1"/>
    </xf>
    <xf numFmtId="0" fontId="15" fillId="7" borderId="2" xfId="4" applyFont="1" applyBorder="1" applyAlignment="1" applyProtection="1">
      <alignment horizontal="center"/>
      <protection hidden="1"/>
    </xf>
    <xf numFmtId="0" fontId="15" fillId="7" borderId="3" xfId="4" applyFont="1" applyBorder="1" applyAlignment="1" applyProtection="1">
      <alignment horizontal="center"/>
      <protection hidden="1"/>
    </xf>
    <xf numFmtId="0" fontId="13" fillId="7" borderId="2" xfId="4" applyFont="1" applyBorder="1" applyAlignment="1" applyProtection="1">
      <alignment horizontal="center"/>
      <protection hidden="1"/>
    </xf>
    <xf numFmtId="0" fontId="13" fillId="7" borderId="3" xfId="4" applyFont="1" applyBorder="1" applyAlignment="1" applyProtection="1">
      <alignment horizontal="center"/>
      <protection hidden="1"/>
    </xf>
    <xf numFmtId="0" fontId="19" fillId="13" borderId="0" xfId="2" applyFont="1" applyFill="1" applyAlignment="1" applyProtection="1">
      <alignment horizontal="center" vertical="center"/>
      <protection hidden="1"/>
    </xf>
    <xf numFmtId="0" fontId="11" fillId="0" borderId="0" xfId="3" applyFont="1" applyAlignment="1" applyProtection="1">
      <alignment horizontal="center" vertical="center"/>
      <protection hidden="1"/>
    </xf>
    <xf numFmtId="166" fontId="0" fillId="0" borderId="0" xfId="7" applyNumberFormat="1" applyFont="1" applyAlignment="1">
      <alignment horizontal="center" vertical="center"/>
    </xf>
    <xf numFmtId="166" fontId="0" fillId="0" borderId="20" xfId="7" applyNumberFormat="1" applyFont="1" applyBorder="1" applyAlignment="1">
      <alignment horizontal="center" vertical="center"/>
    </xf>
    <xf numFmtId="166" fontId="0" fillId="0" borderId="0" xfId="7" applyNumberFormat="1" applyFont="1" applyBorder="1" applyAlignment="1">
      <alignment horizontal="center" vertical="center"/>
    </xf>
    <xf numFmtId="0" fontId="29" fillId="0" borderId="0" xfId="0" applyFont="1" applyAlignment="1">
      <alignment horizontal="center" vertical="center"/>
    </xf>
    <xf numFmtId="9" fontId="0" fillId="0" borderId="0" xfId="6" applyFont="1" applyBorder="1" applyAlignment="1">
      <alignment horizontal="center"/>
    </xf>
    <xf numFmtId="9" fontId="0" fillId="0" borderId="21" xfId="6" applyFont="1" applyBorder="1" applyAlignment="1">
      <alignment horizont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9" fillId="0" borderId="0" xfId="3" applyFont="1" applyBorder="1" applyAlignment="1" applyProtection="1">
      <alignment horizontal="center"/>
      <protection hidden="1"/>
    </xf>
    <xf numFmtId="0" fontId="6" fillId="0" borderId="0" xfId="0" applyFont="1" applyBorder="1" applyAlignment="1" applyProtection="1">
      <alignment horizontal="center"/>
      <protection hidden="1"/>
    </xf>
    <xf numFmtId="0" fontId="2" fillId="3" borderId="5" xfId="2" applyBorder="1" applyAlignment="1" applyProtection="1">
      <alignment horizontal="center"/>
      <protection hidden="1"/>
    </xf>
    <xf numFmtId="0" fontId="2" fillId="7" borderId="2" xfId="4" applyBorder="1" applyAlignment="1" applyProtection="1">
      <alignment horizontal="center"/>
      <protection hidden="1"/>
    </xf>
    <xf numFmtId="0" fontId="2" fillId="7" borderId="4" xfId="4" applyBorder="1" applyAlignment="1" applyProtection="1">
      <alignment horizontal="center"/>
      <protection hidden="1"/>
    </xf>
    <xf numFmtId="0" fontId="2" fillId="7" borderId="3" xfId="4" applyBorder="1" applyAlignment="1" applyProtection="1">
      <alignment horizontal="center"/>
      <protection hidden="1"/>
    </xf>
    <xf numFmtId="0" fontId="1" fillId="0" borderId="0" xfId="0" applyFont="1" applyAlignment="1">
      <alignment horizontal="center"/>
    </xf>
    <xf numFmtId="0" fontId="24" fillId="0" borderId="10" xfId="5" applyFont="1" applyFill="1" applyBorder="1" applyAlignment="1">
      <alignment horizontal="center" wrapText="1"/>
    </xf>
    <xf numFmtId="0" fontId="24" fillId="0" borderId="11" xfId="5" applyFont="1" applyFill="1" applyBorder="1" applyAlignment="1">
      <alignment horizontal="center" wrapText="1"/>
    </xf>
    <xf numFmtId="0" fontId="24" fillId="0" borderId="0" xfId="5" applyFont="1" applyFill="1" applyBorder="1" applyAlignment="1">
      <alignment horizontal="center" wrapText="1"/>
    </xf>
    <xf numFmtId="0" fontId="24" fillId="0" borderId="9" xfId="5" applyFont="1" applyFill="1" applyBorder="1" applyAlignment="1">
      <alignment horizontal="center" wrapText="1"/>
    </xf>
    <xf numFmtId="0" fontId="2" fillId="3" borderId="0" xfId="2" applyAlignment="1">
      <alignment horizontal="center" wrapText="1"/>
    </xf>
    <xf numFmtId="0" fontId="2" fillId="18" borderId="14" xfId="0" applyFont="1" applyFill="1" applyBorder="1" applyAlignment="1">
      <alignment horizontal="center"/>
    </xf>
    <xf numFmtId="0" fontId="2" fillId="18" borderId="15" xfId="0" applyFont="1" applyFill="1" applyBorder="1" applyAlignment="1">
      <alignment horizontal="center"/>
    </xf>
    <xf numFmtId="0" fontId="2" fillId="18" borderId="16" xfId="0" applyFont="1" applyFill="1"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25" fillId="4" borderId="18" xfId="0" applyFont="1" applyFill="1" applyBorder="1" applyAlignment="1">
      <alignment horizontal="center"/>
    </xf>
    <xf numFmtId="0" fontId="43" fillId="26" borderId="29" xfId="0" applyFont="1" applyFill="1" applyBorder="1" applyAlignment="1"/>
    <xf numFmtId="0" fontId="42" fillId="23" borderId="0" xfId="0" applyFont="1" applyFill="1" applyBorder="1" applyAlignment="1">
      <alignment horizontal="center"/>
    </xf>
    <xf numFmtId="0" fontId="43" fillId="26" borderId="26" xfId="0" applyFont="1" applyFill="1" applyBorder="1" applyAlignment="1"/>
    <xf numFmtId="0" fontId="43" fillId="0" borderId="30" xfId="0" applyFont="1" applyBorder="1" applyAlignment="1">
      <alignment horizontal="center"/>
    </xf>
    <xf numFmtId="0" fontId="43" fillId="0" borderId="31" xfId="0" applyFont="1" applyBorder="1" applyAlignment="1">
      <alignment horizontal="center"/>
    </xf>
    <xf numFmtId="0" fontId="43" fillId="0" borderId="32" xfId="0" applyFont="1" applyBorder="1" applyAlignment="1">
      <alignment horizontal="center"/>
    </xf>
    <xf numFmtId="0" fontId="43" fillId="26" borderId="33" xfId="0" applyFont="1" applyFill="1" applyBorder="1" applyAlignment="1"/>
    <xf numFmtId="170" fontId="49" fillId="0" borderId="0" xfId="11" applyNumberFormat="1" applyBorder="1" applyAlignment="1" applyProtection="1">
      <alignment horizontal="center"/>
    </xf>
    <xf numFmtId="170" fontId="25" fillId="19" borderId="0" xfId="8" applyNumberFormat="1" applyFont="1" applyBorder="1" applyAlignment="1">
      <alignment horizontal="center"/>
    </xf>
  </cellXfs>
  <cellStyles count="12">
    <cellStyle name="Accent1" xfId="1" builtinId="29"/>
    <cellStyle name="Accent3" xfId="4" builtinId="37"/>
    <cellStyle name="Accent4" xfId="2" builtinId="41"/>
    <cellStyle name="Accent6" xfId="8" builtinId="49"/>
    <cellStyle name="Comma" xfId="7" builtinId="3"/>
    <cellStyle name="Comma 2" xfId="10"/>
    <cellStyle name="Hyperlink" xfId="3" builtinId="8"/>
    <cellStyle name="Hyperlink 2" xfId="11"/>
    <cellStyle name="Input" xfId="5" builtinId="20"/>
    <cellStyle name="Normal" xfId="0" builtinId="0"/>
    <cellStyle name="Normal 2" xfId="9"/>
    <cellStyle name="Percent" xfId="6" builtinId="5"/>
  </cellStyles>
  <dxfs count="2">
    <dxf>
      <font>
        <b/>
        <i val="0"/>
        <color theme="0"/>
      </font>
      <fill>
        <patternFill>
          <bgColor theme="5"/>
        </patternFill>
      </fill>
    </dxf>
    <dxf>
      <fill>
        <patternFill>
          <bgColor rgb="FF00B05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507367032108087"/>
          <c:y val="0.20476404806845408"/>
          <c:w val="0.73114081377384943"/>
          <c:h val="0.63001023434251691"/>
        </c:manualLayout>
      </c:layout>
      <c:barChart>
        <c:barDir val="bar"/>
        <c:grouping val="clustered"/>
        <c:varyColors val="0"/>
        <c:ser>
          <c:idx val="1"/>
          <c:order val="0"/>
          <c:tx>
            <c:strRef>
              <c:f>Valuation!$A$26</c:f>
              <c:strCache>
                <c:ptCount val="1"/>
                <c:pt idx="0">
                  <c:v>Historical Earnings Growth</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Historical Basis</c:v>
              </c:pt>
            </c:strLit>
          </c:cat>
          <c:val>
            <c:numRef>
              <c:f>Valuation!$B$26</c:f>
              <c:numCache>
                <c:formatCode>0</c:formatCode>
                <c:ptCount val="1"/>
                <c:pt idx="0">
                  <c:v>4222.1328398677178</c:v>
                </c:pt>
              </c:numCache>
            </c:numRef>
          </c:val>
        </c:ser>
        <c:ser>
          <c:idx val="2"/>
          <c:order val="1"/>
          <c:tx>
            <c:strRef>
              <c:f>Valuation!$A$25</c:f>
              <c:strCache>
                <c:ptCount val="1"/>
                <c:pt idx="0">
                  <c:v>P E/B Valuation</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Historical Basis</c:v>
              </c:pt>
            </c:strLit>
          </c:cat>
          <c:val>
            <c:numRef>
              <c:f>Valuation!$B$25</c:f>
              <c:numCache>
                <c:formatCode>0</c:formatCode>
                <c:ptCount val="1"/>
                <c:pt idx="0">
                  <c:v>2389.6176650852585</c:v>
                </c:pt>
              </c:numCache>
            </c:numRef>
          </c:val>
        </c:ser>
        <c:dLbls>
          <c:dLblPos val="outEnd"/>
          <c:showLegendKey val="0"/>
          <c:showVal val="1"/>
          <c:showCatName val="0"/>
          <c:showSerName val="0"/>
          <c:showPercent val="0"/>
          <c:showBubbleSize val="0"/>
        </c:dLbls>
        <c:gapWidth val="150"/>
        <c:axId val="-1610649376"/>
        <c:axId val="-1610648832"/>
      </c:barChart>
      <c:catAx>
        <c:axId val="-1610649376"/>
        <c:scaling>
          <c:orientation val="minMax"/>
        </c:scaling>
        <c:delete val="0"/>
        <c:axPos val="l"/>
        <c:majorGridlines/>
        <c:numFmt formatCode="General" sourceLinked="0"/>
        <c:majorTickMark val="out"/>
        <c:minorTickMark val="none"/>
        <c:tickLblPos val="nextTo"/>
        <c:crossAx val="-1610648832"/>
        <c:crosses val="autoZero"/>
        <c:auto val="1"/>
        <c:lblAlgn val="ctr"/>
        <c:lblOffset val="100"/>
        <c:noMultiLvlLbl val="0"/>
      </c:catAx>
      <c:valAx>
        <c:axId val="-1610648832"/>
        <c:scaling>
          <c:orientation val="minMax"/>
        </c:scaling>
        <c:delete val="1"/>
        <c:axPos val="b"/>
        <c:numFmt formatCode="0" sourceLinked="1"/>
        <c:majorTickMark val="out"/>
        <c:minorTickMark val="none"/>
        <c:tickLblPos val="nextTo"/>
        <c:crossAx val="-1610649376"/>
        <c:crosses val="autoZero"/>
        <c:crossBetween val="between"/>
      </c:valAx>
      <c:spPr>
        <a:noFill/>
        <a:ln w="25400">
          <a:noFill/>
        </a:ln>
      </c:spPr>
    </c:plotArea>
    <c:legend>
      <c:legendPos val="b"/>
      <c:overlay val="0"/>
    </c:legend>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'Polished Data'!$A$73</c:f>
              <c:strCache>
                <c:ptCount val="1"/>
                <c:pt idx="0">
                  <c:v>BVPS</c:v>
                </c:pt>
              </c:strCache>
            </c:strRef>
          </c:tx>
          <c:spPr>
            <a:solidFill>
              <a:schemeClr val="accent1"/>
            </a:solidFill>
            <a:ln>
              <a:noFill/>
            </a:ln>
            <a:effectLst/>
          </c:spPr>
          <c:invertIfNegative val="0"/>
          <c:cat>
            <c:numRef>
              <c:f>'Polished Data'!$C$24:$L$24</c:f>
              <c:numCache>
                <c:formatCode>[$-409]mmm\-yy;@</c:formatCode>
                <c:ptCount val="10"/>
                <c:pt idx="0">
                  <c:v>39172</c:v>
                </c:pt>
                <c:pt idx="1">
                  <c:v>39538</c:v>
                </c:pt>
                <c:pt idx="2">
                  <c:v>39903</c:v>
                </c:pt>
                <c:pt idx="3">
                  <c:v>40268</c:v>
                </c:pt>
                <c:pt idx="4">
                  <c:v>40633</c:v>
                </c:pt>
                <c:pt idx="5">
                  <c:v>40999</c:v>
                </c:pt>
                <c:pt idx="6">
                  <c:v>41364</c:v>
                </c:pt>
                <c:pt idx="7">
                  <c:v>41729</c:v>
                </c:pt>
                <c:pt idx="8">
                  <c:v>42094</c:v>
                </c:pt>
                <c:pt idx="9">
                  <c:v>42460</c:v>
                </c:pt>
              </c:numCache>
            </c:numRef>
          </c:cat>
          <c:val>
            <c:numRef>
              <c:f>'Polished Data'!$C$73:$L$73</c:f>
              <c:numCache>
                <c:formatCode>0</c:formatCode>
                <c:ptCount val="10"/>
                <c:pt idx="0">
                  <c:v>51.470557149400776</c:v>
                </c:pt>
                <c:pt idx="1">
                  <c:v>63.273741581419927</c:v>
                </c:pt>
                <c:pt idx="2">
                  <c:v>69.027574236308055</c:v>
                </c:pt>
                <c:pt idx="3">
                  <c:v>33.172649345255614</c:v>
                </c:pt>
                <c:pt idx="4">
                  <c:v>37.78124075587094</c:v>
                </c:pt>
                <c:pt idx="5">
                  <c:v>43.535910575411307</c:v>
                </c:pt>
                <c:pt idx="6">
                  <c:v>53.647824948945129</c:v>
                </c:pt>
                <c:pt idx="7">
                  <c:v>71.522558115101177</c:v>
                </c:pt>
                <c:pt idx="8">
                  <c:v>103.3297255469632</c:v>
                </c:pt>
                <c:pt idx="9">
                  <c:v>141.94694155651285</c:v>
                </c:pt>
              </c:numCache>
            </c:numRef>
          </c:val>
        </c:ser>
        <c:dLbls>
          <c:showLegendKey val="0"/>
          <c:showVal val="0"/>
          <c:showCatName val="0"/>
          <c:showSerName val="0"/>
          <c:showPercent val="0"/>
          <c:showBubbleSize val="0"/>
        </c:dLbls>
        <c:gapWidth val="0"/>
        <c:overlap val="-100"/>
        <c:axId val="-1533216288"/>
        <c:axId val="-1533215744"/>
      </c:barChart>
      <c:dateAx>
        <c:axId val="-1533216288"/>
        <c:scaling>
          <c:orientation val="minMax"/>
        </c:scaling>
        <c:delete val="0"/>
        <c:axPos val="b"/>
        <c:numFmt formatCode="[$-409]mmm\-yy;@"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533215744"/>
        <c:crosses val="autoZero"/>
        <c:auto val="1"/>
        <c:lblOffset val="100"/>
        <c:baseTimeUnit val="months"/>
        <c:majorUnit val="12"/>
        <c:majorTimeUnit val="months"/>
      </c:dateAx>
      <c:valAx>
        <c:axId val="-153321574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533216288"/>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474999448598337"/>
          <c:y val="0.13704496788008566"/>
        </c:manualLayout>
      </c:layout>
      <c:overlay val="0"/>
    </c:title>
    <c:autoTitleDeleted val="0"/>
    <c:plotArea>
      <c:layout/>
      <c:barChart>
        <c:barDir val="bar"/>
        <c:grouping val="clustered"/>
        <c:varyColors val="0"/>
        <c:ser>
          <c:idx val="0"/>
          <c:order val="0"/>
          <c:tx>
            <c:strRef>
              <c:f>Valuation!$A$27</c:f>
              <c:strCache>
                <c:ptCount val="1"/>
                <c:pt idx="0">
                  <c:v>Sustainable Earnings Growth</c:v>
                </c:pt>
              </c:strCache>
            </c:strRef>
          </c:tx>
          <c:spPr>
            <a:solidFill>
              <a:schemeClr val="accent6">
                <a:lumMod val="7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Growth Basis</c:v>
              </c:pt>
            </c:strLit>
          </c:cat>
          <c:val>
            <c:numRef>
              <c:f>Valuation!$B$27</c:f>
              <c:numCache>
                <c:formatCode>0</c:formatCode>
                <c:ptCount val="1"/>
                <c:pt idx="0">
                  <c:v>4921.6246550576607</c:v>
                </c:pt>
              </c:numCache>
            </c:numRef>
          </c:val>
        </c:ser>
        <c:dLbls>
          <c:dLblPos val="outEnd"/>
          <c:showLegendKey val="0"/>
          <c:showVal val="1"/>
          <c:showCatName val="0"/>
          <c:showSerName val="0"/>
          <c:showPercent val="0"/>
          <c:showBubbleSize val="0"/>
        </c:dLbls>
        <c:gapWidth val="150"/>
        <c:axId val="-1610646112"/>
        <c:axId val="-1610660256"/>
      </c:barChart>
      <c:catAx>
        <c:axId val="-1610646112"/>
        <c:scaling>
          <c:orientation val="minMax"/>
        </c:scaling>
        <c:delete val="0"/>
        <c:axPos val="l"/>
        <c:numFmt formatCode="General" sourceLinked="0"/>
        <c:majorTickMark val="out"/>
        <c:minorTickMark val="none"/>
        <c:tickLblPos val="nextTo"/>
        <c:crossAx val="-1610660256"/>
        <c:crosses val="autoZero"/>
        <c:auto val="1"/>
        <c:lblAlgn val="ctr"/>
        <c:lblOffset val="100"/>
        <c:noMultiLvlLbl val="0"/>
      </c:catAx>
      <c:valAx>
        <c:axId val="-1610660256"/>
        <c:scaling>
          <c:orientation val="minMax"/>
        </c:scaling>
        <c:delete val="1"/>
        <c:axPos val="b"/>
        <c:numFmt formatCode="0" sourceLinked="1"/>
        <c:majorTickMark val="out"/>
        <c:minorTickMark val="none"/>
        <c:tickLblPos val="nextTo"/>
        <c:crossAx val="-1610646112"/>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doughnutChart>
        <c:varyColors val="1"/>
        <c:ser>
          <c:idx val="0"/>
          <c:order val="0"/>
          <c:tx>
            <c:strRef>
              <c:f>Altman!$G$4</c:f>
              <c:strCache>
                <c:ptCount val="1"/>
                <c:pt idx="0">
                  <c:v>Altman Score</c:v>
                </c:pt>
              </c:strCache>
            </c:strRef>
          </c:tx>
          <c:dPt>
            <c:idx val="4"/>
            <c:bubble3D val="0"/>
            <c:spPr>
              <a:noFill/>
            </c:spPr>
          </c:dPt>
          <c:val>
            <c:numRef>
              <c:f>Altman!$H$5:$H$9</c:f>
              <c:numCache>
                <c:formatCode>General</c:formatCode>
                <c:ptCount val="5"/>
                <c:pt idx="0">
                  <c:v>0</c:v>
                </c:pt>
                <c:pt idx="1">
                  <c:v>30</c:v>
                </c:pt>
                <c:pt idx="2">
                  <c:v>20</c:v>
                </c:pt>
                <c:pt idx="3">
                  <c:v>50</c:v>
                </c:pt>
                <c:pt idx="4">
                  <c:v>100</c:v>
                </c:pt>
              </c:numCache>
            </c:numRef>
          </c:val>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Altman!$I$4</c:f>
              <c:strCache>
                <c:ptCount val="1"/>
                <c:pt idx="0">
                  <c:v>Pointer</c:v>
                </c:pt>
              </c:strCache>
            </c:strRef>
          </c:tx>
          <c:dPt>
            <c:idx val="0"/>
            <c:bubble3D val="0"/>
            <c:spPr>
              <a:noFill/>
            </c:spPr>
          </c:dPt>
          <c:dPt>
            <c:idx val="1"/>
            <c:bubble3D val="0"/>
            <c:spPr>
              <a:solidFill>
                <a:schemeClr val="tx1"/>
              </a:solidFill>
            </c:spPr>
          </c:dPt>
          <c:dPt>
            <c:idx val="2"/>
            <c:bubble3D val="0"/>
            <c:spPr>
              <a:noFill/>
            </c:spPr>
          </c:dPt>
          <c:val>
            <c:numRef>
              <c:f>Altman!$J$5:$J$7</c:f>
              <c:numCache>
                <c:formatCode>General</c:formatCode>
                <c:ptCount val="3"/>
                <c:pt idx="0" formatCode="0">
                  <c:v>100</c:v>
                </c:pt>
                <c:pt idx="1">
                  <c:v>1</c:v>
                </c:pt>
                <c:pt idx="2">
                  <c:v>99</c:v>
                </c:pt>
              </c:numCache>
            </c:numRef>
          </c:val>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Piotroski Score</a:t>
            </a:r>
          </a:p>
        </c:rich>
      </c:tx>
      <c:overlay val="0"/>
    </c:title>
    <c:autoTitleDeleted val="0"/>
    <c:plotArea>
      <c:layout/>
      <c:doughnutChart>
        <c:varyColors val="1"/>
        <c:ser>
          <c:idx val="0"/>
          <c:order val="0"/>
          <c:tx>
            <c:strRef>
              <c:f>Piotroski!$F$11</c:f>
              <c:strCache>
                <c:ptCount val="1"/>
                <c:pt idx="0">
                  <c:v>332%</c:v>
                </c:pt>
              </c:strCache>
            </c:strRef>
          </c:tx>
          <c:dPt>
            <c:idx val="4"/>
            <c:bubble3D val="0"/>
            <c:spPr>
              <a:noFill/>
            </c:spPr>
          </c:dPt>
          <c:val>
            <c:numRef>
              <c:f>Piotroski!$I$12:$I$16</c:f>
              <c:numCache>
                <c:formatCode>General</c:formatCode>
                <c:ptCount val="5"/>
                <c:pt idx="0">
                  <c:v>0</c:v>
                </c:pt>
                <c:pt idx="1">
                  <c:v>30</c:v>
                </c:pt>
                <c:pt idx="2">
                  <c:v>40</c:v>
                </c:pt>
                <c:pt idx="3">
                  <c:v>30</c:v>
                </c:pt>
                <c:pt idx="4">
                  <c:v>100</c:v>
                </c:pt>
              </c:numCache>
            </c:numRef>
          </c:val>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Piotroski!$D$11</c:f>
              <c:strCache>
                <c:ptCount val="1"/>
                <c:pt idx="0">
                  <c:v>299%</c:v>
                </c:pt>
              </c:strCache>
            </c:strRef>
          </c:tx>
          <c:explosion val="1"/>
          <c:dPt>
            <c:idx val="0"/>
            <c:bubble3D val="0"/>
            <c:spPr>
              <a:noFill/>
            </c:spPr>
          </c:dPt>
          <c:dPt>
            <c:idx val="1"/>
            <c:bubble3D val="0"/>
            <c:spPr>
              <a:solidFill>
                <a:schemeClr val="tx1"/>
              </a:solidFill>
            </c:spPr>
          </c:dPt>
          <c:dPt>
            <c:idx val="2"/>
            <c:bubble3D val="0"/>
            <c:spPr>
              <a:noFill/>
            </c:spPr>
          </c:dPt>
          <c:val>
            <c:numRef>
              <c:f>Piotroski!$K$12:$K$14</c:f>
              <c:numCache>
                <c:formatCode>General</c:formatCode>
                <c:ptCount val="3"/>
                <c:pt idx="0" formatCode="0">
                  <c:v>66.666666666666657</c:v>
                </c:pt>
                <c:pt idx="1">
                  <c:v>1</c:v>
                </c:pt>
                <c:pt idx="2">
                  <c:v>132.33333333333334</c:v>
                </c:pt>
              </c:numCache>
            </c:numRef>
          </c:val>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Dupont!$B$4</c:f>
              <c:strCache>
                <c:ptCount val="1"/>
                <c:pt idx="0">
                  <c:v>Asset Turnover</c:v>
                </c:pt>
              </c:strCache>
            </c:strRef>
          </c:tx>
          <c:spPr>
            <a:solidFill>
              <a:schemeClr val="accent2"/>
            </a:solidFill>
            <a:ln>
              <a:noFill/>
            </a:ln>
            <a:effectLst/>
          </c:spPr>
          <c:invertIfNegative val="0"/>
          <c:cat>
            <c:strRef>
              <c:f>Dupont!$C$2:$G$2</c:f>
              <c:strCache>
                <c:ptCount val="5"/>
                <c:pt idx="0">
                  <c:v>CY-4</c:v>
                </c:pt>
                <c:pt idx="1">
                  <c:v>CY-3</c:v>
                </c:pt>
                <c:pt idx="2">
                  <c:v>CY-2</c:v>
                </c:pt>
                <c:pt idx="3">
                  <c:v>CY-1</c:v>
                </c:pt>
                <c:pt idx="4">
                  <c:v>CY</c:v>
                </c:pt>
              </c:strCache>
            </c:strRef>
          </c:cat>
          <c:val>
            <c:numRef>
              <c:f>Dupont!$C$4:$G$4</c:f>
              <c:numCache>
                <c:formatCode>0.00</c:formatCode>
                <c:ptCount val="5"/>
                <c:pt idx="0">
                  <c:v>2.9673706677987286</c:v>
                </c:pt>
                <c:pt idx="1">
                  <c:v>3.3217122372952836</c:v>
                </c:pt>
                <c:pt idx="2">
                  <c:v>3.3797901423387033</c:v>
                </c:pt>
                <c:pt idx="3">
                  <c:v>2.9893809372319562</c:v>
                </c:pt>
                <c:pt idx="4">
                  <c:v>2.598772011420746</c:v>
                </c:pt>
              </c:numCache>
            </c:numRef>
          </c:val>
        </c:ser>
        <c:ser>
          <c:idx val="2"/>
          <c:order val="2"/>
          <c:tx>
            <c:strRef>
              <c:f>Dupont!$B$5</c:f>
              <c:strCache>
                <c:ptCount val="1"/>
                <c:pt idx="0">
                  <c:v>Equity Multiplier</c:v>
                </c:pt>
              </c:strCache>
            </c:strRef>
          </c:tx>
          <c:spPr>
            <a:solidFill>
              <a:schemeClr val="accent3"/>
            </a:solidFill>
            <a:ln>
              <a:noFill/>
            </a:ln>
            <a:effectLst/>
          </c:spPr>
          <c:invertIfNegative val="0"/>
          <c:cat>
            <c:strRef>
              <c:f>Dupont!$C$2:$G$2</c:f>
              <c:strCache>
                <c:ptCount val="5"/>
                <c:pt idx="0">
                  <c:v>CY-4</c:v>
                </c:pt>
                <c:pt idx="1">
                  <c:v>CY-3</c:v>
                </c:pt>
                <c:pt idx="2">
                  <c:v>CY-2</c:v>
                </c:pt>
                <c:pt idx="3">
                  <c:v>CY-1</c:v>
                </c:pt>
                <c:pt idx="4">
                  <c:v>CY</c:v>
                </c:pt>
              </c:strCache>
            </c:strRef>
          </c:cat>
          <c:val>
            <c:numRef>
              <c:f>Dupont!$C$5:$G$5</c:f>
              <c:numCache>
                <c:formatCode>0.00</c:formatCode>
                <c:ptCount val="5"/>
                <c:pt idx="0">
                  <c:v>3.2613260518421661</c:v>
                </c:pt>
                <c:pt idx="1">
                  <c:v>2.6624456123387863</c:v>
                </c:pt>
                <c:pt idx="2">
                  <c:v>2.1877375428451513</c:v>
                </c:pt>
                <c:pt idx="3">
                  <c:v>2.0039461260984996</c:v>
                </c:pt>
                <c:pt idx="4">
                  <c:v>1.818017404375756</c:v>
                </c:pt>
              </c:numCache>
            </c:numRef>
          </c:val>
        </c:ser>
        <c:dLbls>
          <c:showLegendKey val="0"/>
          <c:showVal val="0"/>
          <c:showCatName val="0"/>
          <c:showSerName val="0"/>
          <c:showPercent val="0"/>
          <c:showBubbleSize val="0"/>
        </c:dLbls>
        <c:gapWidth val="247"/>
        <c:axId val="-1533211392"/>
        <c:axId val="-1533209760"/>
      </c:barChart>
      <c:lineChart>
        <c:grouping val="standard"/>
        <c:varyColors val="0"/>
        <c:ser>
          <c:idx val="0"/>
          <c:order val="0"/>
          <c:tx>
            <c:strRef>
              <c:f>Dupont!$B$3</c:f>
              <c:strCache>
                <c:ptCount val="1"/>
                <c:pt idx="0">
                  <c:v>NPM</c:v>
                </c:pt>
              </c:strCache>
            </c:strRef>
          </c:tx>
          <c:spPr>
            <a:ln w="22225" cap="rnd">
              <a:solidFill>
                <a:schemeClr val="accent1"/>
              </a:solidFill>
              <a:round/>
            </a:ln>
            <a:effectLst/>
          </c:spPr>
          <c:marker>
            <c:symbol val="circle"/>
            <c:size val="6"/>
            <c:spPr>
              <a:solidFill>
                <a:schemeClr val="lt1"/>
              </a:solidFill>
              <a:ln w="15875">
                <a:solidFill>
                  <a:schemeClr val="accent1"/>
                </a:solidFill>
                <a:round/>
              </a:ln>
              <a:effectLst/>
            </c:spPr>
          </c:marker>
          <c:cat>
            <c:strRef>
              <c:f>Dupont!$C$2:$G$2</c:f>
              <c:strCache>
                <c:ptCount val="5"/>
                <c:pt idx="0">
                  <c:v>CY-4</c:v>
                </c:pt>
                <c:pt idx="1">
                  <c:v>CY-3</c:v>
                </c:pt>
                <c:pt idx="2">
                  <c:v>CY-2</c:v>
                </c:pt>
                <c:pt idx="3">
                  <c:v>CY-1</c:v>
                </c:pt>
                <c:pt idx="4">
                  <c:v>CY</c:v>
                </c:pt>
              </c:strCache>
            </c:strRef>
          </c:cat>
          <c:val>
            <c:numRef>
              <c:f>Dupont!$C$3:$G$3</c:f>
              <c:numCache>
                <c:formatCode>0%</c:formatCode>
                <c:ptCount val="5"/>
                <c:pt idx="0">
                  <c:v>3.7541790723715725E-2</c:v>
                </c:pt>
                <c:pt idx="1">
                  <c:v>4.164730059175599E-2</c:v>
                </c:pt>
                <c:pt idx="2">
                  <c:v>5.8634395526517398E-2</c:v>
                </c:pt>
                <c:pt idx="3">
                  <c:v>8.673507070104608E-2</c:v>
                </c:pt>
                <c:pt idx="4">
                  <c:v>9.4250053473244472E-2</c:v>
                </c:pt>
              </c:numCache>
            </c:numRef>
          </c:val>
          <c:smooth val="0"/>
        </c:ser>
        <c:ser>
          <c:idx val="3"/>
          <c:order val="3"/>
          <c:tx>
            <c:strRef>
              <c:f>Dupont!$B$6</c:f>
              <c:strCache>
                <c:ptCount val="1"/>
                <c:pt idx="0">
                  <c:v>ROE</c:v>
                </c:pt>
              </c:strCache>
            </c:strRef>
          </c:tx>
          <c:spPr>
            <a:ln w="22225" cap="rnd">
              <a:solidFill>
                <a:schemeClr val="tx1"/>
              </a:solidFill>
              <a:round/>
            </a:ln>
            <a:effectLst/>
          </c:spPr>
          <c:marker>
            <c:symbol val="circle"/>
            <c:size val="6"/>
            <c:spPr>
              <a:solidFill>
                <a:schemeClr val="lt1"/>
              </a:solidFill>
              <a:ln w="15875">
                <a:solidFill>
                  <a:schemeClr val="accent4"/>
                </a:solidFill>
                <a:round/>
              </a:ln>
              <a:effectLst/>
            </c:spPr>
          </c:marker>
          <c:cat>
            <c:strRef>
              <c:f>Dupont!$C$2:$G$2</c:f>
              <c:strCache>
                <c:ptCount val="5"/>
                <c:pt idx="0">
                  <c:v>CY-4</c:v>
                </c:pt>
                <c:pt idx="1">
                  <c:v>CY-3</c:v>
                </c:pt>
                <c:pt idx="2">
                  <c:v>CY-2</c:v>
                </c:pt>
                <c:pt idx="3">
                  <c:v>CY-1</c:v>
                </c:pt>
                <c:pt idx="4">
                  <c:v>CY</c:v>
                </c:pt>
              </c:strCache>
            </c:strRef>
          </c:cat>
          <c:val>
            <c:numRef>
              <c:f>Dupont!$C$6:$G$6</c:f>
              <c:numCache>
                <c:formatCode>0%</c:formatCode>
                <c:ptCount val="5"/>
                <c:pt idx="0">
                  <c:v>0.36331305478628295</c:v>
                </c:pt>
                <c:pt idx="1">
                  <c:v>0.36832365261111383</c:v>
                </c:pt>
                <c:pt idx="2">
                  <c:v>0.43354821933480298</c:v>
                </c:pt>
                <c:pt idx="3">
                  <c:v>0.51959150190444847</c:v>
                </c:pt>
                <c:pt idx="4">
                  <c:v>0.44529500402320998</c:v>
                </c:pt>
              </c:numCache>
            </c:numRef>
          </c:val>
          <c:smooth val="0"/>
        </c:ser>
        <c:dLbls>
          <c:showLegendKey val="0"/>
          <c:showVal val="0"/>
          <c:showCatName val="0"/>
          <c:showSerName val="0"/>
          <c:showPercent val="0"/>
          <c:showBubbleSize val="0"/>
        </c:dLbls>
        <c:marker val="1"/>
        <c:smooth val="0"/>
        <c:axId val="-1533204864"/>
        <c:axId val="-1533218464"/>
      </c:lineChart>
      <c:catAx>
        <c:axId val="-15332113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533209760"/>
        <c:crosses val="autoZero"/>
        <c:auto val="1"/>
        <c:lblAlgn val="ctr"/>
        <c:lblOffset val="100"/>
        <c:noMultiLvlLbl val="0"/>
      </c:catAx>
      <c:valAx>
        <c:axId val="-1533209760"/>
        <c:scaling>
          <c:orientation val="minMax"/>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533211392"/>
        <c:crosses val="autoZero"/>
        <c:crossBetween val="between"/>
      </c:valAx>
      <c:valAx>
        <c:axId val="-1533218464"/>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533204864"/>
        <c:crosses val="max"/>
        <c:crossBetween val="between"/>
      </c:valAx>
      <c:catAx>
        <c:axId val="-1533204864"/>
        <c:scaling>
          <c:orientation val="minMax"/>
        </c:scaling>
        <c:delete val="1"/>
        <c:axPos val="b"/>
        <c:numFmt formatCode="General" sourceLinked="1"/>
        <c:majorTickMark val="out"/>
        <c:minorTickMark val="none"/>
        <c:tickLblPos val="nextTo"/>
        <c:crossAx val="-1533218464"/>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'Polished Data'!$A$26</c:f>
              <c:strCache>
                <c:ptCount val="1"/>
                <c:pt idx="0">
                  <c:v>Sales</c:v>
                </c:pt>
              </c:strCache>
            </c:strRef>
          </c:tx>
          <c:spPr>
            <a:solidFill>
              <a:schemeClr val="accent1"/>
            </a:solidFill>
            <a:ln>
              <a:noFill/>
            </a:ln>
            <a:effectLst/>
          </c:spPr>
          <c:invertIfNegative val="0"/>
          <c:cat>
            <c:numRef>
              <c:f>'Polished Data'!$C$24:$L$24</c:f>
              <c:numCache>
                <c:formatCode>[$-409]mmm\-yy;@</c:formatCode>
                <c:ptCount val="10"/>
                <c:pt idx="0">
                  <c:v>39172</c:v>
                </c:pt>
                <c:pt idx="1">
                  <c:v>39538</c:v>
                </c:pt>
                <c:pt idx="2">
                  <c:v>39903</c:v>
                </c:pt>
                <c:pt idx="3">
                  <c:v>40268</c:v>
                </c:pt>
                <c:pt idx="4">
                  <c:v>40633</c:v>
                </c:pt>
                <c:pt idx="5">
                  <c:v>40999</c:v>
                </c:pt>
                <c:pt idx="6">
                  <c:v>41364</c:v>
                </c:pt>
                <c:pt idx="7">
                  <c:v>41729</c:v>
                </c:pt>
                <c:pt idx="8">
                  <c:v>42094</c:v>
                </c:pt>
                <c:pt idx="9">
                  <c:v>42460</c:v>
                </c:pt>
              </c:numCache>
            </c:numRef>
          </c:cat>
          <c:val>
            <c:numRef>
              <c:f>'Polished Data'!$C$26:$L$26</c:f>
              <c:numCache>
                <c:formatCode>General</c:formatCode>
                <c:ptCount val="10"/>
                <c:pt idx="0">
                  <c:v>2199.29</c:v>
                </c:pt>
                <c:pt idx="1">
                  <c:v>2584.1</c:v>
                </c:pt>
                <c:pt idx="2">
                  <c:v>3112.21</c:v>
                </c:pt>
                <c:pt idx="3">
                  <c:v>3403.46</c:v>
                </c:pt>
                <c:pt idx="4">
                  <c:v>4223.5200000000004</c:v>
                </c:pt>
                <c:pt idx="5">
                  <c:v>4974.1899999999996</c:v>
                </c:pt>
                <c:pt idx="6">
                  <c:v>5615.49</c:v>
                </c:pt>
                <c:pt idx="7">
                  <c:v>6307.39</c:v>
                </c:pt>
                <c:pt idx="8">
                  <c:v>7175.99</c:v>
                </c:pt>
                <c:pt idx="9">
                  <c:v>7947.9</c:v>
                </c:pt>
              </c:numCache>
            </c:numRef>
          </c:val>
        </c:ser>
        <c:dLbls>
          <c:showLegendKey val="0"/>
          <c:showVal val="0"/>
          <c:showCatName val="0"/>
          <c:showSerName val="0"/>
          <c:showPercent val="0"/>
          <c:showBubbleSize val="0"/>
        </c:dLbls>
        <c:gapWidth val="0"/>
        <c:overlap val="-100"/>
        <c:axId val="-1533209216"/>
        <c:axId val="-1533212480"/>
      </c:barChart>
      <c:dateAx>
        <c:axId val="-1533209216"/>
        <c:scaling>
          <c:orientation val="minMax"/>
        </c:scaling>
        <c:delete val="0"/>
        <c:axPos val="b"/>
        <c:numFmt formatCode="[$-409]mmm\-yy;@"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533212480"/>
        <c:crosses val="autoZero"/>
        <c:auto val="1"/>
        <c:lblOffset val="100"/>
        <c:baseTimeUnit val="months"/>
        <c:majorUnit val="12"/>
        <c:majorTimeUnit val="months"/>
      </c:dateAx>
      <c:valAx>
        <c:axId val="-153321248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533209216"/>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978808204529983E-2"/>
          <c:y val="0.17130624836168729"/>
          <c:w val="0.85204238359093998"/>
          <c:h val="0.60466339671065028"/>
        </c:manualLayout>
      </c:layout>
      <c:barChart>
        <c:barDir val="col"/>
        <c:grouping val="clustered"/>
        <c:varyColors val="0"/>
        <c:ser>
          <c:idx val="0"/>
          <c:order val="0"/>
          <c:tx>
            <c:strRef>
              <c:f>'Polished Data'!$A$35</c:f>
              <c:strCache>
                <c:ptCount val="1"/>
                <c:pt idx="0">
                  <c:v>PAT</c:v>
                </c:pt>
              </c:strCache>
            </c:strRef>
          </c:tx>
          <c:spPr>
            <a:solidFill>
              <a:schemeClr val="accent1"/>
            </a:solidFill>
            <a:ln>
              <a:noFill/>
            </a:ln>
            <a:effectLst/>
          </c:spPr>
          <c:invertIfNegative val="0"/>
          <c:cat>
            <c:numRef>
              <c:f>'Polished Data'!$C$24:$L$24</c:f>
              <c:numCache>
                <c:formatCode>[$-409]mmm\-yy;@</c:formatCode>
                <c:ptCount val="10"/>
                <c:pt idx="0">
                  <c:v>39172</c:v>
                </c:pt>
                <c:pt idx="1">
                  <c:v>39538</c:v>
                </c:pt>
                <c:pt idx="2">
                  <c:v>39903</c:v>
                </c:pt>
                <c:pt idx="3">
                  <c:v>40268</c:v>
                </c:pt>
                <c:pt idx="4">
                  <c:v>40633</c:v>
                </c:pt>
                <c:pt idx="5">
                  <c:v>40999</c:v>
                </c:pt>
                <c:pt idx="6">
                  <c:v>41364</c:v>
                </c:pt>
                <c:pt idx="7">
                  <c:v>41729</c:v>
                </c:pt>
                <c:pt idx="8">
                  <c:v>42094</c:v>
                </c:pt>
                <c:pt idx="9">
                  <c:v>42460</c:v>
                </c:pt>
              </c:numCache>
            </c:numRef>
          </c:cat>
          <c:val>
            <c:numRef>
              <c:f>'Polished Data'!$C$35:$L$35</c:f>
              <c:numCache>
                <c:formatCode>General</c:formatCode>
                <c:ptCount val="10"/>
                <c:pt idx="0">
                  <c:v>107.65000000000008</c:v>
                </c:pt>
                <c:pt idx="1">
                  <c:v>190.99999999999989</c:v>
                </c:pt>
                <c:pt idx="2">
                  <c:v>180.40000000000006</c:v>
                </c:pt>
                <c:pt idx="3">
                  <c:v>116.5100000000001</c:v>
                </c:pt>
                <c:pt idx="4">
                  <c:v>145.2900000000003</c:v>
                </c:pt>
                <c:pt idx="5">
                  <c:v>186.7399999999995</c:v>
                </c:pt>
                <c:pt idx="6">
                  <c:v>233.86999999999983</c:v>
                </c:pt>
                <c:pt idx="7">
                  <c:v>369.83000000000061</c:v>
                </c:pt>
                <c:pt idx="8">
                  <c:v>622.40999999999963</c:v>
                </c:pt>
                <c:pt idx="9">
                  <c:v>749.08999999999969</c:v>
                </c:pt>
              </c:numCache>
            </c:numRef>
          </c:val>
        </c:ser>
        <c:dLbls>
          <c:showLegendKey val="0"/>
          <c:showVal val="0"/>
          <c:showCatName val="0"/>
          <c:showSerName val="0"/>
          <c:showPercent val="0"/>
          <c:showBubbleSize val="0"/>
        </c:dLbls>
        <c:gapWidth val="0"/>
        <c:axId val="-1533219552"/>
        <c:axId val="-1533204320"/>
      </c:barChart>
      <c:lineChart>
        <c:grouping val="standard"/>
        <c:varyColors val="0"/>
        <c:ser>
          <c:idx val="1"/>
          <c:order val="1"/>
          <c:tx>
            <c:v>EPS</c:v>
          </c:tx>
          <c:spPr>
            <a:ln w="22225" cap="rnd">
              <a:solidFill>
                <a:schemeClr val="accent2"/>
              </a:solidFill>
              <a:round/>
            </a:ln>
            <a:effectLst/>
          </c:spPr>
          <c:marker>
            <c:symbol val="none"/>
          </c:marker>
          <c:cat>
            <c:numRef>
              <c:f>'Polished Data'!$B$24:$L$24</c:f>
              <c:numCache>
                <c:formatCode>[$-409]mmm\-yy;@</c:formatCode>
                <c:ptCount val="11"/>
                <c:pt idx="1">
                  <c:v>39172</c:v>
                </c:pt>
                <c:pt idx="2">
                  <c:v>39538</c:v>
                </c:pt>
                <c:pt idx="3">
                  <c:v>39903</c:v>
                </c:pt>
                <c:pt idx="4">
                  <c:v>40268</c:v>
                </c:pt>
                <c:pt idx="5">
                  <c:v>40633</c:v>
                </c:pt>
                <c:pt idx="6">
                  <c:v>40999</c:v>
                </c:pt>
                <c:pt idx="7">
                  <c:v>41364</c:v>
                </c:pt>
                <c:pt idx="8">
                  <c:v>41729</c:v>
                </c:pt>
                <c:pt idx="9">
                  <c:v>42094</c:v>
                </c:pt>
                <c:pt idx="10">
                  <c:v>42460</c:v>
                </c:pt>
              </c:numCache>
            </c:numRef>
          </c:cat>
          <c:val>
            <c:numRef>
              <c:f>'Polished Data'!$C$74:$L$74</c:f>
              <c:numCache>
                <c:formatCode>0.00</c:formatCode>
                <c:ptCount val="10"/>
                <c:pt idx="0">
                  <c:v>9.0120774814303282</c:v>
                </c:pt>
                <c:pt idx="1">
                  <c:v>15.989844857902392</c:v>
                </c:pt>
                <c:pt idx="2">
                  <c:v>15.102450326521422</c:v>
                </c:pt>
                <c:pt idx="3">
                  <c:v>9.7538053633204598</c:v>
                </c:pt>
                <c:pt idx="4">
                  <c:v>12.163165232485017</c:v>
                </c:pt>
                <c:pt idx="5">
                  <c:v>15.633212716045513</c:v>
                </c:pt>
                <c:pt idx="6">
                  <c:v>19.566484445222144</c:v>
                </c:pt>
                <c:pt idx="7">
                  <c:v>30.838234975293055</c:v>
                </c:pt>
                <c:pt idx="8">
                  <c:v>51.899591247254548</c:v>
                </c:pt>
                <c:pt idx="9">
                  <c:v>62.43675027337801</c:v>
                </c:pt>
              </c:numCache>
            </c:numRef>
          </c:val>
          <c:smooth val="0"/>
        </c:ser>
        <c:dLbls>
          <c:showLegendKey val="0"/>
          <c:showVal val="0"/>
          <c:showCatName val="0"/>
          <c:showSerName val="0"/>
          <c:showPercent val="0"/>
          <c:showBubbleSize val="0"/>
        </c:dLbls>
        <c:marker val="1"/>
        <c:smooth val="0"/>
        <c:axId val="-1533219008"/>
        <c:axId val="-1533208128"/>
      </c:lineChart>
      <c:dateAx>
        <c:axId val="-1533219552"/>
        <c:scaling>
          <c:orientation val="minMax"/>
        </c:scaling>
        <c:delete val="0"/>
        <c:axPos val="b"/>
        <c:numFmt formatCode="[$-409]mmm\-yy;@"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533204320"/>
        <c:crosses val="autoZero"/>
        <c:auto val="1"/>
        <c:lblOffset val="100"/>
        <c:baseTimeUnit val="months"/>
        <c:majorUnit val="12"/>
        <c:majorTimeUnit val="months"/>
      </c:dateAx>
      <c:valAx>
        <c:axId val="-153320432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533219552"/>
        <c:crosses val="autoZero"/>
        <c:crossBetween val="between"/>
      </c:valAx>
      <c:valAx>
        <c:axId val="-1533208128"/>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533219008"/>
        <c:crosses val="max"/>
        <c:crossBetween val="between"/>
      </c:valAx>
      <c:dateAx>
        <c:axId val="-1533219008"/>
        <c:scaling>
          <c:orientation val="minMax"/>
        </c:scaling>
        <c:delete val="1"/>
        <c:axPos val="b"/>
        <c:numFmt formatCode="[$-409]mmm\-yy;@" sourceLinked="1"/>
        <c:majorTickMark val="out"/>
        <c:minorTickMark val="none"/>
        <c:tickLblPos val="nextTo"/>
        <c:crossAx val="-1533208128"/>
        <c:crosses val="autoZero"/>
        <c:auto val="1"/>
        <c:lblOffset val="100"/>
        <c:baseTimeUnit val="months"/>
        <c:majorUnit val="1"/>
        <c:minorUnit val="1"/>
      </c:date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A$28"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A$29"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A$30"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66675</xdr:colOff>
      <xdr:row>0</xdr:row>
      <xdr:rowOff>123826</xdr:rowOff>
    </xdr:from>
    <xdr:to>
      <xdr:col>6</xdr:col>
      <xdr:colOff>683448</xdr:colOff>
      <xdr:row>10</xdr:row>
      <xdr:rowOff>423334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21168</xdr:colOff>
      <xdr:row>10</xdr:row>
      <xdr:rowOff>719667</xdr:rowOff>
    </xdr:from>
    <xdr:to>
      <xdr:col>6</xdr:col>
      <xdr:colOff>666750</xdr:colOff>
      <xdr:row>11</xdr:row>
      <xdr:rowOff>123826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332717</xdr:colOff>
      <xdr:row>1</xdr:row>
      <xdr:rowOff>173580</xdr:rowOff>
    </xdr:from>
    <xdr:to>
      <xdr:col>3</xdr:col>
      <xdr:colOff>524325</xdr:colOff>
      <xdr:row>3</xdr:row>
      <xdr:rowOff>13899</xdr:rowOff>
    </xdr:to>
    <xdr:sp macro="" textlink="">
      <xdr:nvSpPr>
        <xdr:cNvPr id="7" name="Flowchart: Process 6"/>
        <xdr:cNvSpPr/>
      </xdr:nvSpPr>
      <xdr:spPr>
        <a:xfrm rot="19947316">
          <a:off x="6904967" y="374663"/>
          <a:ext cx="890108" cy="221319"/>
        </a:xfrm>
        <a:prstGeom prst="flowChartProcess">
          <a:avLst/>
        </a:prstGeom>
        <a:solidFill>
          <a:srgbClr val="FFFF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rgbClr val="FF0000"/>
              </a:solidFill>
              <a:latin typeface="Arial" panose="020B0604020202020204" pitchFamily="34" charset="0"/>
              <a:cs typeface="Arial" panose="020B0604020202020204" pitchFamily="34" charset="0"/>
            </a:rPr>
            <a:t>Earnings</a:t>
          </a:r>
        </a:p>
      </xdr:txBody>
    </xdr:sp>
    <xdr:clientData/>
  </xdr:twoCellAnchor>
  <xdr:twoCellAnchor>
    <xdr:from>
      <xdr:col>2</xdr:col>
      <xdr:colOff>305103</xdr:colOff>
      <xdr:row>10</xdr:row>
      <xdr:rowOff>885252</xdr:rowOff>
    </xdr:from>
    <xdr:to>
      <xdr:col>3</xdr:col>
      <xdr:colOff>646180</xdr:colOff>
      <xdr:row>10</xdr:row>
      <xdr:rowOff>1084752</xdr:rowOff>
    </xdr:to>
    <xdr:sp macro="" textlink="">
      <xdr:nvSpPr>
        <xdr:cNvPr id="9" name="Flowchart: Process 8"/>
        <xdr:cNvSpPr/>
      </xdr:nvSpPr>
      <xdr:spPr>
        <a:xfrm rot="19947316">
          <a:off x="6877353" y="2800835"/>
          <a:ext cx="1039577" cy="199500"/>
        </a:xfrm>
        <a:prstGeom prst="flowChartProcess">
          <a:avLst/>
        </a:prstGeom>
        <a:solidFill>
          <a:srgbClr val="FFFF00"/>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rgbClr val="FF0000"/>
              </a:solidFill>
              <a:latin typeface="Arial" panose="020B0604020202020204" pitchFamily="34" charset="0"/>
              <a:cs typeface="Arial" panose="020B0604020202020204" pitchFamily="34" charset="0"/>
            </a:rPr>
            <a:t>Growth</a:t>
          </a:r>
        </a:p>
      </xdr:txBody>
    </xdr:sp>
    <xdr:clientData/>
  </xdr:twoCellAnchor>
  <xdr:twoCellAnchor>
    <xdr:from>
      <xdr:col>0</xdr:col>
      <xdr:colOff>152400</xdr:colOff>
      <xdr:row>51</xdr:row>
      <xdr:rowOff>133350</xdr:rowOff>
    </xdr:from>
    <xdr:to>
      <xdr:col>1</xdr:col>
      <xdr:colOff>2867025</xdr:colOff>
      <xdr:row>66</xdr:row>
      <xdr:rowOff>19050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514350</xdr:colOff>
      <xdr:row>53</xdr:row>
      <xdr:rowOff>152400</xdr:rowOff>
    </xdr:from>
    <xdr:to>
      <xdr:col>1</xdr:col>
      <xdr:colOff>2486025</xdr:colOff>
      <xdr:row>65</xdr:row>
      <xdr:rowOff>163830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200025</xdr:colOff>
      <xdr:row>51</xdr:row>
      <xdr:rowOff>123825</xdr:rowOff>
    </xdr:from>
    <xdr:to>
      <xdr:col>9</xdr:col>
      <xdr:colOff>504825</xdr:colOff>
      <xdr:row>66</xdr:row>
      <xdr:rowOff>9525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600075</xdr:colOff>
      <xdr:row>54</xdr:row>
      <xdr:rowOff>28575</xdr:rowOff>
    </xdr:from>
    <xdr:to>
      <xdr:col>9</xdr:col>
      <xdr:colOff>85725</xdr:colOff>
      <xdr:row>66</xdr:row>
      <xdr:rowOff>95250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190499</xdr:colOff>
      <xdr:row>35</xdr:row>
      <xdr:rowOff>0</xdr:rowOff>
    </xdr:from>
    <xdr:to>
      <xdr:col>2</xdr:col>
      <xdr:colOff>0</xdr:colOff>
      <xdr:row>49</xdr:row>
      <xdr:rowOff>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105833</xdr:colOff>
      <xdr:row>16</xdr:row>
      <xdr:rowOff>2116</xdr:rowOff>
    </xdr:from>
    <xdr:to>
      <xdr:col>2</xdr:col>
      <xdr:colOff>0</xdr:colOff>
      <xdr:row>27</xdr:row>
      <xdr:rowOff>151869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16</xdr:row>
      <xdr:rowOff>0</xdr:rowOff>
    </xdr:from>
    <xdr:to>
      <xdr:col>9</xdr:col>
      <xdr:colOff>666750</xdr:colOff>
      <xdr:row>28</xdr:row>
      <xdr:rowOff>21166</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142875</xdr:colOff>
      <xdr:row>16</xdr:row>
      <xdr:rowOff>66675</xdr:rowOff>
    </xdr:from>
    <xdr:to>
      <xdr:col>3</xdr:col>
      <xdr:colOff>628650</xdr:colOff>
      <xdr:row>17</xdr:row>
      <xdr:rowOff>114300</xdr:rowOff>
    </xdr:to>
    <xdr:sp macro="" textlink="">
      <xdr:nvSpPr>
        <xdr:cNvPr id="16" name="TextBox 15"/>
        <xdr:cNvSpPr txBox="1"/>
      </xdr:nvSpPr>
      <xdr:spPr>
        <a:xfrm>
          <a:off x="10658475" y="7115175"/>
          <a:ext cx="4857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PAT</a:t>
          </a:r>
        </a:p>
      </xdr:txBody>
    </xdr:sp>
    <xdr:clientData/>
  </xdr:twoCellAnchor>
  <xdr:twoCellAnchor>
    <xdr:from>
      <xdr:col>9</xdr:col>
      <xdr:colOff>243417</xdr:colOff>
      <xdr:row>16</xdr:row>
      <xdr:rowOff>37042</xdr:rowOff>
    </xdr:from>
    <xdr:to>
      <xdr:col>10</xdr:col>
      <xdr:colOff>30692</xdr:colOff>
      <xdr:row>17</xdr:row>
      <xdr:rowOff>84667</xdr:rowOff>
    </xdr:to>
    <xdr:sp macro="" textlink="">
      <xdr:nvSpPr>
        <xdr:cNvPr id="19" name="TextBox 18"/>
        <xdr:cNvSpPr txBox="1"/>
      </xdr:nvSpPr>
      <xdr:spPr>
        <a:xfrm>
          <a:off x="11705167" y="4884209"/>
          <a:ext cx="4857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EPS</a:t>
          </a:r>
        </a:p>
      </xdr:txBody>
    </xdr:sp>
    <xdr:clientData/>
  </xdr:twoCellAnchor>
  <xdr:twoCellAnchor>
    <xdr:from>
      <xdr:col>3</xdr:col>
      <xdr:colOff>0</xdr:colOff>
      <xdr:row>34</xdr:row>
      <xdr:rowOff>42334</xdr:rowOff>
    </xdr:from>
    <xdr:to>
      <xdr:col>10</xdr:col>
      <xdr:colOff>21167</xdr:colOff>
      <xdr:row>49</xdr:row>
      <xdr:rowOff>10584</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142874</xdr:colOff>
      <xdr:row>31</xdr:row>
      <xdr:rowOff>133350</xdr:rowOff>
    </xdr:from>
    <xdr:to>
      <xdr:col>11</xdr:col>
      <xdr:colOff>66674</xdr:colOff>
      <xdr:row>33</xdr:row>
      <xdr:rowOff>123825</xdr:rowOff>
    </xdr:to>
    <xdr:sp macro="" textlink="">
      <xdr:nvSpPr>
        <xdr:cNvPr id="4" name="Rounded Rectangular Callout 3"/>
        <xdr:cNvSpPr/>
      </xdr:nvSpPr>
      <xdr:spPr>
        <a:xfrm>
          <a:off x="4981574" y="4343400"/>
          <a:ext cx="3629025" cy="3143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latin typeface="Arial" panose="020B0604020202020204" pitchFamily="34" charset="0"/>
              <a:cs typeface="Arial" panose="020B0604020202020204" pitchFamily="34" charset="0"/>
            </a:rPr>
            <a:t>Return</a:t>
          </a:r>
          <a:r>
            <a:rPr lang="en-GB" sz="900" baseline="0">
              <a:solidFill>
                <a:srgbClr val="FF0000"/>
              </a:solidFill>
              <a:latin typeface="Arial" panose="020B0604020202020204" pitchFamily="34" charset="0"/>
              <a:cs typeface="Arial" panose="020B0604020202020204" pitchFamily="34" charset="0"/>
            </a:rPr>
            <a:t> on stock  when existing  ROE growth rate is extended</a:t>
          </a:r>
          <a:endParaRPr lang="en-GB" sz="900">
            <a:solidFill>
              <a:srgbClr val="FF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361950</xdr:colOff>
          <xdr:row>1</xdr:row>
          <xdr:rowOff>133350</xdr:rowOff>
        </xdr:from>
        <xdr:to>
          <xdr:col>1</xdr:col>
          <xdr:colOff>352425</xdr:colOff>
          <xdr:row>4</xdr:row>
          <xdr:rowOff>114300</xdr:rowOff>
        </xdr:to>
        <xdr:sp macro="" textlink="">
          <xdr:nvSpPr>
            <xdr:cNvPr id="16386" name="Group Box 2" hidden="1">
              <a:extLst>
                <a:ext uri="{63B3BB69-23CF-44E3-9099-C40C66FF867C}">
                  <a14:compatExt spid="_x0000_s163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2</xdr:row>
          <xdr:rowOff>133350</xdr:rowOff>
        </xdr:from>
        <xdr:to>
          <xdr:col>0</xdr:col>
          <xdr:colOff>1133475</xdr:colOff>
          <xdr:row>4</xdr:row>
          <xdr:rowOff>28575</xdr:rowOff>
        </xdr:to>
        <xdr:sp macro="" textlink="">
          <xdr:nvSpPr>
            <xdr:cNvPr id="16387" name="Option Button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Bank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2</xdr:row>
          <xdr:rowOff>133350</xdr:rowOff>
        </xdr:from>
        <xdr:to>
          <xdr:col>0</xdr:col>
          <xdr:colOff>2066925</xdr:colOff>
          <xdr:row>4</xdr:row>
          <xdr:rowOff>28575</xdr:rowOff>
        </xdr:to>
        <xdr:sp macro="" textlink="">
          <xdr:nvSpPr>
            <xdr:cNvPr id="16388" name="Option Button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Bank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xdr:row>
          <xdr:rowOff>133350</xdr:rowOff>
        </xdr:from>
        <xdr:to>
          <xdr:col>4</xdr:col>
          <xdr:colOff>771525</xdr:colOff>
          <xdr:row>4</xdr:row>
          <xdr:rowOff>104775</xdr:rowOff>
        </xdr:to>
        <xdr:sp macro="" textlink="">
          <xdr:nvSpPr>
            <xdr:cNvPr id="16389" name="Group Box 5" hidden="1">
              <a:extLst>
                <a:ext uri="{63B3BB69-23CF-44E3-9099-C40C66FF867C}">
                  <a14:compatExt spid="_x0000_s163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Future Growth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2</xdr:row>
          <xdr:rowOff>142875</xdr:rowOff>
        </xdr:from>
        <xdr:to>
          <xdr:col>3</xdr:col>
          <xdr:colOff>1038225</xdr:colOff>
          <xdr:row>4</xdr:row>
          <xdr:rowOff>38100</xdr:rowOff>
        </xdr:to>
        <xdr:sp macro="" textlink="">
          <xdr:nvSpPr>
            <xdr:cNvPr id="16390" name="Option Button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 Yr. CAGR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1390650</xdr:colOff>
          <xdr:row>2</xdr:row>
          <xdr:rowOff>152400</xdr:rowOff>
        </xdr:from>
        <xdr:to>
          <xdr:col>4</xdr:col>
          <xdr:colOff>323850</xdr:colOff>
          <xdr:row>4</xdr:row>
          <xdr:rowOff>47625</xdr:rowOff>
        </xdr:to>
        <xdr:sp macro="" textlink="">
          <xdr:nvSpPr>
            <xdr:cNvPr id="16391" name="Option Button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Conservative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xdr:row>
          <xdr:rowOff>152400</xdr:rowOff>
        </xdr:from>
        <xdr:to>
          <xdr:col>7</xdr:col>
          <xdr:colOff>704850</xdr:colOff>
          <xdr:row>4</xdr:row>
          <xdr:rowOff>123825</xdr:rowOff>
        </xdr:to>
        <xdr:sp macro="" textlink="">
          <xdr:nvSpPr>
            <xdr:cNvPr id="16392" name="Group Box 8" hidden="1">
              <a:extLst>
                <a:ext uri="{63B3BB69-23CF-44E3-9099-C40C66FF867C}">
                  <a14:compatExt spid="_x0000_s163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Segoe UI"/>
                  <a:cs typeface="Segoe UI"/>
                </a:rPr>
                <a:t>RoE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552450</xdr:colOff>
          <xdr:row>3</xdr:row>
          <xdr:rowOff>0</xdr:rowOff>
        </xdr:from>
        <xdr:to>
          <xdr:col>6</xdr:col>
          <xdr:colOff>361950</xdr:colOff>
          <xdr:row>4</xdr:row>
          <xdr:rowOff>57150</xdr:rowOff>
        </xdr:to>
        <xdr:sp macro="" textlink="">
          <xdr:nvSpPr>
            <xdr:cNvPr id="16393" name="Option Button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xdr:row>
          <xdr:rowOff>152400</xdr:rowOff>
        </xdr:from>
        <xdr:to>
          <xdr:col>7</xdr:col>
          <xdr:colOff>485775</xdr:colOff>
          <xdr:row>4</xdr:row>
          <xdr:rowOff>47625</xdr:rowOff>
        </xdr:to>
        <xdr:sp macro="" textlink="">
          <xdr:nvSpPr>
            <xdr:cNvPr id="16394" name="Option Button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5 Yr. Avg.</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14</xdr:row>
      <xdr:rowOff>0</xdr:rowOff>
    </xdr:from>
    <xdr:to>
      <xdr:col>7</xdr:col>
      <xdr:colOff>495300</xdr:colOff>
      <xdr:row>17</xdr:row>
      <xdr:rowOff>114300</xdr:rowOff>
    </xdr:to>
    <xdr:pic>
      <xdr:nvPicPr>
        <xdr:cNvPr id="2" name="Picture 1" descr="capital allocation -10"/>
        <xdr:cNvPicPr>
          <a:picLocks noChangeAspect="1" noChangeArrowheads="1"/>
        </xdr:cNvPicPr>
      </xdr:nvPicPr>
      <xdr:blipFill>
        <a:blip xmlns:r="http://schemas.openxmlformats.org/officeDocument/2006/relationships" r:embed="rId1">
          <a:duotone>
            <a:prstClr val="black"/>
            <a:schemeClr val="accent6">
              <a:tint val="45000"/>
              <a:satMod val="400000"/>
            </a:schemeClr>
          </a:duotone>
          <a:extLst>
            <a:ext uri="{28A0092B-C50C-407E-A947-70E740481C1C}">
              <a14:useLocalDpi xmlns:a14="http://schemas.microsoft.com/office/drawing/2010/main" val="0"/>
            </a:ext>
          </a:extLst>
        </a:blip>
        <a:srcRect/>
        <a:stretch>
          <a:fillRect/>
        </a:stretch>
      </xdr:blipFill>
      <xdr:spPr bwMode="auto">
        <a:xfrm>
          <a:off x="38100" y="2476500"/>
          <a:ext cx="52959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47625</xdr:colOff>
      <xdr:row>16</xdr:row>
      <xdr:rowOff>38100</xdr:rowOff>
    </xdr:from>
    <xdr:to>
      <xdr:col>9</xdr:col>
      <xdr:colOff>76200</xdr:colOff>
      <xdr:row>18</xdr:row>
      <xdr:rowOff>142875</xdr:rowOff>
    </xdr:to>
    <xdr:sp macro="" textlink="">
      <xdr:nvSpPr>
        <xdr:cNvPr id="2" name="Rounded Rectangular Callout 1"/>
        <xdr:cNvSpPr/>
      </xdr:nvSpPr>
      <xdr:spPr>
        <a:xfrm>
          <a:off x="2828925" y="2762250"/>
          <a:ext cx="4333875" cy="466725"/>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00">
              <a:solidFill>
                <a:srgbClr val="FF0000"/>
              </a:solidFill>
            </a:rPr>
            <a:t>A discrete score between 0-9 which reflects nine criteria used to determine the strength of a firm's financial position.</a:t>
          </a:r>
          <a:endParaRPr lang="en-GB" sz="1000">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190500</xdr:colOff>
      <xdr:row>16</xdr:row>
      <xdr:rowOff>66675</xdr:rowOff>
    </xdr:from>
    <xdr:to>
      <xdr:col>7</xdr:col>
      <xdr:colOff>0</xdr:colOff>
      <xdr:row>18</xdr:row>
      <xdr:rowOff>85725</xdr:rowOff>
    </xdr:to>
    <xdr:sp macro="" textlink="">
      <xdr:nvSpPr>
        <xdr:cNvPr id="2" name="Rounded Rectangular Callout 1"/>
        <xdr:cNvSpPr/>
      </xdr:nvSpPr>
      <xdr:spPr>
        <a:xfrm>
          <a:off x="4333875" y="3000375"/>
          <a:ext cx="4972050" cy="381000"/>
        </a:xfrm>
        <a:prstGeom prst="wedgeRoundRectCallou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900">
              <a:solidFill>
                <a:srgbClr val="FF0000"/>
              </a:solidFill>
            </a:rPr>
            <a:t>The output of Altman score test gauges a publicly traded company's likelihood of bankruptcy.</a:t>
          </a:r>
          <a:endParaRPr lang="en-GB" sz="900">
            <a:solidFill>
              <a:srgbClr val="FF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adip%20Beriwal/Desktop/Reserach%20@%202016/Polished/Price_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3 Oct"/>
      <sheetName val="Valuation 4 Oct"/>
      <sheetName val="Master Sheet"/>
    </sheetNames>
    <sheetDataSet>
      <sheetData sheetId="0"/>
      <sheetData sheetId="1"/>
      <sheetData sheetId="2">
        <row r="4">
          <cell r="B4" t="str">
            <v>Ajanta Pharma</v>
          </cell>
          <cell r="C4">
            <v>2088.5500000000002</v>
          </cell>
        </row>
        <row r="5">
          <cell r="B5" t="str">
            <v>Alembic Pharma</v>
          </cell>
          <cell r="C5">
            <v>668.9</v>
          </cell>
        </row>
        <row r="6">
          <cell r="B6" t="str">
            <v>Dewan Housing</v>
          </cell>
          <cell r="C6">
            <v>295.3</v>
          </cell>
        </row>
        <row r="7">
          <cell r="B7" t="str">
            <v>Torrent Pharma</v>
          </cell>
          <cell r="C7">
            <v>1662.4</v>
          </cell>
        </row>
        <row r="8">
          <cell r="B8" t="str">
            <v>Lupin</v>
          </cell>
          <cell r="C8">
            <v>1494.25</v>
          </cell>
        </row>
        <row r="9">
          <cell r="B9" t="str">
            <v>Axis Bank</v>
          </cell>
          <cell r="C9">
            <v>550.95000000000005</v>
          </cell>
        </row>
        <row r="10">
          <cell r="B10" t="str">
            <v>HDFC Bank</v>
          </cell>
          <cell r="C10">
            <v>1286.8499999999999</v>
          </cell>
        </row>
        <row r="11">
          <cell r="B11" t="str">
            <v>Kitex Garments</v>
          </cell>
          <cell r="C11">
            <v>437.45</v>
          </cell>
        </row>
        <row r="12">
          <cell r="B12" t="str">
            <v>YES BANK</v>
          </cell>
          <cell r="C12">
            <v>1271.0999999999999</v>
          </cell>
        </row>
        <row r="13">
          <cell r="B13" t="str">
            <v>Colgate</v>
          </cell>
          <cell r="C13">
            <v>983.3</v>
          </cell>
        </row>
        <row r="14">
          <cell r="B14" t="str">
            <v>CRISIL</v>
          </cell>
          <cell r="C14">
            <v>2376.15</v>
          </cell>
        </row>
        <row r="15">
          <cell r="B15" t="str">
            <v>Dabur India</v>
          </cell>
          <cell r="C15">
            <v>276.2</v>
          </cell>
        </row>
        <row r="16">
          <cell r="B16" t="str">
            <v>Pidilite Ind</v>
          </cell>
          <cell r="C16">
            <v>723</v>
          </cell>
        </row>
        <row r="17">
          <cell r="B17" t="str">
            <v>Divis Labs</v>
          </cell>
          <cell r="C17">
            <v>1298.95</v>
          </cell>
        </row>
        <row r="18">
          <cell r="B18" t="str">
            <v>Emami</v>
          </cell>
          <cell r="C18">
            <v>1182</v>
          </cell>
        </row>
        <row r="19">
          <cell r="B19" t="str">
            <v>Godrej Consumer</v>
          </cell>
          <cell r="C19">
            <v>1639.35</v>
          </cell>
        </row>
        <row r="20">
          <cell r="B20" t="str">
            <v>HDFC</v>
          </cell>
          <cell r="C20">
            <v>1425.1</v>
          </cell>
        </row>
        <row r="21">
          <cell r="B21" t="str">
            <v>Aurobindo Pharm</v>
          </cell>
          <cell r="C21">
            <v>869.45</v>
          </cell>
        </row>
        <row r="22">
          <cell r="B22" t="str">
            <v>Heritage Foods</v>
          </cell>
          <cell r="C22">
            <v>883.55</v>
          </cell>
        </row>
        <row r="23">
          <cell r="B23" t="str">
            <v>Marico</v>
          </cell>
          <cell r="C23">
            <v>282.14999999999998</v>
          </cell>
        </row>
        <row r="24">
          <cell r="B24" t="str">
            <v>Page Industries</v>
          </cell>
          <cell r="C24">
            <v>15453.3</v>
          </cell>
        </row>
        <row r="25">
          <cell r="B25" t="str">
            <v>Kotak Mahindra</v>
          </cell>
          <cell r="C25">
            <v>787.6</v>
          </cell>
        </row>
        <row r="26">
          <cell r="B26" t="str">
            <v>Britannia</v>
          </cell>
          <cell r="C26">
            <v>3482.85</v>
          </cell>
        </row>
        <row r="27">
          <cell r="B27" t="str">
            <v>Atul Auto</v>
          </cell>
          <cell r="C27">
            <v>499.2</v>
          </cell>
        </row>
        <row r="28">
          <cell r="B28" t="str">
            <v>Mayur Uniquoter</v>
          </cell>
          <cell r="C28">
            <v>428.95</v>
          </cell>
        </row>
        <row r="29">
          <cell r="B29" t="str">
            <v>Nestle</v>
          </cell>
          <cell r="C29">
            <v>6621.9</v>
          </cell>
        </row>
        <row r="30">
          <cell r="B30" t="str">
            <v>Amara Raja Batt</v>
          </cell>
          <cell r="C30">
            <v>1029.0999999999999</v>
          </cell>
        </row>
        <row r="31">
          <cell r="B31" t="str">
            <v>Capital First</v>
          </cell>
          <cell r="C31">
            <v>724.9</v>
          </cell>
        </row>
        <row r="32">
          <cell r="B32" t="str">
            <v>Shriram Trans</v>
          </cell>
          <cell r="C32">
            <v>1221.8499999999999</v>
          </cell>
        </row>
        <row r="33">
          <cell r="B33" t="str">
            <v>Tasty Bite</v>
          </cell>
          <cell r="C33">
            <v>4092.6</v>
          </cell>
        </row>
        <row r="34">
          <cell r="B34" t="str">
            <v>Titan Company</v>
          </cell>
          <cell r="C34">
            <v>407.55</v>
          </cell>
        </row>
        <row r="35">
          <cell r="B35" t="str">
            <v>Gruh Finance</v>
          </cell>
          <cell r="C35">
            <v>338.7</v>
          </cell>
        </row>
        <row r="36">
          <cell r="B36" t="str">
            <v>V-Mart Retail</v>
          </cell>
          <cell r="C36">
            <v>509</v>
          </cell>
        </row>
        <row r="37">
          <cell r="B37" t="str">
            <v>Can Fin Homes</v>
          </cell>
          <cell r="C37">
            <v>1681.3</v>
          </cell>
        </row>
        <row r="38">
          <cell r="B38" t="str">
            <v>IGL</v>
          </cell>
          <cell r="C38">
            <v>841.8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screener.in/exce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pageSetUpPr fitToPage="1"/>
  </sheetPr>
  <dimension ref="A1:M64"/>
  <sheetViews>
    <sheetView showGridLines="0" zoomScale="90" zoomScaleNormal="90" workbookViewId="0">
      <selection activeCell="B13" sqref="B13"/>
    </sheetView>
  </sheetViews>
  <sheetFormatPr defaultColWidth="9.125" defaultRowHeight="15"/>
  <cols>
    <col min="1" max="1" width="27.875" style="2" customWidth="1"/>
    <col min="2" max="2" width="58.375" style="5" customWidth="1"/>
    <col min="3" max="11" width="9.125" style="2"/>
    <col min="12" max="12" width="10.125" style="2" customWidth="1"/>
    <col min="13" max="16384" width="9.125" style="2"/>
  </cols>
  <sheetData>
    <row r="1" spans="1:13" ht="15.75">
      <c r="A1" s="233" t="s">
        <v>72</v>
      </c>
      <c r="B1" s="233"/>
      <c r="C1" s="233" t="s">
        <v>75</v>
      </c>
      <c r="D1" s="233"/>
      <c r="E1" s="233"/>
      <c r="F1" s="233"/>
      <c r="G1" s="233"/>
      <c r="H1" s="233"/>
      <c r="I1" s="233"/>
      <c r="J1" s="233"/>
      <c r="K1" s="233"/>
      <c r="L1" s="233"/>
      <c r="M1" s="233"/>
    </row>
    <row r="3" spans="1:13">
      <c r="A3" s="3" t="s">
        <v>0</v>
      </c>
      <c r="B3" s="17" t="str">
        <f>Qualitative!D2</f>
        <v>Britannia</v>
      </c>
    </row>
    <row r="4" spans="1:13">
      <c r="A4" s="3" t="s">
        <v>1</v>
      </c>
      <c r="B4" s="17" t="str">
        <f>Qualitative!D3</f>
        <v>FMCG</v>
      </c>
    </row>
    <row r="5" spans="1:13" ht="15.75" thickBot="1">
      <c r="A5" s="3" t="s">
        <v>71</v>
      </c>
      <c r="B5" s="186">
        <f>Qualitative!D5</f>
        <v>3482.85</v>
      </c>
      <c r="K5" s="244"/>
      <c r="L5" s="244"/>
    </row>
    <row r="6" spans="1:13" ht="15.75" thickTop="1">
      <c r="A6" s="3" t="s">
        <v>3</v>
      </c>
      <c r="B6" s="70">
        <f>'Polished Data'!L40</f>
        <v>24</v>
      </c>
      <c r="I6" s="246" t="s">
        <v>390</v>
      </c>
      <c r="J6" s="246"/>
      <c r="K6" s="245">
        <f>(Valuation!B8-Valuation!B25)/Valuation!B25</f>
        <v>0.45749257334676435</v>
      </c>
      <c r="L6" s="245"/>
    </row>
    <row r="7" spans="1:13" ht="15.75" thickBot="1">
      <c r="A7" s="3" t="s">
        <v>4</v>
      </c>
      <c r="B7" s="1">
        <f>'Polished Data'!B38</f>
        <v>40368.269999999997</v>
      </c>
      <c r="I7" s="247" t="s">
        <v>391</v>
      </c>
      <c r="J7" s="247"/>
      <c r="K7" s="248">
        <f>POWER(Valuation!E24/Valuation!B8, 1/5)-1</f>
        <v>0.12238842703295205</v>
      </c>
      <c r="L7" s="248"/>
    </row>
    <row r="8" spans="1:13" ht="15.75" thickTop="1">
      <c r="A8" s="3" t="s">
        <v>5</v>
      </c>
      <c r="B8" s="18">
        <f>Qualitative!D9</f>
        <v>0.50739999999999996</v>
      </c>
    </row>
    <row r="11" spans="1:13" ht="185.25" customHeight="1">
      <c r="A11" s="3" t="s">
        <v>6</v>
      </c>
      <c r="B11" s="19" t="str">
        <f>Qualitative!D4</f>
        <v>ZZ</v>
      </c>
    </row>
    <row r="12" spans="1:13">
      <c r="A12" s="237"/>
      <c r="B12" s="237"/>
    </row>
    <row r="13" spans="1:13">
      <c r="A13" s="78"/>
      <c r="B13" s="78"/>
    </row>
    <row r="14" spans="1:13">
      <c r="A14" s="78"/>
      <c r="B14" s="78"/>
    </row>
    <row r="15" spans="1:13" ht="15.75" thickBot="1">
      <c r="A15" s="78"/>
      <c r="B15" s="78"/>
    </row>
    <row r="16" spans="1:13" ht="15.75" thickBot="1">
      <c r="A16" s="238" t="s">
        <v>378</v>
      </c>
      <c r="B16" s="239"/>
      <c r="D16" s="240" t="s">
        <v>379</v>
      </c>
      <c r="E16" s="241"/>
      <c r="F16" s="241"/>
      <c r="G16" s="241"/>
      <c r="H16" s="241"/>
      <c r="I16" s="241"/>
      <c r="J16" s="241"/>
    </row>
    <row r="17" spans="1:10">
      <c r="A17" s="78"/>
      <c r="B17" s="78"/>
      <c r="D17"/>
      <c r="E17"/>
      <c r="F17"/>
      <c r="G17"/>
      <c r="H17"/>
      <c r="I17"/>
    </row>
    <row r="18" spans="1:10">
      <c r="A18" s="78"/>
      <c r="B18" s="78"/>
      <c r="D18"/>
      <c r="E18"/>
      <c r="F18"/>
      <c r="G18"/>
      <c r="H18"/>
      <c r="I18"/>
    </row>
    <row r="19" spans="1:10">
      <c r="A19" s="78"/>
      <c r="B19" s="78"/>
      <c r="D19"/>
      <c r="E19"/>
      <c r="F19"/>
      <c r="G19"/>
      <c r="H19"/>
      <c r="I19"/>
    </row>
    <row r="20" spans="1:10">
      <c r="A20" s="78"/>
      <c r="B20" s="78"/>
      <c r="D20"/>
      <c r="E20"/>
      <c r="F20"/>
      <c r="G20"/>
      <c r="H20"/>
      <c r="I20"/>
    </row>
    <row r="21" spans="1:10">
      <c r="A21" s="78"/>
      <c r="B21" s="78"/>
      <c r="D21"/>
      <c r="E21"/>
      <c r="F21"/>
      <c r="G21"/>
      <c r="H21"/>
      <c r="I21"/>
    </row>
    <row r="22" spans="1:10">
      <c r="A22" s="78"/>
      <c r="B22" s="78"/>
      <c r="D22"/>
      <c r="E22"/>
      <c r="F22"/>
      <c r="G22"/>
      <c r="H22"/>
      <c r="I22"/>
    </row>
    <row r="23" spans="1:10">
      <c r="A23" s="78"/>
      <c r="B23" s="78"/>
      <c r="D23"/>
      <c r="E23"/>
      <c r="F23"/>
      <c r="G23"/>
      <c r="H23"/>
      <c r="I23"/>
    </row>
    <row r="24" spans="1:10">
      <c r="A24" s="78"/>
      <c r="B24" s="78"/>
      <c r="D24"/>
      <c r="E24"/>
      <c r="F24"/>
      <c r="G24"/>
      <c r="H24"/>
      <c r="I24"/>
      <c r="J24"/>
    </row>
    <row r="25" spans="1:10">
      <c r="A25" s="78"/>
      <c r="B25" s="78"/>
      <c r="D25"/>
      <c r="E25"/>
      <c r="F25"/>
      <c r="G25"/>
      <c r="H25"/>
      <c r="I25"/>
      <c r="J25"/>
    </row>
    <row r="26" spans="1:10">
      <c r="A26" s="78"/>
      <c r="B26" s="78"/>
      <c r="D26"/>
      <c r="E26"/>
      <c r="F26"/>
      <c r="G26"/>
      <c r="H26"/>
      <c r="I26"/>
      <c r="J26"/>
    </row>
    <row r="27" spans="1:10">
      <c r="A27" s="78"/>
      <c r="B27" s="78"/>
      <c r="D27"/>
      <c r="E27"/>
      <c r="F27"/>
      <c r="G27"/>
      <c r="H27"/>
      <c r="I27"/>
      <c r="J27"/>
    </row>
    <row r="28" spans="1:10">
      <c r="A28" s="78"/>
      <c r="B28" s="78"/>
      <c r="D28"/>
      <c r="E28"/>
      <c r="F28"/>
      <c r="G28"/>
      <c r="H28"/>
      <c r="I28"/>
      <c r="J28"/>
    </row>
    <row r="29" spans="1:10">
      <c r="A29" s="78"/>
      <c r="B29" s="78"/>
      <c r="J29"/>
    </row>
    <row r="30" spans="1:10">
      <c r="A30" s="78"/>
      <c r="B30" s="78"/>
      <c r="J30"/>
    </row>
    <row r="31" spans="1:10">
      <c r="A31" s="78"/>
      <c r="B31" s="78"/>
      <c r="J31"/>
    </row>
    <row r="32" spans="1:10">
      <c r="A32" s="78"/>
      <c r="B32" s="78"/>
      <c r="J32"/>
    </row>
    <row r="33" spans="1:10" ht="15.75" thickBot="1">
      <c r="A33" s="78"/>
      <c r="B33" s="78"/>
      <c r="J33"/>
    </row>
    <row r="34" spans="1:10" ht="15.75" thickBot="1">
      <c r="A34" s="238" t="s">
        <v>107</v>
      </c>
      <c r="B34" s="239"/>
      <c r="D34" s="240" t="s">
        <v>380</v>
      </c>
      <c r="E34" s="241"/>
      <c r="F34" s="241"/>
      <c r="G34" s="241"/>
      <c r="H34" s="241"/>
      <c r="I34" s="241"/>
      <c r="J34" s="241"/>
    </row>
    <row r="35" spans="1:10">
      <c r="B35" s="2"/>
      <c r="J35"/>
    </row>
    <row r="36" spans="1:10">
      <c r="B36" s="2"/>
      <c r="E36"/>
      <c r="F36"/>
      <c r="G36"/>
      <c r="H36"/>
      <c r="I36"/>
      <c r="J36"/>
    </row>
    <row r="37" spans="1:10">
      <c r="B37" s="2"/>
      <c r="E37"/>
      <c r="F37"/>
      <c r="G37"/>
      <c r="H37"/>
      <c r="I37"/>
      <c r="J37"/>
    </row>
    <row r="38" spans="1:10">
      <c r="B38" s="2"/>
    </row>
    <row r="39" spans="1:10">
      <c r="B39" s="2"/>
    </row>
    <row r="40" spans="1:10">
      <c r="B40" s="2"/>
    </row>
    <row r="41" spans="1:10">
      <c r="B41" s="2"/>
    </row>
    <row r="42" spans="1:10">
      <c r="B42" s="2"/>
    </row>
    <row r="43" spans="1:10">
      <c r="B43" s="2"/>
    </row>
    <row r="44" spans="1:10">
      <c r="B44" s="2"/>
    </row>
    <row r="45" spans="1:10">
      <c r="B45" s="2"/>
    </row>
    <row r="46" spans="1:10">
      <c r="B46" s="2"/>
    </row>
    <row r="47" spans="1:10">
      <c r="B47" s="2"/>
    </row>
    <row r="48" spans="1:10">
      <c r="B48" s="2"/>
    </row>
    <row r="49" spans="1:10">
      <c r="B49" s="2"/>
    </row>
    <row r="50" spans="1:10">
      <c r="B50" s="2"/>
    </row>
    <row r="51" spans="1:10">
      <c r="A51" s="78"/>
      <c r="B51" s="78"/>
    </row>
    <row r="52" spans="1:10">
      <c r="A52" s="242" t="s">
        <v>96</v>
      </c>
      <c r="B52" s="243"/>
      <c r="C52" s="243"/>
      <c r="D52" s="243"/>
      <c r="E52" s="243"/>
      <c r="F52" s="243"/>
      <c r="G52" s="243"/>
      <c r="H52" s="243"/>
      <c r="I52" s="243"/>
      <c r="J52" s="243"/>
    </row>
    <row r="62" spans="1:10">
      <c r="A62" s="4" t="s">
        <v>91</v>
      </c>
      <c r="C62" s="234" t="s">
        <v>93</v>
      </c>
      <c r="D62" s="234"/>
      <c r="E62" s="234"/>
    </row>
    <row r="63" spans="1:10">
      <c r="A63" s="6" t="s">
        <v>87</v>
      </c>
      <c r="C63" s="235" t="s">
        <v>94</v>
      </c>
      <c r="D63" s="235"/>
      <c r="E63" s="235"/>
    </row>
    <row r="64" spans="1:10">
      <c r="A64" s="7" t="s">
        <v>90</v>
      </c>
      <c r="C64" s="236" t="s">
        <v>95</v>
      </c>
      <c r="D64" s="236"/>
      <c r="E64" s="236"/>
    </row>
  </sheetData>
  <mergeCells count="16">
    <mergeCell ref="C1:M1"/>
    <mergeCell ref="C62:E62"/>
    <mergeCell ref="C63:E63"/>
    <mergeCell ref="C64:E64"/>
    <mergeCell ref="A12:B12"/>
    <mergeCell ref="A1:B1"/>
    <mergeCell ref="A34:B34"/>
    <mergeCell ref="A16:B16"/>
    <mergeCell ref="D16:J16"/>
    <mergeCell ref="D34:J34"/>
    <mergeCell ref="A52:J52"/>
    <mergeCell ref="K5:L5"/>
    <mergeCell ref="K6:L6"/>
    <mergeCell ref="I6:J6"/>
    <mergeCell ref="I7:J7"/>
    <mergeCell ref="K7:L7"/>
  </mergeCells>
  <conditionalFormatting sqref="K6:L6">
    <cfRule type="dataBar" priority="2">
      <dataBar>
        <cfvo type="min"/>
        <cfvo type="num" val="1"/>
        <color rgb="FFFF0000"/>
      </dataBar>
      <extLst>
        <ext xmlns:x14="http://schemas.microsoft.com/office/spreadsheetml/2009/9/main" uri="{B025F937-C7B1-47D3-B67F-A62EFF666E3E}">
          <x14:id>{7F8777E6-534C-4D31-907C-2BBD50CE4320}</x14:id>
        </ext>
      </extLst>
    </cfRule>
  </conditionalFormatting>
  <conditionalFormatting sqref="K7:L7">
    <cfRule type="dataBar" priority="1">
      <dataBar>
        <cfvo type="min"/>
        <cfvo type="num" val="1"/>
        <color rgb="FF00B050"/>
      </dataBar>
      <extLst>
        <ext xmlns:x14="http://schemas.microsoft.com/office/spreadsheetml/2009/9/main" uri="{B025F937-C7B1-47D3-B67F-A62EFF666E3E}">
          <x14:id>{F742FF4B-F066-472D-BEF6-96B2E6E9AEEA}</x14:id>
        </ext>
      </extLst>
    </cfRule>
  </conditionalFormatting>
  <pageMargins left="0.70866141732283472" right="0.70866141732283472" top="0.74803149606299213" bottom="0.74803149606299213" header="0.31496062992125984" footer="0.31496062992125984"/>
  <pageSetup paperSize="9" scale="56" orientation="landscape" r:id="rId1"/>
  <headerFooter>
    <oddHeader xml:space="preserve">&amp;C
</oddHeader>
  </headerFooter>
  <ignoredErrors>
    <ignoredError sqref="B5:B6 B3:B4 B8 B11 K6:L7"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dataBar" id="{7F8777E6-534C-4D31-907C-2BBD50CE4320}">
            <x14:dataBar minLength="0" maxLength="100" gradient="0">
              <x14:cfvo type="autoMin"/>
              <x14:cfvo type="num">
                <xm:f>1</xm:f>
              </x14:cfvo>
              <x14:negativeFillColor rgb="FFFF0000"/>
              <x14:axisColor rgb="FF000000"/>
            </x14:dataBar>
          </x14:cfRule>
          <xm:sqref>K6:L6</xm:sqref>
        </x14:conditionalFormatting>
        <x14:conditionalFormatting xmlns:xm="http://schemas.microsoft.com/office/excel/2006/main">
          <x14:cfRule type="dataBar" id="{F742FF4B-F066-472D-BEF6-96B2E6E9AEEA}">
            <x14:dataBar minLength="0" maxLength="100" gradient="0">
              <x14:cfvo type="autoMin"/>
              <x14:cfvo type="num">
                <xm:f>1</xm:f>
              </x14:cfvo>
              <x14:negativeFillColor rgb="FFFF0000"/>
              <x14:axisColor rgb="FF000000"/>
            </x14:dataBar>
          </x14:cfRule>
          <xm:sqref>K7:L7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workbookViewId="0">
      <pane xSplit="1" ySplit="1" topLeftCell="B2" activePane="bottomRight" state="frozen"/>
      <selection activeCell="D8" sqref="D8"/>
      <selection pane="topRight" activeCell="D8" sqref="D8"/>
      <selection pane="bottomLeft" activeCell="D8" sqref="D8"/>
      <selection pane="bottomRight" activeCell="B8" sqref="B8"/>
    </sheetView>
  </sheetViews>
  <sheetFormatPr defaultColWidth="9.125" defaultRowHeight="15"/>
  <cols>
    <col min="1" max="1" width="27.75" style="175" bestFit="1" customWidth="1"/>
    <col min="2" max="11" width="13.625" style="175" bestFit="1" customWidth="1"/>
    <col min="12" max="16384" width="9.125" style="175"/>
  </cols>
  <sheetData>
    <row r="1" spans="1:11" s="174" customFormat="1">
      <c r="A1" s="174" t="s">
        <v>304</v>
      </c>
      <c r="B1" s="174" t="s">
        <v>384</v>
      </c>
      <c r="E1" s="294" t="str">
        <f>IF(B2&lt;&gt;B3, "A NEW VERSION OF THE WORKSHEET IS AVAILABLE", "")</f>
        <v/>
      </c>
      <c r="F1" s="294"/>
      <c r="G1" s="294"/>
      <c r="H1" s="294"/>
      <c r="I1" s="294"/>
      <c r="J1" s="294"/>
      <c r="K1" s="294"/>
    </row>
    <row r="2" spans="1:11">
      <c r="A2" s="174" t="s">
        <v>305</v>
      </c>
      <c r="B2" s="175">
        <v>2.1</v>
      </c>
      <c r="E2" s="295" t="s">
        <v>306</v>
      </c>
      <c r="F2" s="295"/>
      <c r="G2" s="295"/>
      <c r="H2" s="295"/>
      <c r="I2" s="295"/>
      <c r="J2" s="295"/>
      <c r="K2" s="295"/>
    </row>
    <row r="3" spans="1:11">
      <c r="A3" s="174" t="s">
        <v>307</v>
      </c>
      <c r="B3" s="175">
        <v>2.1</v>
      </c>
    </row>
    <row r="4" spans="1:11">
      <c r="A4" s="174"/>
    </row>
    <row r="5" spans="1:11">
      <c r="A5" s="174" t="s">
        <v>308</v>
      </c>
    </row>
    <row r="6" spans="1:11">
      <c r="A6" s="175" t="s">
        <v>309</v>
      </c>
      <c r="B6" s="175">
        <f>IF(B9&gt;0, B9/B8, 0)</f>
        <v>12.00008026159334</v>
      </c>
    </row>
    <row r="7" spans="1:11">
      <c r="A7" s="175" t="s">
        <v>310</v>
      </c>
      <c r="B7">
        <v>2</v>
      </c>
    </row>
    <row r="8" spans="1:11">
      <c r="A8" s="175" t="s">
        <v>311</v>
      </c>
      <c r="B8">
        <v>3364</v>
      </c>
    </row>
    <row r="9" spans="1:11">
      <c r="A9" s="175" t="s">
        <v>312</v>
      </c>
      <c r="B9">
        <v>40368.269999999997</v>
      </c>
    </row>
    <row r="15" spans="1:11">
      <c r="A15" s="174" t="s">
        <v>313</v>
      </c>
    </row>
    <row r="16" spans="1:11" s="178" customFormat="1">
      <c r="A16" s="176" t="s">
        <v>314</v>
      </c>
      <c r="B16" s="177">
        <v>39172</v>
      </c>
      <c r="C16" s="177">
        <v>39538</v>
      </c>
      <c r="D16" s="177">
        <v>39903</v>
      </c>
      <c r="E16" s="177">
        <v>40268</v>
      </c>
      <c r="F16" s="177">
        <v>40633</v>
      </c>
      <c r="G16" s="177">
        <v>40999</v>
      </c>
      <c r="H16" s="177">
        <v>41364</v>
      </c>
      <c r="I16" s="177">
        <v>41729</v>
      </c>
      <c r="J16" s="177">
        <v>42094</v>
      </c>
      <c r="K16" s="177">
        <v>42460</v>
      </c>
    </row>
    <row r="17" spans="1:11" s="179" customFormat="1">
      <c r="A17" s="179" t="s">
        <v>240</v>
      </c>
      <c r="B17">
        <v>2199.29</v>
      </c>
      <c r="C17">
        <v>2584.1</v>
      </c>
      <c r="D17">
        <v>3112.21</v>
      </c>
      <c r="E17">
        <v>3403.46</v>
      </c>
      <c r="F17">
        <v>4223.5200000000004</v>
      </c>
      <c r="G17">
        <v>4974.1899999999996</v>
      </c>
      <c r="H17">
        <v>5615.49</v>
      </c>
      <c r="I17">
        <v>6307.39</v>
      </c>
      <c r="J17">
        <v>7175.99</v>
      </c>
      <c r="K17">
        <v>7947.9</v>
      </c>
    </row>
    <row r="18" spans="1:11" s="179" customFormat="1">
      <c r="A18" s="175" t="s">
        <v>315</v>
      </c>
      <c r="B18">
        <v>1434.57</v>
      </c>
      <c r="C18">
        <v>1540.64</v>
      </c>
      <c r="D18">
        <v>1930</v>
      </c>
      <c r="E18">
        <v>2184.9699999999998</v>
      </c>
      <c r="F18">
        <v>2782.23</v>
      </c>
      <c r="G18">
        <v>3184.54</v>
      </c>
      <c r="H18">
        <v>3528.6</v>
      </c>
      <c r="I18">
        <v>3822.31</v>
      </c>
      <c r="J18">
        <v>4342.32</v>
      </c>
      <c r="K18">
        <v>4629.45</v>
      </c>
    </row>
    <row r="19" spans="1:11" s="179" customFormat="1">
      <c r="A19" s="175" t="s">
        <v>316</v>
      </c>
      <c r="B19">
        <v>35.6</v>
      </c>
      <c r="C19">
        <v>-17.05</v>
      </c>
      <c r="D19">
        <v>19.61</v>
      </c>
      <c r="E19">
        <v>21.35</v>
      </c>
      <c r="F19">
        <v>17.89</v>
      </c>
      <c r="G19">
        <v>4.79</v>
      </c>
      <c r="H19">
        <v>10.16</v>
      </c>
      <c r="I19">
        <v>12.58</v>
      </c>
      <c r="J19">
        <v>25.48</v>
      </c>
      <c r="K19">
        <v>7.12</v>
      </c>
    </row>
    <row r="20" spans="1:11" s="179" customFormat="1">
      <c r="A20" s="175" t="s">
        <v>317</v>
      </c>
      <c r="B20">
        <v>24.17</v>
      </c>
      <c r="C20">
        <v>22.78</v>
      </c>
      <c r="D20">
        <v>21.47</v>
      </c>
      <c r="E20">
        <v>22.38</v>
      </c>
      <c r="F20">
        <v>29.55</v>
      </c>
      <c r="G20">
        <v>40.1</v>
      </c>
      <c r="H20">
        <v>52.27</v>
      </c>
      <c r="I20">
        <v>65.12</v>
      </c>
      <c r="J20">
        <v>67.42</v>
      </c>
      <c r="K20">
        <v>57.06</v>
      </c>
    </row>
    <row r="21" spans="1:11" s="179" customFormat="1">
      <c r="A21" s="175" t="s">
        <v>318</v>
      </c>
      <c r="B21">
        <v>194.74</v>
      </c>
      <c r="C21">
        <v>235.36</v>
      </c>
      <c r="D21">
        <v>289.32</v>
      </c>
      <c r="E21">
        <v>313.76</v>
      </c>
      <c r="F21">
        <v>359.94</v>
      </c>
      <c r="G21">
        <v>448.16</v>
      </c>
      <c r="H21">
        <v>530.84</v>
      </c>
      <c r="I21">
        <v>584.62</v>
      </c>
      <c r="J21">
        <v>650.54999999999995</v>
      </c>
      <c r="K21">
        <v>644.84</v>
      </c>
    </row>
    <row r="22" spans="1:11" s="179" customFormat="1">
      <c r="A22" s="175" t="s">
        <v>22</v>
      </c>
      <c r="B22">
        <v>72.53</v>
      </c>
      <c r="C22">
        <v>85.41</v>
      </c>
      <c r="D22">
        <v>90.01</v>
      </c>
      <c r="E22">
        <v>99.94</v>
      </c>
      <c r="F22">
        <v>119.93</v>
      </c>
      <c r="G22">
        <v>145.87</v>
      </c>
      <c r="H22">
        <v>143.5</v>
      </c>
      <c r="I22">
        <v>172.45</v>
      </c>
      <c r="J22">
        <v>190.65</v>
      </c>
      <c r="K22">
        <v>209.21</v>
      </c>
    </row>
    <row r="23" spans="1:11" s="179" customFormat="1">
      <c r="A23" s="175" t="s">
        <v>319</v>
      </c>
      <c r="B23">
        <v>330.49</v>
      </c>
      <c r="C23">
        <v>386.78</v>
      </c>
      <c r="D23">
        <v>464.16</v>
      </c>
      <c r="E23">
        <v>558.28</v>
      </c>
      <c r="F23">
        <v>614.6</v>
      </c>
      <c r="G23">
        <v>725</v>
      </c>
      <c r="H23">
        <v>825.68</v>
      </c>
      <c r="I23">
        <v>903.47</v>
      </c>
      <c r="J23">
        <v>1000.54</v>
      </c>
      <c r="K23">
        <v>1070.08</v>
      </c>
    </row>
    <row r="24" spans="1:11" s="179" customFormat="1">
      <c r="A24" s="175" t="s">
        <v>320</v>
      </c>
      <c r="B24">
        <v>62.08</v>
      </c>
      <c r="C24">
        <v>79.2</v>
      </c>
      <c r="D24">
        <v>139.58000000000001</v>
      </c>
      <c r="E24">
        <v>129.9</v>
      </c>
      <c r="F24">
        <v>103.68</v>
      </c>
      <c r="G24">
        <v>156.08000000000001</v>
      </c>
      <c r="H24">
        <v>173.23</v>
      </c>
      <c r="I24">
        <v>195.38</v>
      </c>
      <c r="J24">
        <v>196.35</v>
      </c>
      <c r="K24">
        <v>222.89</v>
      </c>
    </row>
    <row r="25" spans="1:11" s="179" customFormat="1">
      <c r="A25" s="179" t="s">
        <v>19</v>
      </c>
      <c r="B25">
        <v>36.14</v>
      </c>
      <c r="C25">
        <v>54.07</v>
      </c>
      <c r="D25">
        <v>84.59</v>
      </c>
      <c r="E25">
        <v>50.83</v>
      </c>
      <c r="F25">
        <v>48.92</v>
      </c>
      <c r="G25">
        <v>58.53</v>
      </c>
      <c r="H25">
        <v>55.47</v>
      </c>
      <c r="I25">
        <v>34.82</v>
      </c>
      <c r="J25">
        <v>247.45</v>
      </c>
      <c r="K25">
        <v>98.21</v>
      </c>
    </row>
    <row r="26" spans="1:11" s="179" customFormat="1">
      <c r="A26" s="179" t="s">
        <v>25</v>
      </c>
      <c r="B26">
        <v>25.27</v>
      </c>
      <c r="C26">
        <v>29.08</v>
      </c>
      <c r="D26">
        <v>33.46</v>
      </c>
      <c r="E26">
        <v>37.54</v>
      </c>
      <c r="F26">
        <v>44.59</v>
      </c>
      <c r="G26">
        <v>47.32</v>
      </c>
      <c r="H26">
        <v>57.08</v>
      </c>
      <c r="I26">
        <v>63.38</v>
      </c>
      <c r="J26">
        <v>117.27</v>
      </c>
      <c r="K26">
        <v>86.89</v>
      </c>
    </row>
    <row r="27" spans="1:11" s="179" customFormat="1">
      <c r="A27" s="179" t="s">
        <v>24</v>
      </c>
      <c r="B27">
        <v>8.9</v>
      </c>
      <c r="C27">
        <v>9.73</v>
      </c>
      <c r="D27">
        <v>16.010000000000002</v>
      </c>
      <c r="E27">
        <v>8.2100000000000009</v>
      </c>
      <c r="F27">
        <v>37.75</v>
      </c>
      <c r="G27">
        <v>38.07</v>
      </c>
      <c r="H27">
        <v>37.74</v>
      </c>
      <c r="I27">
        <v>5.44</v>
      </c>
      <c r="J27">
        <v>1.21</v>
      </c>
      <c r="K27">
        <v>1.25</v>
      </c>
    </row>
    <row r="28" spans="1:11" s="179" customFormat="1">
      <c r="A28" s="179" t="s">
        <v>321</v>
      </c>
      <c r="B28">
        <v>118.28</v>
      </c>
      <c r="C28">
        <v>232.14</v>
      </c>
      <c r="D28">
        <v>232.4</v>
      </c>
      <c r="E28">
        <v>120.66</v>
      </c>
      <c r="F28">
        <v>198.06</v>
      </c>
      <c r="G28">
        <v>252.37</v>
      </c>
      <c r="H28">
        <v>332.18</v>
      </c>
      <c r="I28">
        <v>542.62</v>
      </c>
      <c r="J28">
        <v>882.61</v>
      </c>
      <c r="K28">
        <v>1131.56</v>
      </c>
    </row>
    <row r="29" spans="1:11" s="179" customFormat="1">
      <c r="A29" s="179" t="s">
        <v>26</v>
      </c>
      <c r="B29">
        <v>10.63</v>
      </c>
      <c r="C29">
        <v>41.14</v>
      </c>
      <c r="D29">
        <v>52</v>
      </c>
      <c r="E29">
        <v>4.1500000000000004</v>
      </c>
      <c r="F29">
        <v>52.77</v>
      </c>
      <c r="G29">
        <v>65.63</v>
      </c>
      <c r="H29">
        <v>98.31</v>
      </c>
      <c r="I29">
        <v>172.79</v>
      </c>
      <c r="J29">
        <v>260.2</v>
      </c>
      <c r="K29">
        <v>382.47</v>
      </c>
    </row>
    <row r="30" spans="1:11" s="179" customFormat="1">
      <c r="A30" s="179" t="s">
        <v>322</v>
      </c>
      <c r="B30">
        <v>107.65</v>
      </c>
      <c r="C30">
        <v>191</v>
      </c>
      <c r="D30">
        <v>180.4</v>
      </c>
      <c r="E30">
        <v>116.51</v>
      </c>
      <c r="F30">
        <v>145.29</v>
      </c>
      <c r="G30">
        <v>186.74</v>
      </c>
      <c r="H30">
        <v>233.87</v>
      </c>
      <c r="I30">
        <v>369.83</v>
      </c>
      <c r="J30">
        <v>622.41</v>
      </c>
      <c r="K30">
        <v>749.09</v>
      </c>
    </row>
    <row r="31" spans="1:11" s="179" customFormat="1">
      <c r="A31" s="179" t="s">
        <v>323</v>
      </c>
      <c r="B31">
        <v>35.83</v>
      </c>
      <c r="C31">
        <v>43</v>
      </c>
      <c r="D31">
        <v>95.56</v>
      </c>
      <c r="E31">
        <v>59.73</v>
      </c>
      <c r="F31">
        <v>77.64</v>
      </c>
      <c r="G31">
        <v>101.53</v>
      </c>
      <c r="H31">
        <v>101.66</v>
      </c>
      <c r="I31">
        <v>143.91</v>
      </c>
      <c r="J31">
        <v>191.88</v>
      </c>
      <c r="K31">
        <v>239.95</v>
      </c>
    </row>
    <row r="32" spans="1:11" s="179" customFormat="1"/>
    <row r="33" spans="1:11">
      <c r="A33" s="179"/>
    </row>
    <row r="34" spans="1:11">
      <c r="A34" s="179"/>
    </row>
    <row r="35" spans="1:11">
      <c r="A35" s="179"/>
    </row>
    <row r="36" spans="1:11">
      <c r="A36" s="179"/>
    </row>
    <row r="37" spans="1:11">
      <c r="A37" s="179"/>
    </row>
    <row r="38" spans="1:11">
      <c r="A38" s="179"/>
    </row>
    <row r="39" spans="1:11">
      <c r="A39" s="179"/>
    </row>
    <row r="40" spans="1:11">
      <c r="A40" s="174" t="s">
        <v>324</v>
      </c>
    </row>
    <row r="41" spans="1:11" s="178" customFormat="1">
      <c r="A41" s="176" t="s">
        <v>314</v>
      </c>
      <c r="B41" s="177">
        <v>41729</v>
      </c>
      <c r="C41" s="177">
        <v>41820</v>
      </c>
      <c r="D41" s="177">
        <v>41912</v>
      </c>
      <c r="E41" s="177">
        <v>42004</v>
      </c>
      <c r="F41" s="177">
        <v>42094</v>
      </c>
      <c r="G41" s="177">
        <v>42185</v>
      </c>
      <c r="H41" s="177">
        <v>42277</v>
      </c>
      <c r="I41" s="177">
        <v>42369</v>
      </c>
      <c r="J41" s="177">
        <v>42460</v>
      </c>
      <c r="K41" s="177">
        <v>42551</v>
      </c>
    </row>
    <row r="42" spans="1:11" s="179" customFormat="1">
      <c r="A42" s="179" t="s">
        <v>240</v>
      </c>
      <c r="B42">
        <v>1653.05</v>
      </c>
      <c r="C42">
        <v>1634.23</v>
      </c>
      <c r="D42">
        <v>1817.41</v>
      </c>
      <c r="E42">
        <v>1852.33</v>
      </c>
      <c r="F42">
        <v>1872.02</v>
      </c>
      <c r="G42">
        <v>1799.82</v>
      </c>
      <c r="H42">
        <v>2032.93</v>
      </c>
      <c r="I42">
        <v>2049.7399999999998</v>
      </c>
      <c r="J42">
        <v>1959.31</v>
      </c>
      <c r="K42">
        <v>1984.91</v>
      </c>
    </row>
    <row r="43" spans="1:11" s="179" customFormat="1">
      <c r="A43" s="179" t="s">
        <v>325</v>
      </c>
      <c r="B43">
        <v>1508.41</v>
      </c>
      <c r="C43">
        <v>1476.45</v>
      </c>
      <c r="D43">
        <v>1620.96</v>
      </c>
      <c r="E43">
        <v>1670.21</v>
      </c>
      <c r="F43">
        <v>1654.81</v>
      </c>
      <c r="G43">
        <v>1540.65</v>
      </c>
      <c r="H43">
        <v>1730.55</v>
      </c>
      <c r="I43">
        <v>1758.28</v>
      </c>
      <c r="J43">
        <v>1692.29</v>
      </c>
      <c r="K43">
        <v>1686.37</v>
      </c>
    </row>
    <row r="44" spans="1:11" s="179" customFormat="1">
      <c r="A44" s="179" t="s">
        <v>19</v>
      </c>
      <c r="B44">
        <v>11.42</v>
      </c>
      <c r="C44">
        <v>19.57</v>
      </c>
      <c r="D44">
        <v>178.44</v>
      </c>
      <c r="E44">
        <v>20.52</v>
      </c>
      <c r="F44">
        <v>29</v>
      </c>
      <c r="G44">
        <v>22.93</v>
      </c>
      <c r="H44">
        <v>30.01</v>
      </c>
      <c r="I44">
        <v>26.04</v>
      </c>
      <c r="J44">
        <v>34.81</v>
      </c>
      <c r="K44">
        <v>37.590000000000003</v>
      </c>
    </row>
    <row r="45" spans="1:11" s="179" customFormat="1">
      <c r="A45" s="179" t="s">
        <v>25</v>
      </c>
      <c r="B45">
        <v>16.399999999999999</v>
      </c>
      <c r="C45">
        <v>24.55</v>
      </c>
      <c r="D45">
        <v>25.1</v>
      </c>
      <c r="E45">
        <v>25.52</v>
      </c>
      <c r="F45">
        <v>42.1</v>
      </c>
      <c r="G45">
        <v>20.87</v>
      </c>
      <c r="H45">
        <v>20.6</v>
      </c>
      <c r="I45">
        <v>21.34</v>
      </c>
      <c r="J45">
        <v>24.08</v>
      </c>
      <c r="K45">
        <v>21.76</v>
      </c>
    </row>
    <row r="46" spans="1:11" s="179" customFormat="1">
      <c r="A46" s="179" t="s">
        <v>24</v>
      </c>
      <c r="B46">
        <v>0.38</v>
      </c>
      <c r="C46">
        <v>0.28000000000000003</v>
      </c>
      <c r="D46">
        <v>0.35</v>
      </c>
      <c r="E46">
        <v>0.32</v>
      </c>
      <c r="F46">
        <v>0.26</v>
      </c>
      <c r="G46">
        <v>0.3</v>
      </c>
      <c r="H46">
        <v>0.3</v>
      </c>
      <c r="I46">
        <v>0.34</v>
      </c>
      <c r="J46">
        <v>0.31</v>
      </c>
      <c r="K46">
        <v>0.28999999999999998</v>
      </c>
    </row>
    <row r="47" spans="1:11" s="179" customFormat="1">
      <c r="A47" s="179" t="s">
        <v>321</v>
      </c>
      <c r="B47">
        <v>139.28</v>
      </c>
      <c r="C47">
        <v>152.52000000000001</v>
      </c>
      <c r="D47">
        <v>349.44</v>
      </c>
      <c r="E47">
        <v>176.8</v>
      </c>
      <c r="F47">
        <v>203.85</v>
      </c>
      <c r="G47">
        <v>260.93</v>
      </c>
      <c r="H47">
        <v>311.49</v>
      </c>
      <c r="I47">
        <v>295.82</v>
      </c>
      <c r="J47">
        <v>277.44</v>
      </c>
      <c r="K47">
        <v>314.08</v>
      </c>
    </row>
    <row r="48" spans="1:11" s="179" customFormat="1">
      <c r="A48" s="179" t="s">
        <v>26</v>
      </c>
      <c r="B48">
        <v>47.75</v>
      </c>
      <c r="C48">
        <v>44.71</v>
      </c>
      <c r="D48">
        <v>96.4</v>
      </c>
      <c r="E48">
        <v>56.28</v>
      </c>
      <c r="F48">
        <v>62.81</v>
      </c>
      <c r="G48">
        <v>90.19</v>
      </c>
      <c r="H48">
        <v>107.81</v>
      </c>
      <c r="I48">
        <v>102.37</v>
      </c>
      <c r="J48">
        <v>85.47</v>
      </c>
      <c r="K48">
        <v>103.69</v>
      </c>
    </row>
    <row r="49" spans="1:11" s="179" customFormat="1">
      <c r="A49" s="179" t="s">
        <v>322</v>
      </c>
      <c r="B49">
        <v>91.53</v>
      </c>
      <c r="C49">
        <v>107.81</v>
      </c>
      <c r="D49">
        <v>253.04</v>
      </c>
      <c r="E49">
        <v>120.52</v>
      </c>
      <c r="F49">
        <v>141.04</v>
      </c>
      <c r="G49">
        <v>170.74</v>
      </c>
      <c r="H49">
        <v>203.68</v>
      </c>
      <c r="I49">
        <v>193.45</v>
      </c>
      <c r="J49">
        <v>191.97</v>
      </c>
      <c r="K49">
        <v>210.39</v>
      </c>
    </row>
    <row r="50" spans="1:11">
      <c r="A50" s="179" t="s">
        <v>23</v>
      </c>
      <c r="B50">
        <v>144.63999999999999</v>
      </c>
      <c r="C50">
        <v>157.78</v>
      </c>
      <c r="D50">
        <v>196.45</v>
      </c>
      <c r="E50">
        <v>182.12</v>
      </c>
      <c r="F50">
        <v>217.21</v>
      </c>
      <c r="G50">
        <v>259.17</v>
      </c>
      <c r="H50">
        <v>302.38</v>
      </c>
      <c r="I50">
        <v>291.45999999999998</v>
      </c>
      <c r="J50">
        <v>267.02</v>
      </c>
      <c r="K50">
        <v>298.54000000000002</v>
      </c>
    </row>
    <row r="51" spans="1:11">
      <c r="A51" s="179"/>
    </row>
    <row r="52" spans="1:11">
      <c r="A52" s="179"/>
    </row>
    <row r="53" spans="1:11">
      <c r="A53" s="179"/>
    </row>
    <row r="54" spans="1:11">
      <c r="A54" s="179"/>
    </row>
    <row r="55" spans="1:11">
      <c r="A55" s="174" t="s">
        <v>326</v>
      </c>
    </row>
    <row r="56" spans="1:11" s="178" customFormat="1">
      <c r="A56" s="176" t="s">
        <v>314</v>
      </c>
      <c r="B56" s="177">
        <v>39172</v>
      </c>
      <c r="C56" s="177">
        <v>39538</v>
      </c>
      <c r="D56" s="177">
        <v>39903</v>
      </c>
      <c r="E56" s="177">
        <v>40268</v>
      </c>
      <c r="F56" s="177">
        <v>40633</v>
      </c>
      <c r="G56" s="177">
        <v>40999</v>
      </c>
      <c r="H56" s="177">
        <v>41364</v>
      </c>
      <c r="I56" s="177">
        <v>41729</v>
      </c>
      <c r="J56" s="177">
        <v>42094</v>
      </c>
      <c r="K56" s="177">
        <v>42460</v>
      </c>
    </row>
    <row r="57" spans="1:11">
      <c r="A57" s="179" t="s">
        <v>7</v>
      </c>
      <c r="B57">
        <v>23.89</v>
      </c>
      <c r="C57">
        <v>23.89</v>
      </c>
      <c r="D57">
        <v>23.89</v>
      </c>
      <c r="E57">
        <v>23.89</v>
      </c>
      <c r="F57">
        <v>23.89</v>
      </c>
      <c r="G57">
        <v>23.89</v>
      </c>
      <c r="H57">
        <v>23.91</v>
      </c>
      <c r="I57">
        <v>23.99</v>
      </c>
      <c r="J57">
        <v>23.99</v>
      </c>
      <c r="K57">
        <v>24</v>
      </c>
    </row>
    <row r="58" spans="1:11">
      <c r="A58" s="179" t="s">
        <v>8</v>
      </c>
      <c r="B58">
        <v>590.92999999999995</v>
      </c>
      <c r="C58">
        <v>731.92</v>
      </c>
      <c r="D58">
        <v>800.65</v>
      </c>
      <c r="E58">
        <v>372.36</v>
      </c>
      <c r="F58">
        <v>427.41</v>
      </c>
      <c r="G58">
        <v>496.15</v>
      </c>
      <c r="H58">
        <v>617.32000000000005</v>
      </c>
      <c r="I58">
        <v>833.75</v>
      </c>
      <c r="J58">
        <v>1215.2</v>
      </c>
      <c r="K58">
        <v>1679.02</v>
      </c>
    </row>
    <row r="59" spans="1:11">
      <c r="A59" s="179" t="s">
        <v>275</v>
      </c>
      <c r="B59">
        <v>4.78</v>
      </c>
      <c r="C59">
        <v>106.1</v>
      </c>
      <c r="D59">
        <v>25.17</v>
      </c>
      <c r="E59">
        <v>429.61</v>
      </c>
      <c r="F59">
        <v>431.44</v>
      </c>
      <c r="G59">
        <v>434.5</v>
      </c>
      <c r="H59">
        <v>215.48</v>
      </c>
      <c r="I59">
        <v>0.45</v>
      </c>
      <c r="J59">
        <v>0.97</v>
      </c>
      <c r="K59">
        <v>0.68</v>
      </c>
    </row>
    <row r="60" spans="1:11">
      <c r="A60" s="179" t="s">
        <v>276</v>
      </c>
      <c r="B60">
        <v>341.16</v>
      </c>
      <c r="C60">
        <v>370.31</v>
      </c>
      <c r="D60">
        <v>437.54</v>
      </c>
      <c r="E60">
        <v>526.32000000000005</v>
      </c>
      <c r="F60">
        <v>622.62</v>
      </c>
      <c r="G60">
        <v>741.48</v>
      </c>
      <c r="H60">
        <v>850.53</v>
      </c>
      <c r="I60">
        <v>1018.32</v>
      </c>
      <c r="J60">
        <v>1243.1099999999999</v>
      </c>
      <c r="K60">
        <v>1392.42</v>
      </c>
    </row>
    <row r="61" spans="1:11" s="174" customFormat="1">
      <c r="A61" s="174" t="s">
        <v>327</v>
      </c>
      <c r="B61">
        <v>960.76</v>
      </c>
      <c r="C61">
        <v>1232.22</v>
      </c>
      <c r="D61">
        <v>1287.25</v>
      </c>
      <c r="E61">
        <v>1352.18</v>
      </c>
      <c r="F61">
        <v>1505.36</v>
      </c>
      <c r="G61">
        <v>1696.02</v>
      </c>
      <c r="H61">
        <v>1707.24</v>
      </c>
      <c r="I61">
        <v>1876.51</v>
      </c>
      <c r="J61">
        <v>2483.27</v>
      </c>
      <c r="K61">
        <v>3096.12</v>
      </c>
    </row>
    <row r="62" spans="1:11">
      <c r="A62" s="179" t="s">
        <v>13</v>
      </c>
      <c r="B62">
        <v>198.36</v>
      </c>
      <c r="C62">
        <v>240.99</v>
      </c>
      <c r="D62">
        <v>277.83999999999997</v>
      </c>
      <c r="E62">
        <v>281.5</v>
      </c>
      <c r="F62">
        <v>303.7</v>
      </c>
      <c r="G62">
        <v>379.09</v>
      </c>
      <c r="H62">
        <v>451.68</v>
      </c>
      <c r="I62">
        <v>545.66</v>
      </c>
      <c r="J62">
        <v>525.94000000000005</v>
      </c>
      <c r="K62">
        <v>639.39</v>
      </c>
    </row>
    <row r="63" spans="1:11">
      <c r="A63" s="179" t="s">
        <v>14</v>
      </c>
      <c r="B63">
        <v>16.03</v>
      </c>
      <c r="C63">
        <v>9.69</v>
      </c>
      <c r="D63">
        <v>6.02</v>
      </c>
      <c r="E63">
        <v>9.9700000000000006</v>
      </c>
      <c r="F63">
        <v>11.7</v>
      </c>
      <c r="G63">
        <v>79.73</v>
      </c>
      <c r="H63">
        <v>128.44</v>
      </c>
      <c r="I63">
        <v>97.22</v>
      </c>
      <c r="J63">
        <v>48.22</v>
      </c>
      <c r="K63">
        <v>74.5</v>
      </c>
    </row>
    <row r="64" spans="1:11">
      <c r="A64" s="179" t="s">
        <v>15</v>
      </c>
      <c r="B64">
        <v>320.05</v>
      </c>
      <c r="C64">
        <v>380.83</v>
      </c>
      <c r="D64">
        <v>423.1</v>
      </c>
      <c r="E64">
        <v>490.64</v>
      </c>
      <c r="F64">
        <v>545</v>
      </c>
      <c r="G64">
        <v>428.94</v>
      </c>
      <c r="H64">
        <v>279.60000000000002</v>
      </c>
      <c r="I64">
        <v>372.99</v>
      </c>
      <c r="J64">
        <v>661.04</v>
      </c>
      <c r="K64">
        <v>894.88</v>
      </c>
    </row>
    <row r="65" spans="1:11">
      <c r="A65" s="179" t="s">
        <v>328</v>
      </c>
      <c r="B65">
        <v>426.32</v>
      </c>
      <c r="C65">
        <v>600.71</v>
      </c>
      <c r="D65">
        <v>580.29</v>
      </c>
      <c r="E65">
        <v>570.07000000000005</v>
      </c>
      <c r="F65">
        <v>644.96</v>
      </c>
      <c r="G65">
        <v>808.26</v>
      </c>
      <c r="H65">
        <v>847.52</v>
      </c>
      <c r="I65">
        <v>860.64</v>
      </c>
      <c r="J65">
        <v>1248.07</v>
      </c>
      <c r="K65">
        <v>1487.35</v>
      </c>
    </row>
    <row r="66" spans="1:11" s="174" customFormat="1">
      <c r="A66" s="174" t="s">
        <v>327</v>
      </c>
      <c r="B66">
        <v>960.76</v>
      </c>
      <c r="C66">
        <v>1232.22</v>
      </c>
      <c r="D66">
        <v>1287.25</v>
      </c>
      <c r="E66">
        <v>1352.18</v>
      </c>
      <c r="F66">
        <v>1505.36</v>
      </c>
      <c r="G66">
        <v>1696.02</v>
      </c>
      <c r="H66">
        <v>1707.24</v>
      </c>
      <c r="I66">
        <v>1876.51</v>
      </c>
      <c r="J66">
        <v>2483.27</v>
      </c>
      <c r="K66">
        <v>3096.12</v>
      </c>
    </row>
    <row r="67" spans="1:11" s="179" customFormat="1">
      <c r="A67" s="179" t="s">
        <v>329</v>
      </c>
      <c r="B67">
        <v>28.61</v>
      </c>
      <c r="C67">
        <v>46.32</v>
      </c>
      <c r="D67">
        <v>49.61</v>
      </c>
      <c r="E67">
        <v>39.49</v>
      </c>
      <c r="F67">
        <v>57.26</v>
      </c>
      <c r="G67">
        <v>52.14</v>
      </c>
      <c r="H67">
        <v>77.12</v>
      </c>
      <c r="I67">
        <v>53.69</v>
      </c>
      <c r="J67">
        <v>70.98</v>
      </c>
      <c r="K67">
        <v>106.7</v>
      </c>
    </row>
    <row r="68" spans="1:11">
      <c r="A68" s="179" t="s">
        <v>254</v>
      </c>
      <c r="B68">
        <v>214.94</v>
      </c>
      <c r="C68">
        <v>301.52999999999997</v>
      </c>
      <c r="D68">
        <v>253.63</v>
      </c>
      <c r="E68">
        <v>268.33999999999997</v>
      </c>
      <c r="F68">
        <v>311.2</v>
      </c>
      <c r="G68">
        <v>382.28</v>
      </c>
      <c r="H68">
        <v>331.49</v>
      </c>
      <c r="I68">
        <v>366.86</v>
      </c>
      <c r="J68">
        <v>345.74</v>
      </c>
      <c r="K68">
        <v>384.01</v>
      </c>
    </row>
    <row r="69" spans="1:11">
      <c r="A69" s="175" t="s">
        <v>330</v>
      </c>
      <c r="B69">
        <v>48.65</v>
      </c>
      <c r="C69">
        <v>43.77</v>
      </c>
      <c r="D69">
        <v>40.799999999999997</v>
      </c>
      <c r="E69">
        <v>23.36</v>
      </c>
      <c r="F69">
        <v>28.75</v>
      </c>
      <c r="G69">
        <v>30.94</v>
      </c>
      <c r="H69">
        <v>64.48</v>
      </c>
      <c r="I69">
        <v>65.78</v>
      </c>
      <c r="J69">
        <v>186.67</v>
      </c>
      <c r="K69">
        <v>24.8</v>
      </c>
    </row>
    <row r="70" spans="1:11">
      <c r="A70" s="175" t="s">
        <v>331</v>
      </c>
      <c r="B70">
        <v>23890163</v>
      </c>
      <c r="C70">
        <v>23890163</v>
      </c>
      <c r="D70">
        <v>23890163</v>
      </c>
      <c r="E70">
        <v>23890163</v>
      </c>
      <c r="F70">
        <v>119450815</v>
      </c>
      <c r="G70">
        <v>119450815</v>
      </c>
      <c r="H70">
        <v>119525815</v>
      </c>
      <c r="I70">
        <v>119925800</v>
      </c>
      <c r="J70">
        <v>119925800</v>
      </c>
      <c r="K70">
        <v>119975815</v>
      </c>
    </row>
    <row r="71" spans="1:11">
      <c r="A71" s="175" t="s">
        <v>332</v>
      </c>
    </row>
    <row r="72" spans="1:11">
      <c r="A72" s="175" t="s">
        <v>2</v>
      </c>
      <c r="B72">
        <v>10</v>
      </c>
      <c r="C72">
        <v>10</v>
      </c>
      <c r="D72">
        <v>10</v>
      </c>
      <c r="E72">
        <v>10</v>
      </c>
      <c r="F72">
        <v>2</v>
      </c>
      <c r="G72">
        <v>2</v>
      </c>
      <c r="H72">
        <v>2</v>
      </c>
      <c r="I72">
        <v>2</v>
      </c>
      <c r="J72">
        <v>2</v>
      </c>
      <c r="K72">
        <v>2</v>
      </c>
    </row>
    <row r="74" spans="1:11">
      <c r="A74" s="179"/>
    </row>
    <row r="75" spans="1:11">
      <c r="A75" s="179"/>
    </row>
    <row r="76" spans="1:11">
      <c r="A76" s="179"/>
    </row>
    <row r="77" spans="1:11">
      <c r="A77" s="179"/>
    </row>
    <row r="78" spans="1:11">
      <c r="A78" s="179"/>
    </row>
    <row r="79" spans="1:11">
      <c r="A79" s="179"/>
    </row>
    <row r="80" spans="1:11">
      <c r="A80" s="174" t="s">
        <v>333</v>
      </c>
    </row>
    <row r="81" spans="1:11" s="178" customFormat="1">
      <c r="A81" s="176" t="s">
        <v>314</v>
      </c>
      <c r="B81" s="177">
        <v>39172</v>
      </c>
      <c r="C81" s="177">
        <v>39538</v>
      </c>
      <c r="D81" s="177">
        <v>39903</v>
      </c>
      <c r="E81" s="177">
        <v>40268</v>
      </c>
      <c r="F81" s="177">
        <v>40633</v>
      </c>
      <c r="G81" s="177">
        <v>40999</v>
      </c>
      <c r="H81" s="177">
        <v>41364</v>
      </c>
      <c r="I81" s="177">
        <v>41729</v>
      </c>
      <c r="J81" s="177">
        <v>42094</v>
      </c>
      <c r="K81" s="177">
        <v>42460</v>
      </c>
    </row>
    <row r="82" spans="1:11" s="174" customFormat="1">
      <c r="A82" s="179" t="s">
        <v>334</v>
      </c>
      <c r="B82">
        <v>87</v>
      </c>
      <c r="C82">
        <v>63.13</v>
      </c>
      <c r="D82">
        <v>246.78</v>
      </c>
      <c r="E82">
        <v>235.29</v>
      </c>
      <c r="F82">
        <v>246.32</v>
      </c>
      <c r="G82">
        <v>210.66</v>
      </c>
      <c r="H82">
        <v>272.01</v>
      </c>
      <c r="I82">
        <v>614.51</v>
      </c>
      <c r="J82">
        <v>515.33000000000004</v>
      </c>
      <c r="K82">
        <v>877.69</v>
      </c>
    </row>
    <row r="83" spans="1:11" s="179" customFormat="1">
      <c r="A83" s="179" t="s">
        <v>284</v>
      </c>
      <c r="B83">
        <v>59.05</v>
      </c>
      <c r="C83">
        <v>-130.31</v>
      </c>
      <c r="D83">
        <v>12.27</v>
      </c>
      <c r="E83">
        <v>-109.69</v>
      </c>
      <c r="F83">
        <v>-156.41999999999999</v>
      </c>
      <c r="G83">
        <v>-51.56</v>
      </c>
      <c r="H83">
        <v>53.89</v>
      </c>
      <c r="I83">
        <v>-227.34</v>
      </c>
      <c r="J83">
        <v>-384.29</v>
      </c>
      <c r="K83">
        <v>-659.37</v>
      </c>
    </row>
    <row r="84" spans="1:11" s="179" customFormat="1">
      <c r="A84" s="179" t="s">
        <v>285</v>
      </c>
      <c r="B84">
        <v>-49.07</v>
      </c>
      <c r="C84">
        <v>53.08</v>
      </c>
      <c r="D84">
        <v>-145.77000000000001</v>
      </c>
      <c r="E84">
        <v>-184.05</v>
      </c>
      <c r="F84">
        <v>-107.39</v>
      </c>
      <c r="G84">
        <v>-128.55000000000001</v>
      </c>
      <c r="H84">
        <v>-359.11</v>
      </c>
      <c r="I84">
        <v>-325.45999999999998</v>
      </c>
      <c r="J84">
        <v>-168.11</v>
      </c>
      <c r="K84">
        <v>-228.29</v>
      </c>
    </row>
    <row r="85" spans="1:11" s="174" customFormat="1">
      <c r="A85" s="179" t="s">
        <v>335</v>
      </c>
      <c r="B85">
        <v>96.98</v>
      </c>
      <c r="C85">
        <v>-14.1</v>
      </c>
      <c r="D85">
        <v>113.28</v>
      </c>
      <c r="E85">
        <v>-58.45</v>
      </c>
      <c r="F85">
        <v>-17.489999999999998</v>
      </c>
      <c r="G85">
        <v>30.55</v>
      </c>
      <c r="H85">
        <v>-33.21</v>
      </c>
      <c r="I85">
        <v>61.71</v>
      </c>
      <c r="J85">
        <v>-37.07</v>
      </c>
      <c r="K85">
        <v>-9.9700000000000006</v>
      </c>
    </row>
    <row r="86" spans="1:11">
      <c r="A86" s="179"/>
    </row>
    <row r="87" spans="1:11">
      <c r="A87" s="179"/>
    </row>
    <row r="88" spans="1:11">
      <c r="A88" s="179"/>
    </row>
    <row r="89" spans="1:11">
      <c r="A89" s="179"/>
    </row>
    <row r="90" spans="1:11" s="174" customFormat="1">
      <c r="A90" s="174" t="s">
        <v>336</v>
      </c>
      <c r="B90">
        <v>249.65</v>
      </c>
      <c r="C90">
        <v>262.77</v>
      </c>
      <c r="D90">
        <v>302.38</v>
      </c>
      <c r="E90">
        <v>328.81</v>
      </c>
      <c r="F90">
        <v>376.53</v>
      </c>
      <c r="G90">
        <v>576.02</v>
      </c>
      <c r="H90">
        <v>538.64</v>
      </c>
      <c r="I90">
        <v>871.41</v>
      </c>
      <c r="J90">
        <v>2203.83</v>
      </c>
      <c r="K90">
        <v>2759.96</v>
      </c>
    </row>
    <row r="92" spans="1:11" s="174" customFormat="1">
      <c r="A92" s="174" t="s">
        <v>337</v>
      </c>
    </row>
    <row r="93" spans="1:11">
      <c r="A93" s="175" t="s">
        <v>338</v>
      </c>
      <c r="B93" s="180">
        <f>IF($B7&gt;0,(B70*B72/$B7)+SUM(C71:$K71),0)/10000000</f>
        <v>11.945081500000001</v>
      </c>
      <c r="C93" s="180">
        <f>IF($B7&gt;0,(C70*C72/$B7)+SUM(D71:$K71),0)/10000000</f>
        <v>11.945081500000001</v>
      </c>
      <c r="D93" s="180">
        <f>IF($B7&gt;0,(D70*D72/$B7)+SUM(E71:$K71),0)/10000000</f>
        <v>11.945081500000001</v>
      </c>
      <c r="E93" s="180">
        <f>IF($B7&gt;0,(E70*E72/$B7)+SUM(F71:$K71),0)/10000000</f>
        <v>11.945081500000001</v>
      </c>
      <c r="F93" s="180">
        <f>IF($B7&gt;0,(F70*F72/$B7)+SUM(G71:$K71),0)/10000000</f>
        <v>11.945081500000001</v>
      </c>
      <c r="G93" s="180">
        <f>IF($B7&gt;0,(G70*G72/$B7)+SUM(H71:$K71),0)/10000000</f>
        <v>11.945081500000001</v>
      </c>
      <c r="H93" s="180">
        <f>IF($B7&gt;0,(H70*H72/$B7)+SUM(I71:$K71),0)/10000000</f>
        <v>11.952581500000001</v>
      </c>
      <c r="I93" s="180">
        <f>IF($B7&gt;0,(I70*I72/$B7)+SUM(J71:$K71),0)/10000000</f>
        <v>11.99258</v>
      </c>
      <c r="J93" s="180">
        <f>IF($B7&gt;0,(J70*J72/$B7)+SUM(K71:$K71),0)/10000000</f>
        <v>11.99258</v>
      </c>
      <c r="K93" s="180">
        <f>IF($B7&gt;0,(K70*K72/$B7),0)/10000000</f>
        <v>11.997581500000001</v>
      </c>
    </row>
  </sheetData>
  <mergeCells count="2">
    <mergeCell ref="E1:K1"/>
    <mergeCell ref="E2:K2"/>
  </mergeCells>
  <conditionalFormatting sqref="E1:K1">
    <cfRule type="cellIs" dxfId="0" priority="1" operator="notEqual">
      <formula>""</formula>
    </cfRule>
  </conditionalFormatting>
  <hyperlinks>
    <hyperlink ref="E1:K1" r:id="rId1" display="https://www.screener.in/excel/"/>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8"/>
  <sheetViews>
    <sheetView showGridLines="0" tabSelected="1" workbookViewId="0">
      <selection activeCell="D5" sqref="D5"/>
    </sheetView>
  </sheetViews>
  <sheetFormatPr defaultRowHeight="15"/>
  <cols>
    <col min="1" max="1" width="4.125" style="196" customWidth="1"/>
    <col min="2" max="2" width="46.5" style="195" bestFit="1" customWidth="1"/>
    <col min="3" max="3" width="9" style="195"/>
    <col min="4" max="4" width="16.25" style="195" bestFit="1" customWidth="1"/>
    <col min="5" max="5" width="86.25" style="196" customWidth="1"/>
    <col min="6" max="16384" width="9" style="196"/>
  </cols>
  <sheetData>
    <row r="2" spans="2:5">
      <c r="B2" s="202" t="s">
        <v>0</v>
      </c>
      <c r="C2" s="202"/>
      <c r="D2" s="202" t="s">
        <v>392</v>
      </c>
    </row>
    <row r="3" spans="2:5">
      <c r="B3" s="198" t="s">
        <v>1</v>
      </c>
      <c r="C3" s="198"/>
      <c r="D3" s="198" t="s">
        <v>385</v>
      </c>
    </row>
    <row r="4" spans="2:5">
      <c r="B4" s="198" t="s">
        <v>6</v>
      </c>
      <c r="C4" s="198"/>
      <c r="D4" s="198" t="s">
        <v>377</v>
      </c>
    </row>
    <row r="5" spans="2:5">
      <c r="B5" s="198" t="s">
        <v>311</v>
      </c>
      <c r="C5" s="198"/>
      <c r="D5" s="198">
        <f>VLOOKUP(D2,'[1]Master Sheet'!$B$4:$C$1048576,2,FALSE)</f>
        <v>3482.85</v>
      </c>
    </row>
    <row r="7" spans="2:5">
      <c r="B7" s="198"/>
      <c r="C7" s="198"/>
      <c r="D7" s="199"/>
    </row>
    <row r="8" spans="2:5">
      <c r="B8" s="198" t="s">
        <v>376</v>
      </c>
      <c r="C8" s="198"/>
      <c r="D8" s="199">
        <v>0.50960000000000005</v>
      </c>
    </row>
    <row r="9" spans="2:5">
      <c r="B9" s="198" t="s">
        <v>244</v>
      </c>
      <c r="C9" s="198"/>
      <c r="D9" s="199">
        <v>0.50739999999999996</v>
      </c>
    </row>
    <row r="10" spans="2:5">
      <c r="B10" s="198" t="s">
        <v>374</v>
      </c>
      <c r="C10" s="198"/>
      <c r="D10" s="200">
        <v>0</v>
      </c>
    </row>
    <row r="11" spans="2:5">
      <c r="B11" s="198" t="s">
        <v>375</v>
      </c>
      <c r="C11" s="198"/>
      <c r="D11" s="198">
        <v>0</v>
      </c>
    </row>
    <row r="12" spans="2:5">
      <c r="B12" s="198" t="s">
        <v>372</v>
      </c>
      <c r="C12" s="198"/>
      <c r="D12" s="200">
        <v>0.27560000000000001</v>
      </c>
    </row>
    <row r="13" spans="2:5">
      <c r="B13" s="198" t="s">
        <v>373</v>
      </c>
      <c r="C13" s="198"/>
      <c r="D13" s="200">
        <v>0</v>
      </c>
    </row>
    <row r="15" spans="2:5">
      <c r="B15" s="202" t="s">
        <v>381</v>
      </c>
      <c r="C15" s="198" t="s">
        <v>82</v>
      </c>
      <c r="D15" s="198" t="s">
        <v>230</v>
      </c>
      <c r="E15" s="201"/>
    </row>
    <row r="16" spans="2:5">
      <c r="B16" s="198" t="s">
        <v>369</v>
      </c>
      <c r="C16" s="198"/>
      <c r="D16" s="200">
        <v>0.2</v>
      </c>
      <c r="E16" s="201"/>
    </row>
    <row r="17" spans="2:5">
      <c r="B17" s="198" t="s">
        <v>137</v>
      </c>
      <c r="C17" s="198"/>
      <c r="D17" s="200">
        <v>0.08</v>
      </c>
      <c r="E17" s="201"/>
    </row>
    <row r="18" spans="2:5">
      <c r="B18" s="198"/>
      <c r="C18" s="198"/>
      <c r="D18" s="198"/>
      <c r="E18" s="201"/>
    </row>
    <row r="19" spans="2:5">
      <c r="B19" s="198"/>
      <c r="C19" s="198"/>
      <c r="D19" s="198"/>
      <c r="E19" s="201"/>
    </row>
    <row r="20" spans="2:5">
      <c r="B20" s="202" t="s">
        <v>371</v>
      </c>
      <c r="C20" s="203"/>
      <c r="D20" s="198"/>
      <c r="E20" s="201"/>
    </row>
    <row r="21" spans="2:5">
      <c r="B21" s="198" t="s">
        <v>179</v>
      </c>
      <c r="C21" s="203">
        <v>0.05</v>
      </c>
      <c r="D21" s="198">
        <v>4</v>
      </c>
      <c r="E21" s="204" t="s">
        <v>181</v>
      </c>
    </row>
    <row r="22" spans="2:5">
      <c r="B22" s="198" t="s">
        <v>182</v>
      </c>
      <c r="C22" s="203">
        <v>0.02</v>
      </c>
      <c r="D22" s="198">
        <v>2</v>
      </c>
      <c r="E22" s="204" t="s">
        <v>184</v>
      </c>
    </row>
    <row r="23" spans="2:5" ht="24">
      <c r="B23" s="198" t="s">
        <v>185</v>
      </c>
      <c r="C23" s="203">
        <v>0.02</v>
      </c>
      <c r="D23" s="198">
        <v>2</v>
      </c>
      <c r="E23" s="204" t="s">
        <v>187</v>
      </c>
    </row>
    <row r="24" spans="2:5">
      <c r="B24" s="198" t="s">
        <v>188</v>
      </c>
      <c r="C24" s="203">
        <v>0.04</v>
      </c>
      <c r="D24" s="198">
        <v>4</v>
      </c>
      <c r="E24" s="204" t="s">
        <v>190</v>
      </c>
    </row>
    <row r="25" spans="2:5">
      <c r="B25" s="198"/>
      <c r="C25" s="203"/>
      <c r="D25" s="198"/>
      <c r="E25" s="204"/>
    </row>
    <row r="26" spans="2:5">
      <c r="B26" s="198" t="s">
        <v>192</v>
      </c>
      <c r="C26" s="203">
        <v>0.08</v>
      </c>
      <c r="D26" s="198">
        <v>4</v>
      </c>
      <c r="E26" s="204" t="s">
        <v>194</v>
      </c>
    </row>
    <row r="27" spans="2:5">
      <c r="B27" s="198" t="s">
        <v>195</v>
      </c>
      <c r="C27" s="203">
        <v>0.02</v>
      </c>
      <c r="D27" s="198">
        <v>2</v>
      </c>
      <c r="E27" s="204" t="s">
        <v>197</v>
      </c>
    </row>
    <row r="28" spans="2:5">
      <c r="B28" s="198" t="s">
        <v>198</v>
      </c>
      <c r="C28" s="203">
        <v>0.04</v>
      </c>
      <c r="D28" s="198">
        <v>4</v>
      </c>
      <c r="E28" s="204" t="s">
        <v>200</v>
      </c>
    </row>
    <row r="29" spans="2:5" ht="24">
      <c r="B29" s="198" t="s">
        <v>201</v>
      </c>
      <c r="C29" s="203">
        <v>0.02</v>
      </c>
      <c r="D29" s="198">
        <v>1</v>
      </c>
      <c r="E29" s="204" t="s">
        <v>203</v>
      </c>
    </row>
    <row r="30" spans="2:5">
      <c r="B30" s="198" t="s">
        <v>207</v>
      </c>
      <c r="C30" s="203">
        <v>0.03</v>
      </c>
      <c r="D30" s="198">
        <v>2</v>
      </c>
      <c r="E30" s="204" t="s">
        <v>206</v>
      </c>
    </row>
    <row r="31" spans="2:5">
      <c r="B31" s="198"/>
      <c r="C31" s="198"/>
      <c r="D31" s="198"/>
      <c r="E31" s="204"/>
    </row>
    <row r="32" spans="2:5">
      <c r="B32" s="198"/>
      <c r="C32" s="203"/>
      <c r="D32" s="198"/>
      <c r="E32" s="204"/>
    </row>
    <row r="33" spans="2:5" ht="36">
      <c r="B33" s="198" t="s">
        <v>211</v>
      </c>
      <c r="C33" s="203">
        <v>0.03</v>
      </c>
      <c r="D33" s="198">
        <v>3</v>
      </c>
      <c r="E33" s="204" t="s">
        <v>213</v>
      </c>
    </row>
    <row r="34" spans="2:5">
      <c r="B34" s="198" t="s">
        <v>214</v>
      </c>
      <c r="C34" s="203">
        <v>0.02</v>
      </c>
      <c r="D34" s="198">
        <v>1</v>
      </c>
      <c r="E34" s="204" t="s">
        <v>216</v>
      </c>
    </row>
    <row r="35" spans="2:5">
      <c r="B35" s="198" t="s">
        <v>217</v>
      </c>
      <c r="C35" s="203">
        <v>0.02</v>
      </c>
      <c r="D35" s="198">
        <v>2</v>
      </c>
      <c r="E35" s="204"/>
    </row>
    <row r="36" spans="2:5" ht="24">
      <c r="B36" s="198" t="s">
        <v>360</v>
      </c>
      <c r="C36" s="203">
        <v>0.03</v>
      </c>
      <c r="D36" s="198">
        <v>2</v>
      </c>
      <c r="E36" s="204" t="s">
        <v>361</v>
      </c>
    </row>
    <row r="37" spans="2:5">
      <c r="B37" s="198"/>
      <c r="C37" s="203"/>
      <c r="D37" s="198"/>
      <c r="E37" s="204"/>
    </row>
    <row r="38" spans="2:5" ht="60">
      <c r="B38" s="198" t="s">
        <v>218</v>
      </c>
      <c r="C38" s="203">
        <v>0.04</v>
      </c>
      <c r="D38" s="198">
        <v>2</v>
      </c>
      <c r="E38" s="204" t="s">
        <v>362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election activeCell="E15" sqref="E15"/>
    </sheetView>
  </sheetViews>
  <sheetFormatPr defaultColWidth="22.125" defaultRowHeight="12"/>
  <cols>
    <col min="1" max="3" width="22.125" style="80"/>
    <col min="4" max="4" width="8.875" style="80" customWidth="1"/>
    <col min="5" max="5" width="4" style="81" customWidth="1"/>
    <col min="6" max="6" width="22.125" style="80" customWidth="1"/>
    <col min="7" max="7" width="13.375" style="81" customWidth="1"/>
    <col min="8" max="8" width="11.375" style="81" customWidth="1"/>
    <col min="9" max="9" width="24.625" style="80" customWidth="1"/>
    <col min="10" max="10" width="46.125" style="80" customWidth="1"/>
    <col min="11" max="11" width="12" style="81" customWidth="1"/>
    <col min="12" max="12" width="7" style="81" customWidth="1"/>
    <col min="13" max="13" width="8.125" style="81" customWidth="1"/>
    <col min="14" max="14" width="23.25" style="80" customWidth="1"/>
    <col min="15" max="15" width="26.375" style="80" customWidth="1"/>
    <col min="16" max="16384" width="22.125" style="80"/>
  </cols>
  <sheetData>
    <row r="1" spans="1:13" ht="6" customHeight="1" thickBot="1"/>
    <row r="2" spans="1:13" ht="12.75" thickBot="1">
      <c r="A2" s="252" t="s">
        <v>138</v>
      </c>
      <c r="B2" s="253"/>
      <c r="C2" s="253"/>
      <c r="E2" s="82" t="s">
        <v>139</v>
      </c>
      <c r="F2" s="83" t="s">
        <v>140</v>
      </c>
      <c r="G2" s="84" t="s">
        <v>141</v>
      </c>
      <c r="H2" s="84" t="s">
        <v>142</v>
      </c>
      <c r="I2" s="84" t="s">
        <v>143</v>
      </c>
      <c r="J2" s="84" t="s">
        <v>144</v>
      </c>
      <c r="K2" s="84" t="s">
        <v>145</v>
      </c>
      <c r="L2" s="84" t="s">
        <v>67</v>
      </c>
      <c r="M2" s="84"/>
    </row>
    <row r="3" spans="1:13">
      <c r="A3" s="85" t="s">
        <v>146</v>
      </c>
      <c r="B3" s="85" t="s">
        <v>147</v>
      </c>
      <c r="C3" s="85" t="s">
        <v>148</v>
      </c>
      <c r="E3" s="86"/>
      <c r="F3" s="249" t="s">
        <v>149</v>
      </c>
      <c r="G3" s="250"/>
      <c r="H3" s="250"/>
      <c r="I3" s="250"/>
      <c r="J3" s="251"/>
      <c r="K3" s="87">
        <f>SUM(K5:K15)</f>
        <v>0.5</v>
      </c>
      <c r="L3" s="86">
        <f>SUM(L5:L15)</f>
        <v>46.5</v>
      </c>
      <c r="M3" s="88"/>
    </row>
    <row r="4" spans="1:13" ht="25.5" customHeight="1">
      <c r="A4" s="89" t="s">
        <v>150</v>
      </c>
      <c r="B4" s="90">
        <f>SUM(B5:B9)</f>
        <v>1</v>
      </c>
      <c r="C4" s="91">
        <f>SUM(C5:C9)</f>
        <v>84.5</v>
      </c>
      <c r="E4" s="86"/>
      <c r="F4" s="92"/>
      <c r="G4" s="93"/>
      <c r="H4" s="93"/>
      <c r="I4" s="93"/>
      <c r="J4" s="94"/>
      <c r="K4" s="87"/>
      <c r="L4" s="86"/>
      <c r="M4" s="88"/>
    </row>
    <row r="5" spans="1:13" ht="192">
      <c r="A5" s="89" t="s">
        <v>151</v>
      </c>
      <c r="B5" s="95">
        <f>Scorecard!K3</f>
        <v>0.5</v>
      </c>
      <c r="C5" s="96">
        <f>Scorecard!L3</f>
        <v>46.5</v>
      </c>
      <c r="E5" s="109">
        <v>1</v>
      </c>
      <c r="F5" s="98" t="s">
        <v>152</v>
      </c>
      <c r="G5" s="97" t="s">
        <v>153</v>
      </c>
      <c r="H5" s="99">
        <f>IF(Valuation!A28=2, Analysis!M3, Analysis!O3)</f>
        <v>0.43576781517449326</v>
      </c>
      <c r="I5" s="100" t="s">
        <v>367</v>
      </c>
      <c r="J5" s="100"/>
      <c r="K5" s="101">
        <v>0.1</v>
      </c>
      <c r="L5" s="97">
        <f>IF(Valuation!A28=2, (IF(H5&gt;0.2,10,IF(AND(H5&gt;0.1,H5&lt;0.2),7,IF(AND(H5&gt;0.05,H5&lt;0.1),3,IF(AND(H5&gt;0,H5&lt;0.05),1,0))))), (IF(H5&gt;0.02,10,IF(AND(H5&gt;0.01,H5&lt;0.02),7,IF(AND(H5&gt;0.005,H5&lt;0.01),3,IF(AND(H5&gt;0,H5&lt;0.005),1,0))))))</f>
        <v>10</v>
      </c>
      <c r="M5" s="97"/>
    </row>
    <row r="6" spans="1:13" ht="156">
      <c r="A6" s="89" t="s">
        <v>154</v>
      </c>
      <c r="B6" s="95">
        <f>Scorecard!K16</f>
        <v>0.13</v>
      </c>
      <c r="C6" s="96">
        <f>Scorecard!L16</f>
        <v>12</v>
      </c>
      <c r="E6" s="109">
        <v>2</v>
      </c>
      <c r="F6" s="98" t="s">
        <v>155</v>
      </c>
      <c r="G6" s="97" t="s">
        <v>156</v>
      </c>
      <c r="H6" s="99">
        <f>Analysis!I13</f>
        <v>0.38700726807916963</v>
      </c>
      <c r="I6" s="100" t="s">
        <v>366</v>
      </c>
      <c r="J6" s="100"/>
      <c r="K6" s="101">
        <v>0.09</v>
      </c>
      <c r="L6" s="97">
        <f>IF(H6&gt;0.2,9,IF(AND(H6&gt;0.1,H6&lt;0.2),7,IF(AND(H6&gt;0.05,H6&lt;0.1),3,IF(AND(H6&gt;0,H6&lt;0.05),1,0))))</f>
        <v>9</v>
      </c>
      <c r="M6" s="97"/>
    </row>
    <row r="7" spans="1:13" ht="46.5" customHeight="1">
      <c r="A7" s="89" t="s">
        <v>157</v>
      </c>
      <c r="B7" s="95">
        <f>Scorecard!K21</f>
        <v>0.23</v>
      </c>
      <c r="C7" s="96">
        <f>Scorecard!L21</f>
        <v>16</v>
      </c>
      <c r="E7" s="109">
        <v>3</v>
      </c>
      <c r="F7" s="98" t="s">
        <v>158</v>
      </c>
      <c r="G7" s="101">
        <v>0</v>
      </c>
      <c r="H7" s="99">
        <f>Analysis!F16</f>
        <v>0</v>
      </c>
      <c r="I7" s="102"/>
      <c r="J7" s="102"/>
      <c r="K7" s="101">
        <v>0.06</v>
      </c>
      <c r="L7" s="97">
        <f>IF(H7&gt;0,0,6)</f>
        <v>6</v>
      </c>
      <c r="M7" s="97"/>
    </row>
    <row r="8" spans="1:13" ht="46.5" customHeight="1">
      <c r="A8" s="89" t="s">
        <v>159</v>
      </c>
      <c r="B8" s="95">
        <f>Scorecard!K28</f>
        <v>0.1</v>
      </c>
      <c r="C8" s="96">
        <f>Scorecard!L28</f>
        <v>8</v>
      </c>
      <c r="E8" s="109">
        <v>4</v>
      </c>
      <c r="F8" s="98" t="s">
        <v>160</v>
      </c>
      <c r="G8" s="97" t="s">
        <v>156</v>
      </c>
      <c r="H8" s="99">
        <f>Analysis!I12</f>
        <v>0.23994296296972806</v>
      </c>
      <c r="I8" s="100" t="s">
        <v>363</v>
      </c>
      <c r="J8" s="100"/>
      <c r="K8" s="101">
        <v>0.05</v>
      </c>
      <c r="L8" s="97">
        <f>IF(H8&gt;0.2,5,IF(AND(H8&gt;0.1,H8&lt;0.2),3,IF(AND(H8&gt;0.05,H8&lt;0.1),1,IF(AND(H8&gt;0,H8&lt;0.05),1,0))))</f>
        <v>5</v>
      </c>
      <c r="M8" s="97"/>
    </row>
    <row r="9" spans="1:13" ht="96">
      <c r="A9" s="89" t="s">
        <v>161</v>
      </c>
      <c r="B9" s="95">
        <f>Scorecard!K33</f>
        <v>0.04</v>
      </c>
      <c r="C9" s="96">
        <f>Scorecard!L33</f>
        <v>2</v>
      </c>
      <c r="E9" s="109">
        <v>5</v>
      </c>
      <c r="F9" s="98" t="s">
        <v>162</v>
      </c>
      <c r="G9" s="97" t="s">
        <v>156</v>
      </c>
      <c r="H9" s="99">
        <f>Analysis!E13</f>
        <v>0.13479017709633467</v>
      </c>
      <c r="I9" s="103" t="s">
        <v>163</v>
      </c>
      <c r="J9" s="98"/>
      <c r="K9" s="101">
        <v>0.04</v>
      </c>
      <c r="L9" s="97">
        <f>IF(H9&gt;0.2,4,IF(AND(H9&gt;0.1,H9&lt;0.2),3,IF(AND(H9&gt;0.05,H9&lt;0.1),2,IF(AND(H9&gt;0,H9&lt;0.05),1,0))))</f>
        <v>3</v>
      </c>
      <c r="M9" s="97"/>
    </row>
    <row r="10" spans="1:13" ht="84">
      <c r="E10" s="109">
        <v>6</v>
      </c>
      <c r="F10" s="98" t="s">
        <v>164</v>
      </c>
      <c r="G10" s="97" t="s">
        <v>165</v>
      </c>
      <c r="H10" s="99">
        <f>Analysis!F3</f>
        <v>6.751640175684924E-2</v>
      </c>
      <c r="I10" s="100" t="s">
        <v>166</v>
      </c>
      <c r="J10" s="100"/>
      <c r="K10" s="101">
        <v>0.04</v>
      </c>
      <c r="L10" s="97">
        <f>IF(H10&gt;0.15,4,IF(AND(H10&gt;0.08,H10&lt;0.15),3,IF(AND(H10&gt;0.05,H10&lt;0.08),2,IF(AND(H10&gt;0.03,H10&lt;0.05),1,0))))</f>
        <v>2</v>
      </c>
      <c r="M10" s="97"/>
    </row>
    <row r="11" spans="1:13" ht="24">
      <c r="E11" s="109">
        <v>7</v>
      </c>
      <c r="F11" s="98" t="s">
        <v>167</v>
      </c>
      <c r="G11" s="97" t="s">
        <v>168</v>
      </c>
      <c r="H11" s="104">
        <f>Analysis!H8</f>
        <v>1.1518358511337043</v>
      </c>
      <c r="I11" s="100" t="s">
        <v>169</v>
      </c>
      <c r="J11" s="100"/>
      <c r="K11" s="101">
        <v>0.04</v>
      </c>
      <c r="L11" s="97">
        <f>IF(H11&gt;1,4,IF(AND(H11&gt;0.75,H11&lt;1),2,IF(AND(H11&gt;0.5,H11&lt;0.75),1,IF(AND(H11&gt;0,H11&lt;0.5),1,0))))</f>
        <v>4</v>
      </c>
      <c r="M11" s="97"/>
    </row>
    <row r="12" spans="1:13" ht="46.5" customHeight="1">
      <c r="E12" s="109">
        <v>8</v>
      </c>
      <c r="F12" s="98" t="s">
        <v>170</v>
      </c>
      <c r="G12" s="97" t="s">
        <v>388</v>
      </c>
      <c r="H12" s="211">
        <f>Analysis!M13</f>
        <v>-1.0810295393128833E-3</v>
      </c>
      <c r="I12" s="100" t="s">
        <v>358</v>
      </c>
      <c r="J12" s="102"/>
      <c r="K12" s="101">
        <v>0.03</v>
      </c>
      <c r="L12" s="97">
        <f>IF(H12&gt;-0.03,3,IF(H12=0,2,0))</f>
        <v>3</v>
      </c>
      <c r="M12" s="97"/>
    </row>
    <row r="13" spans="1:13" ht="46.5" customHeight="1">
      <c r="E13" s="109">
        <v>9</v>
      </c>
      <c r="F13" s="98" t="s">
        <v>171</v>
      </c>
      <c r="G13" s="97" t="s">
        <v>172</v>
      </c>
      <c r="H13" s="104">
        <f>Analysis!L4</f>
        <v>9.0776809195156831E-4</v>
      </c>
      <c r="I13" s="100" t="s">
        <v>364</v>
      </c>
      <c r="J13" s="102"/>
      <c r="K13" s="101">
        <v>0.03</v>
      </c>
      <c r="L13" s="97">
        <f>IF(H13&lt;=3,3,IF((AND((H13&gt;3),(H13&lt;=5))),2,0))</f>
        <v>3</v>
      </c>
      <c r="M13" s="97"/>
    </row>
    <row r="14" spans="1:13" ht="41.25" customHeight="1">
      <c r="E14" s="109">
        <v>10</v>
      </c>
      <c r="F14" s="98" t="s">
        <v>173</v>
      </c>
      <c r="G14" s="97" t="s">
        <v>174</v>
      </c>
      <c r="H14" s="105">
        <f>Analysis!J4</f>
        <v>1.0681762686545726</v>
      </c>
      <c r="I14" s="106" t="s">
        <v>365</v>
      </c>
      <c r="J14" s="98"/>
      <c r="K14" s="101">
        <v>0.01</v>
      </c>
      <c r="L14" s="105">
        <f>IF(H14&gt;1.5,1,IF(AND(H14&gt;1.25,H14&lt;1.5),0.75,IF(AND(H14&gt;1,H14&lt;1.25),0.5,IF(AND(H14&gt;0.9,H14&lt;1),1,0))))</f>
        <v>0.5</v>
      </c>
      <c r="M14" s="97"/>
    </row>
    <row r="15" spans="1:13" ht="88.5" customHeight="1">
      <c r="E15" s="109">
        <v>11</v>
      </c>
      <c r="F15" s="98" t="s">
        <v>175</v>
      </c>
      <c r="G15" s="97" t="s">
        <v>176</v>
      </c>
      <c r="H15" s="107">
        <f>Analysis!E9</f>
        <v>877.69</v>
      </c>
      <c r="I15" s="100" t="s">
        <v>177</v>
      </c>
      <c r="J15" s="98"/>
      <c r="K15" s="101">
        <v>0.01</v>
      </c>
      <c r="L15" s="105">
        <f>IF(H15&gt;1.5,1,IF(AND(H15&gt;1.25,H15&lt;1.5),0.75,IF(AND(H15&gt;1,H15&lt;1.25),0.5,IF(AND(H15&gt;0.9,H15&lt;1),1,0))))</f>
        <v>1</v>
      </c>
      <c r="M15" s="97"/>
    </row>
    <row r="16" spans="1:13">
      <c r="E16" s="249" t="s">
        <v>178</v>
      </c>
      <c r="F16" s="250"/>
      <c r="G16" s="250"/>
      <c r="H16" s="250"/>
      <c r="I16" s="250"/>
      <c r="J16" s="251"/>
      <c r="K16" s="108">
        <f>SUM(K17:K20)</f>
        <v>0.13</v>
      </c>
      <c r="L16" s="109">
        <f>SUM(L17:L20)</f>
        <v>12</v>
      </c>
      <c r="M16" s="88"/>
    </row>
    <row r="17" spans="5:13" ht="48">
      <c r="E17" s="97">
        <v>1</v>
      </c>
      <c r="F17" s="98" t="s">
        <v>179</v>
      </c>
      <c r="G17" s="97" t="s">
        <v>180</v>
      </c>
      <c r="H17" s="97"/>
      <c r="I17" s="98" t="s">
        <v>181</v>
      </c>
      <c r="J17" s="100"/>
      <c r="K17" s="101">
        <v>0.05</v>
      </c>
      <c r="L17" s="97">
        <f>Qualitative!D21</f>
        <v>4</v>
      </c>
      <c r="M17" s="97"/>
    </row>
    <row r="18" spans="5:13" ht="48">
      <c r="E18" s="97">
        <v>2</v>
      </c>
      <c r="F18" s="98" t="s">
        <v>182</v>
      </c>
      <c r="G18" s="97" t="s">
        <v>183</v>
      </c>
      <c r="H18" s="97"/>
      <c r="I18" s="98" t="s">
        <v>184</v>
      </c>
      <c r="J18" s="100"/>
      <c r="K18" s="101">
        <v>0.02</v>
      </c>
      <c r="L18" s="97">
        <f>Qualitative!D22</f>
        <v>2</v>
      </c>
      <c r="M18" s="97"/>
    </row>
    <row r="19" spans="5:13" ht="72">
      <c r="E19" s="97">
        <v>3</v>
      </c>
      <c r="F19" s="98" t="s">
        <v>185</v>
      </c>
      <c r="G19" s="97" t="s">
        <v>186</v>
      </c>
      <c r="H19" s="110">
        <f>Analysis!H13/Analysis!E13</f>
        <v>2.8802124144245238</v>
      </c>
      <c r="I19" s="100" t="s">
        <v>187</v>
      </c>
      <c r="J19" s="100"/>
      <c r="K19" s="101">
        <v>0.02</v>
      </c>
      <c r="L19" s="97">
        <f>Qualitative!D23</f>
        <v>2</v>
      </c>
      <c r="M19" s="97"/>
    </row>
    <row r="20" spans="5:13" ht="76.5" customHeight="1">
      <c r="E20" s="97">
        <v>5</v>
      </c>
      <c r="F20" s="98" t="s">
        <v>188</v>
      </c>
      <c r="G20" s="97" t="s">
        <v>189</v>
      </c>
      <c r="H20" s="97"/>
      <c r="I20" s="98" t="s">
        <v>190</v>
      </c>
      <c r="J20" s="100"/>
      <c r="K20" s="101">
        <v>0.04</v>
      </c>
      <c r="L20" s="97">
        <f>Qualitative!D24</f>
        <v>4</v>
      </c>
      <c r="M20" s="97"/>
    </row>
    <row r="21" spans="5:13" ht="12" customHeight="1">
      <c r="E21" s="249" t="s">
        <v>191</v>
      </c>
      <c r="F21" s="250"/>
      <c r="G21" s="250"/>
      <c r="H21" s="250"/>
      <c r="I21" s="250"/>
      <c r="J21" s="251"/>
      <c r="K21" s="108">
        <f>SUM(K22:K27)</f>
        <v>0.23</v>
      </c>
      <c r="L21" s="109">
        <f>SUM(L22:L27)</f>
        <v>16</v>
      </c>
      <c r="M21" s="111"/>
    </row>
    <row r="22" spans="5:13" ht="36">
      <c r="E22" s="97">
        <v>1</v>
      </c>
      <c r="F22" s="98" t="s">
        <v>192</v>
      </c>
      <c r="G22" s="97" t="s">
        <v>193</v>
      </c>
      <c r="H22" s="97"/>
      <c r="I22" s="98" t="s">
        <v>194</v>
      </c>
      <c r="J22" s="100"/>
      <c r="K22" s="101">
        <v>0.08</v>
      </c>
      <c r="L22" s="97">
        <f>Qualitative!D26</f>
        <v>4</v>
      </c>
      <c r="M22" s="97"/>
    </row>
    <row r="23" spans="5:13" ht="36">
      <c r="E23" s="97">
        <v>2</v>
      </c>
      <c r="F23" s="98" t="s">
        <v>195</v>
      </c>
      <c r="G23" s="97" t="s">
        <v>196</v>
      </c>
      <c r="H23" s="97"/>
      <c r="I23" s="98" t="s">
        <v>197</v>
      </c>
      <c r="J23" s="100"/>
      <c r="K23" s="101">
        <v>0.02</v>
      </c>
      <c r="L23" s="97">
        <f>Qualitative!D27</f>
        <v>2</v>
      </c>
      <c r="M23" s="97"/>
    </row>
    <row r="24" spans="5:13" ht="48">
      <c r="E24" s="97">
        <v>3</v>
      </c>
      <c r="F24" s="98" t="s">
        <v>198</v>
      </c>
      <c r="G24" s="97" t="s">
        <v>199</v>
      </c>
      <c r="H24" s="97"/>
      <c r="I24" s="98" t="s">
        <v>200</v>
      </c>
      <c r="J24" s="100"/>
      <c r="K24" s="101">
        <v>0.04</v>
      </c>
      <c r="L24" s="97">
        <f>Qualitative!D28</f>
        <v>4</v>
      </c>
      <c r="M24" s="97"/>
    </row>
    <row r="25" spans="5:13" ht="60">
      <c r="E25" s="97">
        <v>4</v>
      </c>
      <c r="F25" s="98" t="s">
        <v>201</v>
      </c>
      <c r="G25" s="97" t="s">
        <v>202</v>
      </c>
      <c r="H25" s="97"/>
      <c r="I25" s="100" t="s">
        <v>203</v>
      </c>
      <c r="J25" s="100"/>
      <c r="K25" s="101">
        <v>0.02</v>
      </c>
      <c r="L25" s="97">
        <f>Qualitative!D29</f>
        <v>1</v>
      </c>
      <c r="M25" s="111"/>
    </row>
    <row r="26" spans="5:13" ht="39" customHeight="1">
      <c r="E26" s="97">
        <v>6</v>
      </c>
      <c r="F26" s="98" t="s">
        <v>204</v>
      </c>
      <c r="G26" s="97" t="s">
        <v>205</v>
      </c>
      <c r="H26" s="99">
        <f>Analysis!E16</f>
        <v>0.50739999999999996</v>
      </c>
      <c r="I26" s="100" t="s">
        <v>206</v>
      </c>
      <c r="J26" s="112"/>
      <c r="K26" s="101">
        <v>0.04</v>
      </c>
      <c r="L26" s="97">
        <f>IF(H26&gt;0.7,4,IF(AND(H26&gt;0.4,H26&lt;0.7),3,IF(AND(H26&gt;0.2,H26&lt;0.4),2,IF(AND(H26&gt;0.1,H26&lt;0.2),1,0))))</f>
        <v>3</v>
      </c>
      <c r="M26" s="97"/>
    </row>
    <row r="27" spans="5:13">
      <c r="E27" s="97">
        <v>8</v>
      </c>
      <c r="F27" s="98" t="s">
        <v>207</v>
      </c>
      <c r="G27" s="97" t="s">
        <v>208</v>
      </c>
      <c r="H27" s="99">
        <f>Analysis!G16</f>
        <v>0.27560000000000001</v>
      </c>
      <c r="I27" s="100" t="s">
        <v>209</v>
      </c>
      <c r="J27" s="113"/>
      <c r="K27" s="101">
        <v>0.03</v>
      </c>
      <c r="L27" s="97">
        <f>Qualitative!D30</f>
        <v>2</v>
      </c>
      <c r="M27" s="97"/>
    </row>
    <row r="28" spans="5:13" ht="12" customHeight="1">
      <c r="E28" s="249" t="s">
        <v>210</v>
      </c>
      <c r="F28" s="250"/>
      <c r="G28" s="250"/>
      <c r="H28" s="250"/>
      <c r="I28" s="250"/>
      <c r="J28" s="251"/>
      <c r="K28" s="108">
        <f>SUM(K29:K32)</f>
        <v>0.1</v>
      </c>
      <c r="L28" s="109">
        <f>SUM(L29:L32)</f>
        <v>8</v>
      </c>
      <c r="M28" s="111"/>
    </row>
    <row r="29" spans="5:13" ht="120">
      <c r="E29" s="97">
        <v>1</v>
      </c>
      <c r="F29" s="98" t="s">
        <v>211</v>
      </c>
      <c r="G29" s="97" t="s">
        <v>212</v>
      </c>
      <c r="H29" s="97"/>
      <c r="I29" s="100" t="s">
        <v>213</v>
      </c>
      <c r="J29" s="98"/>
      <c r="K29" s="101">
        <v>0.03</v>
      </c>
      <c r="L29" s="97">
        <f>Qualitative!D33</f>
        <v>3</v>
      </c>
      <c r="M29" s="97"/>
    </row>
    <row r="30" spans="5:13" ht="36">
      <c r="E30" s="97">
        <v>2</v>
      </c>
      <c r="F30" s="98" t="s">
        <v>214</v>
      </c>
      <c r="G30" s="97" t="s">
        <v>215</v>
      </c>
      <c r="H30" s="97"/>
      <c r="I30" s="100" t="s">
        <v>216</v>
      </c>
      <c r="J30" s="98"/>
      <c r="K30" s="101">
        <v>0.02</v>
      </c>
      <c r="L30" s="97">
        <f>Qualitative!D34</f>
        <v>1</v>
      </c>
      <c r="M30" s="97"/>
    </row>
    <row r="31" spans="5:13">
      <c r="E31" s="97">
        <v>3</v>
      </c>
      <c r="F31" s="98" t="s">
        <v>217</v>
      </c>
      <c r="G31" s="97"/>
      <c r="H31" s="97"/>
      <c r="I31" s="100"/>
      <c r="J31" s="98"/>
      <c r="K31" s="101">
        <v>0.02</v>
      </c>
      <c r="L31" s="97">
        <f>Qualitative!D35</f>
        <v>2</v>
      </c>
      <c r="M31" s="97"/>
    </row>
    <row r="32" spans="5:13" ht="96">
      <c r="E32" s="97">
        <v>3</v>
      </c>
      <c r="F32" s="98" t="s">
        <v>360</v>
      </c>
      <c r="G32" s="97"/>
      <c r="H32" s="97"/>
      <c r="I32" s="98" t="s">
        <v>361</v>
      </c>
      <c r="J32" s="98"/>
      <c r="K32" s="101">
        <v>0.03</v>
      </c>
      <c r="L32" s="97">
        <f>Qualitative!D36</f>
        <v>2</v>
      </c>
      <c r="M32" s="97"/>
    </row>
    <row r="33" spans="5:13" ht="12" customHeight="1">
      <c r="E33" s="249" t="s">
        <v>161</v>
      </c>
      <c r="F33" s="250"/>
      <c r="G33" s="250"/>
      <c r="H33" s="250"/>
      <c r="I33" s="250"/>
      <c r="J33" s="251"/>
      <c r="K33" s="108">
        <f>SUM(K34:K34)</f>
        <v>0.04</v>
      </c>
      <c r="L33" s="109">
        <f>SUM(L34:L34)</f>
        <v>2</v>
      </c>
      <c r="M33" s="111"/>
    </row>
    <row r="34" spans="5:13" ht="216">
      <c r="E34" s="97">
        <v>4</v>
      </c>
      <c r="F34" s="98" t="s">
        <v>218</v>
      </c>
      <c r="G34" s="97" t="s">
        <v>219</v>
      </c>
      <c r="H34" s="191">
        <f>Analysis!M8</f>
        <v>0.69061521162958805</v>
      </c>
      <c r="I34" s="100" t="s">
        <v>362</v>
      </c>
      <c r="J34" s="100"/>
      <c r="K34" s="101">
        <v>0.04</v>
      </c>
      <c r="L34" s="97">
        <f>Qualitative!D38</f>
        <v>2</v>
      </c>
      <c r="M34" s="97"/>
    </row>
  </sheetData>
  <mergeCells count="6">
    <mergeCell ref="E33:J33"/>
    <mergeCell ref="A2:C2"/>
    <mergeCell ref="F3:J3"/>
    <mergeCell ref="E16:J16"/>
    <mergeCell ref="E21:J21"/>
    <mergeCell ref="E28:J2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9"/>
  <sheetViews>
    <sheetView showGridLines="0" zoomScaleNormal="100" workbookViewId="0">
      <selection activeCell="M12" sqref="M12"/>
    </sheetView>
  </sheetViews>
  <sheetFormatPr defaultColWidth="14.375" defaultRowHeight="15" customHeight="1"/>
  <cols>
    <col min="1" max="1" width="3" style="129" customWidth="1"/>
    <col min="2" max="2" width="10.625" style="129" customWidth="1"/>
    <col min="3" max="3" width="10.625" style="116" customWidth="1"/>
    <col min="4" max="4" width="17.25" style="116" customWidth="1"/>
    <col min="5" max="15" width="10.625" style="116" customWidth="1"/>
    <col min="16" max="16" width="12" style="116" customWidth="1"/>
    <col min="17" max="17" width="15.25" style="116" customWidth="1"/>
    <col min="18" max="19" width="14.375" style="116"/>
    <col min="20" max="20" width="15.875" style="116" customWidth="1"/>
    <col min="21" max="16384" width="14.375" style="116"/>
  </cols>
  <sheetData>
    <row r="1" spans="2:27" ht="15" customHeight="1">
      <c r="D1" s="125"/>
      <c r="E1" s="126"/>
      <c r="F1" s="127"/>
      <c r="G1" s="127"/>
      <c r="H1" s="128"/>
      <c r="I1" s="128"/>
      <c r="J1" s="127"/>
    </row>
    <row r="2" spans="2:27" ht="36">
      <c r="B2" s="115" t="s">
        <v>356</v>
      </c>
      <c r="C2" s="115" t="s">
        <v>357</v>
      </c>
      <c r="D2" s="114" t="s">
        <v>231</v>
      </c>
      <c r="E2" s="115" t="s">
        <v>232</v>
      </c>
      <c r="F2" s="115" t="s">
        <v>233</v>
      </c>
      <c r="G2" s="115" t="s">
        <v>234</v>
      </c>
      <c r="H2" s="115" t="s">
        <v>355</v>
      </c>
      <c r="I2" s="115" t="s">
        <v>235</v>
      </c>
      <c r="J2" s="115" t="s">
        <v>236</v>
      </c>
      <c r="K2" s="115" t="s">
        <v>237</v>
      </c>
      <c r="L2" s="115" t="s">
        <v>389</v>
      </c>
      <c r="M2" s="115" t="s">
        <v>42</v>
      </c>
      <c r="N2" s="115" t="s">
        <v>238</v>
      </c>
      <c r="O2" s="115" t="s">
        <v>58</v>
      </c>
    </row>
    <row r="3" spans="2:27" ht="15" customHeight="1">
      <c r="B3" s="117">
        <f>AVERAGE('Polished Data'!H76:L76)</f>
        <v>35.859901550613635</v>
      </c>
      <c r="C3" s="117">
        <f>AVERAGE('Polished Data'!H78:L78)</f>
        <v>15.245331035480319</v>
      </c>
      <c r="D3" s="115" t="s">
        <v>229</v>
      </c>
      <c r="E3" s="123">
        <f>SUM('Polished Data'!H29:L29)/SUM('Polished Data'!H26:L26)</f>
        <v>0.11233235980432815</v>
      </c>
      <c r="F3" s="120">
        <f>SUM('Polished Data'!H35:L35)/SUM('Polished Data'!H26:L26)</f>
        <v>6.751640175684924E-2</v>
      </c>
      <c r="G3" s="123">
        <f>SUM('Polished Data'!H6:L6)/SUM('Polished Data'!H26:L26)</f>
        <v>5.6537343040308601E-2</v>
      </c>
      <c r="H3" s="123">
        <f>SUM('Polished Data'!H7:L7)/SUM('Polished Data'!H26:L26)</f>
        <v>1.1262310686500342E-2</v>
      </c>
      <c r="I3" s="118">
        <f>SUM('Polished Data'!H55:L55)/SUM('Polished Data'!H60:L60)</f>
        <v>3.4318492406410814E-2</v>
      </c>
      <c r="J3" s="118">
        <f>SUM('Polished Data'!H9:L9)/SUM('Polished Data'!H10:L10)</f>
        <v>1.0011399465483257</v>
      </c>
      <c r="K3" s="117">
        <f>SUM(Quantitative!G66:K66)/SUM(Quantitative!G57:K58)</f>
        <v>2.1888083979343791</v>
      </c>
      <c r="L3" s="117">
        <f>SUM('Polished Data'!H45:L45)/SUM('Polished Data'!H35:L35)</f>
        <v>0.30161799124860095</v>
      </c>
      <c r="M3" s="208">
        <f>SUM('Polished Data'!H35:L35)/SUM('Polished Data'!H40:L41)</f>
        <v>0.43576781517449326</v>
      </c>
      <c r="N3" s="118">
        <f>SUM('Polished Data'!H35:L35)/SUM('Polished Data'!H42:L45)</f>
        <v>0.38514599255339987</v>
      </c>
      <c r="O3" s="118">
        <f>SUM('Polished Data'!H35:L35)/SUM('Polished Data'!H60:L60)</f>
        <v>0.1990890639791659</v>
      </c>
    </row>
    <row r="4" spans="2:27" ht="15" customHeight="1">
      <c r="B4" s="117">
        <f>'Polished Data'!L76</f>
        <v>44.204094350131498</v>
      </c>
      <c r="C4" s="117">
        <f>'Polished Data'!L78</f>
        <v>19.443603150133292</v>
      </c>
      <c r="D4" s="115" t="s">
        <v>230</v>
      </c>
      <c r="E4" s="121">
        <f>'Polished Data'!L29/'Polished Data'!L26</f>
        <v>0.1534619207589426</v>
      </c>
      <c r="F4" s="120">
        <f>SUM('Polished Data'!L35:L35)/SUM('Polished Data'!L26:L26)</f>
        <v>9.4250053473244472E-2</v>
      </c>
      <c r="G4" s="123">
        <f>SUM('Polished Data'!L6:L6)/SUM('Polished Data'!L26:L26)</f>
        <v>4.8315907346594696E-2</v>
      </c>
      <c r="H4" s="123">
        <f>SUM('Polished Data'!L7:L7)/SUM('Polished Data'!L26:L26)</f>
        <v>1.342492985568515E-2</v>
      </c>
      <c r="I4" s="130">
        <f>'Polished Data'!L55/'Polished Data'!L60</f>
        <v>8.0100254512099015E-3</v>
      </c>
      <c r="J4" s="118">
        <f>SUM('Polished Data'!L9:L9)/SUM('Polished Data'!L10:L10)</f>
        <v>1.0681762686545726</v>
      </c>
      <c r="K4" s="117">
        <f>SUM(Quantitative!K66:K66)/SUM(Quantitative!K57:K58)</f>
        <v>1.818017404375756</v>
      </c>
      <c r="L4" s="117">
        <f>SUM('Polished Data'!L45:L45)/SUM('Polished Data'!L35:L35)</f>
        <v>9.0776809195156831E-4</v>
      </c>
      <c r="M4" s="208">
        <f>SUM('Polished Data'!L35:L35)/SUM('Polished Data'!L40:L41)</f>
        <v>0.43985977851111535</v>
      </c>
      <c r="N4" s="118">
        <f>SUM('Polished Data'!L35:L35)/SUM('Polished Data'!L42:L45)</f>
        <v>0.43968421670481872</v>
      </c>
      <c r="O4" s="118">
        <f>SUM('Polished Data'!L35:L35)/SUM('Polished Data'!L60:L60)</f>
        <v>0.24194475666317833</v>
      </c>
    </row>
    <row r="5" spans="2:27" ht="12.95" customHeight="1">
      <c r="B5" s="117">
        <f>MAX('Polished Data'!H76:L76)</f>
        <v>44.204094350131498</v>
      </c>
      <c r="C5" s="117">
        <f>MAX('Polished Data'!H78:L78)</f>
        <v>21.32813174848086</v>
      </c>
      <c r="D5" s="115" t="s">
        <v>353</v>
      </c>
      <c r="E5" s="121"/>
      <c r="F5" s="120"/>
      <c r="G5" s="123"/>
      <c r="H5" s="123"/>
      <c r="I5" s="130"/>
      <c r="J5" s="118"/>
      <c r="K5" s="117"/>
      <c r="L5" s="117"/>
      <c r="M5" s="118"/>
      <c r="N5" s="118"/>
      <c r="O5" s="118"/>
    </row>
    <row r="6" spans="2:27" ht="15" customHeight="1">
      <c r="D6" s="116" t="s">
        <v>354</v>
      </c>
      <c r="O6" s="131"/>
      <c r="S6" s="131"/>
      <c r="Z6" s="133"/>
    </row>
    <row r="7" spans="2:27" ht="26.25" customHeight="1">
      <c r="D7" s="114" t="s">
        <v>220</v>
      </c>
      <c r="E7" s="115" t="s">
        <v>104</v>
      </c>
      <c r="F7" s="115" t="s">
        <v>221</v>
      </c>
      <c r="G7" s="115" t="s">
        <v>222</v>
      </c>
      <c r="H7" s="115" t="s">
        <v>223</v>
      </c>
      <c r="I7" s="115" t="s">
        <v>224</v>
      </c>
      <c r="J7" s="115" t="s">
        <v>225</v>
      </c>
      <c r="K7" s="115" t="s">
        <v>226</v>
      </c>
      <c r="L7" s="115" t="s">
        <v>227</v>
      </c>
      <c r="M7" s="115" t="s">
        <v>359</v>
      </c>
      <c r="N7" s="115" t="s">
        <v>228</v>
      </c>
      <c r="S7" s="131"/>
      <c r="Z7" s="135"/>
      <c r="AA7" s="133"/>
    </row>
    <row r="8" spans="2:27" s="129" customFormat="1" ht="26.25" customHeight="1">
      <c r="D8" s="115" t="s">
        <v>229</v>
      </c>
      <c r="E8" s="117">
        <f>AVERAGE('Polished Data'!H62:L62)</f>
        <v>498.03999999999996</v>
      </c>
      <c r="F8" s="118">
        <f>SUM('Polished Data'!H65:L65)/SUM('Polished Data'!H62:L62)</f>
        <v>-0.48571199100473861</v>
      </c>
      <c r="G8" s="119">
        <f>SUM('Polished Data'!H23:L23)/SUM('Polished Data'!H62:L62)</f>
        <v>0.30938478837041206</v>
      </c>
      <c r="H8" s="118">
        <f>SUM('Polished Data'!H62:L62)/SUM('Polished Data'!H35:L35)</f>
        <v>1.1518358511337043</v>
      </c>
      <c r="I8" s="120">
        <f>SUM('Polished Data'!H62:L62)/SUM('Polished Data'!H26:L26)</f>
        <v>7.7767812083085572E-2</v>
      </c>
      <c r="J8" s="121">
        <f>SUM('Polished Data'!H62:L62)/SUM('Polished Data'!H60:L60)</f>
        <v>0.22931792145985508</v>
      </c>
      <c r="K8" s="122">
        <f>SUM('Polished Data'!H62:L62)/SUM('Polished Data'!H48:L48)</f>
        <v>0.47469814291650941</v>
      </c>
      <c r="L8" s="122">
        <f>SUM('Polished Data'!H62:L62)/SUM('Polished Data'!H45:L45)</f>
        <v>3.8188565820144764</v>
      </c>
      <c r="M8" s="123">
        <f>SUM('Polished Data'!H63:L63)/SUM('Polished Data'!H62:L62)</f>
        <v>0.69061521162958805</v>
      </c>
      <c r="N8" s="118">
        <f>SUM('Polished Data'!H23:L23)/SUM('Polished Data'!H63:L63)</f>
        <v>0.44798432348511724</v>
      </c>
      <c r="S8" s="131"/>
      <c r="Z8" s="135"/>
      <c r="AA8" s="133"/>
    </row>
    <row r="9" spans="2:27" s="129" customFormat="1" ht="26.25" customHeight="1">
      <c r="D9" s="115" t="s">
        <v>230</v>
      </c>
      <c r="E9" s="117">
        <f>'Polished Data'!L62</f>
        <v>877.69</v>
      </c>
      <c r="F9" s="124">
        <f>SUM('Polished Data'!L65:L65)/SUM('Polished Data'!L62:L62)</f>
        <v>-0.26010322551242465</v>
      </c>
      <c r="G9" s="118">
        <f>SUM('Polished Data'!L23:L23)/SUM('Polished Data'!L62:L62)</f>
        <v>0.25820050359466318</v>
      </c>
      <c r="H9" s="118">
        <f>SUM('Polished Data'!L62:L62)/SUM('Polished Data'!L35:L35)</f>
        <v>1.1716749656249588</v>
      </c>
      <c r="I9" s="123">
        <f>SUM('Polished Data'!L62:L62)/SUM('Polished Data'!L26:L26)</f>
        <v>0.11043042816341425</v>
      </c>
      <c r="J9" s="123">
        <f>SUM('Polished Data'!L62:L62)/SUM('Polished Data'!L60:L60)</f>
        <v>0.28348061444646849</v>
      </c>
      <c r="K9" s="123">
        <f>SUM('Polished Data'!L62:L62)/SUM('Polished Data'!L48:L48)</f>
        <v>0.63033423823271717</v>
      </c>
      <c r="L9" s="123">
        <f>SUM('Polished Data'!L62:L62)/SUM('Polished Data'!L45:L45)</f>
        <v>1290.7205882352941</v>
      </c>
      <c r="M9" s="123">
        <f>SUM('Polished Data'!L63:L63)/SUM('Polished Data'!L62:L62)</f>
        <v>0.74179949640533682</v>
      </c>
      <c r="N9" s="118">
        <f>SUM('Polished Data'!L23:L23)/SUM('Polished Data'!L63:L63)</f>
        <v>0.34807317185556069</v>
      </c>
      <c r="S9" s="131"/>
      <c r="Z9" s="135"/>
      <c r="AA9" s="133"/>
    </row>
    <row r="10" spans="2:27" s="129" customFormat="1" ht="26.25" customHeight="1">
      <c r="S10" s="131"/>
      <c r="Z10" s="135"/>
      <c r="AA10" s="133"/>
    </row>
    <row r="11" spans="2:27" ht="24">
      <c r="D11" s="114" t="s">
        <v>239</v>
      </c>
      <c r="E11" s="115" t="s">
        <v>240</v>
      </c>
      <c r="F11" s="115" t="s">
        <v>241</v>
      </c>
      <c r="G11" s="115" t="s">
        <v>242</v>
      </c>
      <c r="H11" s="115" t="s">
        <v>243</v>
      </c>
      <c r="I11" s="115" t="s">
        <v>35</v>
      </c>
      <c r="J11" s="115" t="s">
        <v>37</v>
      </c>
      <c r="K11" s="115" t="s">
        <v>104</v>
      </c>
      <c r="L11" s="115" t="s">
        <v>32</v>
      </c>
      <c r="M11" s="115" t="s">
        <v>244</v>
      </c>
      <c r="N11" s="115" t="s">
        <v>245</v>
      </c>
      <c r="O11" s="115" t="s">
        <v>9</v>
      </c>
      <c r="AA11" s="135"/>
    </row>
    <row r="12" spans="2:27" ht="12.95" customHeight="1">
      <c r="D12" s="115" t="s">
        <v>246</v>
      </c>
      <c r="E12" s="121">
        <f>POWER('Polished Data'!L26/'Polished Data'!C26,1/9)-1</f>
        <v>0.15344437369356756</v>
      </c>
      <c r="F12" s="118">
        <f>('Polished Data'!L6/'Polished Data'!C6)^(1/9)-1</f>
        <v>6.6603022256034095E-2</v>
      </c>
      <c r="G12" s="118">
        <f>('Polished Data'!L7/'Polished Data'!C7)^(1/9)-1</f>
        <v>0.15748743327610026</v>
      </c>
      <c r="H12" s="121">
        <f>POWER('Polished Data'!L35/'Polished Data'!C35,1/9)-1</f>
        <v>0.24054730466159691</v>
      </c>
      <c r="I12" s="121">
        <f>('Polished Data'!L74/'Polished Data'!C74)^(1/9)-1</f>
        <v>0.23994296296972806</v>
      </c>
      <c r="J12" s="121">
        <f>('Polished Data'!L73/'Polished Data'!C73)^(1/9)-1</f>
        <v>0.11931392781033101</v>
      </c>
      <c r="K12" s="121">
        <f>('Polished Data'!L62/'Polished Data'!C62)^(1/9)-1</f>
        <v>0.29281316628723975</v>
      </c>
      <c r="L12" s="121">
        <f>('Polished Data'!L63/'Polished Data'!C62)^(1/9)-1</f>
        <v>0.25061363429554673</v>
      </c>
      <c r="M12" s="121"/>
      <c r="N12" s="136">
        <f>('Polished Data'!L40/'Polished Data'!C40)^(1/9)-1</f>
        <v>5.1056018152895177E-4</v>
      </c>
      <c r="O12" s="121">
        <f>('Polished Data'!L42/'Polished Data'!C42)^(1/9)-1</f>
        <v>0.11985947554362797</v>
      </c>
      <c r="AA12" s="135"/>
    </row>
    <row r="13" spans="2:27" ht="12.95" customHeight="1">
      <c r="D13" s="115" t="s">
        <v>247</v>
      </c>
      <c r="E13" s="121">
        <f>POWER('Polished Data'!L26/'Polished Data'!G26,1/5)-1</f>
        <v>0.13479017709633467</v>
      </c>
      <c r="F13" s="118">
        <f>('Polished Data'!L6/'Polished Data'!G6)^(1/5)-1</f>
        <v>4.2943037384175042E-2</v>
      </c>
      <c r="G13" s="118">
        <f>('Polished Data'!L7/'Polished Data'!G7)^(1/5)-1</f>
        <v>0.13256364075977856</v>
      </c>
      <c r="H13" s="121">
        <f>POWER('Polished Data'!L35/'Polished Data'!G35,1/5)-1</f>
        <v>0.38822434141534323</v>
      </c>
      <c r="I13" s="121">
        <f>('Polished Data'!L74/'Polished Data'!G74)^(1/5)-1</f>
        <v>0.38700726807916963</v>
      </c>
      <c r="J13" s="121">
        <f>('Polished Data'!L73/'Polished Data'!G73)^(1/5)-1</f>
        <v>0.30307665589770849</v>
      </c>
      <c r="K13" s="121">
        <f>('Polished Data'!L62/'Polished Data'!G62)^(1/5)-1</f>
        <v>0.28934248966646758</v>
      </c>
      <c r="L13" s="121">
        <f>('Polished Data'!L63/'Polished Data'!G63)^(1/5)-1</f>
        <v>0.29640048713629108</v>
      </c>
      <c r="M13" s="121">
        <f>POWER(Qualitative!D9/Qualitative!D8, 1/4)-1</f>
        <v>-1.0810295393128833E-3</v>
      </c>
      <c r="N13" s="137">
        <f>('Polished Data'!L40/'Polished Data'!G40)^(1/5)-1</f>
        <v>9.1919600398804313E-4</v>
      </c>
      <c r="O13" s="121">
        <f>('Polished Data'!L42/'Polished Data'!G42)^(1/5)-1</f>
        <v>0.30422008166726511</v>
      </c>
      <c r="P13" s="135"/>
    </row>
    <row r="14" spans="2:27" ht="23.25" customHeight="1"/>
    <row r="15" spans="2:27" ht="36">
      <c r="D15" s="134" t="s">
        <v>248</v>
      </c>
      <c r="E15" s="134" t="s">
        <v>244</v>
      </c>
      <c r="F15" s="134" t="s">
        <v>249</v>
      </c>
      <c r="G15" s="134" t="s">
        <v>250</v>
      </c>
      <c r="H15" s="134" t="s">
        <v>251</v>
      </c>
    </row>
    <row r="16" spans="2:27" ht="15" customHeight="1">
      <c r="D16" s="117">
        <f>Qualitative!D11</f>
        <v>0</v>
      </c>
      <c r="E16" s="194">
        <f>Qualitative!D9</f>
        <v>0.50739999999999996</v>
      </c>
      <c r="F16" s="194">
        <f>Qualitative!D10</f>
        <v>0</v>
      </c>
      <c r="G16" s="121">
        <f>Qualitative!D12</f>
        <v>0.27560000000000001</v>
      </c>
      <c r="H16" s="121">
        <f>Qualitative!D13</f>
        <v>0</v>
      </c>
    </row>
    <row r="17" spans="4:14" ht="12.95" customHeight="1"/>
    <row r="18" spans="4:14" ht="12.95" customHeight="1">
      <c r="D18" s="125"/>
      <c r="E18" s="131"/>
      <c r="F18" s="127"/>
      <c r="G18" s="127"/>
      <c r="H18" s="131"/>
      <c r="I18" s="128"/>
      <c r="J18" s="128"/>
      <c r="K18" s="127"/>
      <c r="L18" s="132"/>
      <c r="M18" s="132"/>
      <c r="N18" s="132"/>
    </row>
    <row r="19" spans="4:14" ht="15" customHeight="1">
      <c r="F19" s="132"/>
      <c r="G19" s="132"/>
      <c r="H19" s="132"/>
      <c r="I19" s="132"/>
      <c r="J19" s="132"/>
      <c r="K19" s="132"/>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ignoredErrors>
    <ignoredError sqref="K3" formulaRange="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4"/>
  <sheetViews>
    <sheetView showGridLines="0" topLeftCell="A7" workbookViewId="0">
      <selection activeCell="B8" sqref="B8"/>
    </sheetView>
  </sheetViews>
  <sheetFormatPr defaultColWidth="9.125" defaultRowHeight="12.75"/>
  <cols>
    <col min="1" max="1" width="28.625" style="8" bestFit="1" customWidth="1"/>
    <col min="2" max="2" width="10" style="8" customWidth="1"/>
    <col min="3" max="3" width="3.5" style="222" customWidth="1"/>
    <col min="4" max="4" width="23.125" style="8" bestFit="1" customWidth="1"/>
    <col min="5" max="9" width="11.625" style="8" bestFit="1" customWidth="1"/>
    <col min="10" max="10" width="11.625" style="8" customWidth="1"/>
    <col min="11" max="11" width="9.25" style="8" bestFit="1" customWidth="1"/>
    <col min="12" max="16384" width="9.125" style="8"/>
  </cols>
  <sheetData>
    <row r="1" spans="1:11" customFormat="1" ht="15">
      <c r="C1" s="220"/>
    </row>
    <row r="5" spans="1:11">
      <c r="A5" s="259"/>
      <c r="B5" s="259"/>
      <c r="C5" s="259"/>
      <c r="D5" s="259"/>
      <c r="E5" s="259"/>
      <c r="F5" s="259"/>
      <c r="G5" s="259"/>
      <c r="H5" s="259"/>
      <c r="I5" s="259"/>
      <c r="J5" s="259"/>
      <c r="K5" s="259"/>
    </row>
    <row r="6" spans="1:11">
      <c r="A6" s="258"/>
      <c r="B6" s="258"/>
      <c r="C6" s="258"/>
      <c r="D6" s="258"/>
      <c r="E6" s="258"/>
      <c r="F6" s="258"/>
      <c r="G6" s="258"/>
      <c r="H6" s="258"/>
      <c r="I6" s="258"/>
      <c r="J6" s="258"/>
      <c r="K6" s="258"/>
    </row>
    <row r="7" spans="1:11">
      <c r="A7" s="254" t="s">
        <v>44</v>
      </c>
      <c r="B7" s="255"/>
      <c r="C7" s="221"/>
      <c r="D7" s="216" t="s">
        <v>56</v>
      </c>
      <c r="E7" s="21" t="s">
        <v>99</v>
      </c>
      <c r="F7" s="21" t="s">
        <v>100</v>
      </c>
      <c r="G7" s="21" t="s">
        <v>101</v>
      </c>
      <c r="H7" s="21" t="s">
        <v>102</v>
      </c>
      <c r="I7" s="21" t="s">
        <v>103</v>
      </c>
      <c r="J7" s="21" t="s">
        <v>347</v>
      </c>
      <c r="K7" s="20" t="s">
        <v>31</v>
      </c>
    </row>
    <row r="8" spans="1:11">
      <c r="A8" s="9" t="s">
        <v>36</v>
      </c>
      <c r="B8" s="188">
        <f>Qualitative!D5</f>
        <v>3482.85</v>
      </c>
      <c r="D8" s="8" t="s">
        <v>382</v>
      </c>
      <c r="E8" s="10">
        <f>'Polished Data'!L76</f>
        <v>44.204094350131498</v>
      </c>
      <c r="F8" s="10">
        <f>'Polished Data'!K76</f>
        <v>42.463340212078855</v>
      </c>
      <c r="G8" s="10">
        <f>'Polished Data'!J76</f>
        <v>28.257453797150042</v>
      </c>
      <c r="H8" s="10">
        <f>'Polished Data'!I76</f>
        <v>27.528706115192204</v>
      </c>
      <c r="I8" s="10">
        <f>'Polished Data'!H76</f>
        <v>36.845913278515582</v>
      </c>
      <c r="J8" s="10"/>
    </row>
    <row r="9" spans="1:11">
      <c r="A9" s="9" t="s">
        <v>35</v>
      </c>
      <c r="B9" s="16">
        <f>'Polished Data'!B39</f>
        <v>66.637596919012381</v>
      </c>
      <c r="C9" s="223"/>
      <c r="D9" s="193" t="s">
        <v>35</v>
      </c>
      <c r="E9" s="10">
        <f>'Polished Data'!L74</f>
        <v>62.43675027337801</v>
      </c>
      <c r="F9" s="10">
        <f>'Polished Data'!K74</f>
        <v>51.899591247254548</v>
      </c>
      <c r="G9" s="10">
        <f>'Polished Data'!J74</f>
        <v>30.838234975293055</v>
      </c>
      <c r="H9" s="10">
        <f>'Polished Data'!I74</f>
        <v>19.566484445222144</v>
      </c>
      <c r="I9" s="10">
        <f>'Polished Data'!H74</f>
        <v>15.633212716045513</v>
      </c>
      <c r="J9" s="10">
        <f>'Polished Data'!G74</f>
        <v>12.163165232485017</v>
      </c>
      <c r="K9" s="187">
        <f>(E9/J9)^(1/5)-1</f>
        <v>0.38700726807916963</v>
      </c>
    </row>
    <row r="10" spans="1:11">
      <c r="A10" s="9" t="s">
        <v>33</v>
      </c>
      <c r="B10" s="16">
        <f>'Polished Data'!L75</f>
        <v>19.999864139285069</v>
      </c>
      <c r="C10" s="223"/>
      <c r="D10" s="193" t="s">
        <v>33</v>
      </c>
      <c r="E10" s="10">
        <f>'Polished Data'!L75</f>
        <v>19.999864139285069</v>
      </c>
      <c r="F10" s="10">
        <f>'Polished Data'!K75</f>
        <v>15.999893267336969</v>
      </c>
      <c r="G10" s="10">
        <f>'Polished Data'!J75</f>
        <v>11.999919950502727</v>
      </c>
      <c r="H10" s="10">
        <f>'Polished Data'!I75</f>
        <v>8.5052756176563182</v>
      </c>
      <c r="I10" s="10">
        <f>'Polished Data'!H75</f>
        <v>8.4997327142556536</v>
      </c>
      <c r="J10" s="10">
        <f>'Polished Data'!G75</f>
        <v>6.4997463600394854</v>
      </c>
      <c r="K10" s="187">
        <f>(E10/J10)^(1/5)-1</f>
        <v>0.25206284258654743</v>
      </c>
    </row>
    <row r="11" spans="1:11">
      <c r="A11" s="9" t="s">
        <v>37</v>
      </c>
      <c r="B11" s="16">
        <f>'Polished Data'!L73</f>
        <v>141.94694155651285</v>
      </c>
      <c r="C11" s="223"/>
      <c r="D11" s="8" t="s">
        <v>383</v>
      </c>
      <c r="E11" s="10">
        <f>'Polished Data'!L78</f>
        <v>19.443603150133292</v>
      </c>
      <c r="F11" s="10">
        <f>'Polished Data'!K78</f>
        <v>21.32813174848086</v>
      </c>
      <c r="G11" s="10">
        <f>'Polished Data'!J78</f>
        <v>12.183708510504347</v>
      </c>
      <c r="H11" s="10">
        <f>'Polished Data'!I78</f>
        <v>10.040295212575831</v>
      </c>
      <c r="I11" s="10">
        <f>'Polished Data'!H78</f>
        <v>13.230916555707253</v>
      </c>
    </row>
    <row r="12" spans="1:11">
      <c r="A12" s="193" t="s">
        <v>42</v>
      </c>
      <c r="B12" s="192">
        <f>Analysis!M4</f>
        <v>0.43985977851111535</v>
      </c>
      <c r="C12" s="224"/>
      <c r="D12" s="193" t="s">
        <v>37</v>
      </c>
      <c r="E12" s="184">
        <f>'Polished Data'!L73</f>
        <v>141.94694155651285</v>
      </c>
      <c r="F12" s="184">
        <f>'Polished Data'!K73</f>
        <v>103.3297255469632</v>
      </c>
      <c r="G12" s="184">
        <f>'Polished Data'!J73</f>
        <v>71.522558115101177</v>
      </c>
      <c r="H12" s="184">
        <f>'Polished Data'!I73</f>
        <v>53.647824948945129</v>
      </c>
      <c r="I12" s="184">
        <f>'Polished Data'!H73</f>
        <v>43.535910575411307</v>
      </c>
      <c r="J12" s="184">
        <f>'Polished Data'!G73</f>
        <v>37.78124075587094</v>
      </c>
      <c r="K12" s="187">
        <f>(E12/J12)^(1/5)-1</f>
        <v>0.30307665589770849</v>
      </c>
    </row>
    <row r="13" spans="1:11">
      <c r="A13" s="9"/>
      <c r="B13" s="16"/>
      <c r="C13" s="223"/>
      <c r="D13" s="193"/>
      <c r="E13" s="11"/>
      <c r="F13" s="11"/>
      <c r="G13" s="11"/>
      <c r="H13" s="11"/>
      <c r="I13" s="11"/>
      <c r="J13" s="11"/>
      <c r="K13" s="187"/>
    </row>
    <row r="14" spans="1:11">
      <c r="A14" s="9" t="s">
        <v>39</v>
      </c>
      <c r="B14" s="212">
        <f>B9/B8</f>
        <v>1.9133065426019606E-2</v>
      </c>
      <c r="C14" s="225"/>
      <c r="D14" s="193" t="s">
        <v>43</v>
      </c>
      <c r="E14" s="11">
        <f>E10/E9</f>
        <v>0.32032199068202749</v>
      </c>
      <c r="F14" s="11">
        <f>F10/F9</f>
        <v>0.30828553525810959</v>
      </c>
      <c r="G14" s="11">
        <f>G10/G9</f>
        <v>0.38912473298542577</v>
      </c>
      <c r="H14" s="11">
        <f>H10/H9</f>
        <v>0.43468593663146193</v>
      </c>
      <c r="I14" s="11">
        <f>I10/I9</f>
        <v>0.54369711898896855</v>
      </c>
      <c r="J14" s="11"/>
      <c r="K14" s="11"/>
    </row>
    <row r="15" spans="1:11">
      <c r="A15" s="9" t="s">
        <v>40</v>
      </c>
      <c r="B15" s="212">
        <f>B10/B8</f>
        <v>5.7423845813873893E-3</v>
      </c>
      <c r="C15" s="225"/>
      <c r="D15" s="217"/>
      <c r="E15" s="205"/>
      <c r="F15" s="13"/>
      <c r="G15" s="13"/>
      <c r="H15" s="13"/>
      <c r="I15" s="13"/>
      <c r="J15" s="13"/>
      <c r="K15" s="13"/>
    </row>
    <row r="16" spans="1:11">
      <c r="A16" s="9"/>
      <c r="B16" s="16"/>
      <c r="C16" s="223"/>
      <c r="D16" s="218" t="s">
        <v>48</v>
      </c>
      <c r="E16" s="15">
        <v>0</v>
      </c>
      <c r="F16" s="9">
        <v>1</v>
      </c>
      <c r="G16" s="9">
        <v>2</v>
      </c>
      <c r="H16" s="9">
        <v>3</v>
      </c>
      <c r="I16" s="9">
        <v>4</v>
      </c>
      <c r="J16" s="9">
        <v>5</v>
      </c>
    </row>
    <row r="17" spans="1:11">
      <c r="A17" s="9" t="s">
        <v>47</v>
      </c>
      <c r="B17" s="212">
        <v>0.09</v>
      </c>
      <c r="C17" s="225"/>
      <c r="D17" s="193" t="s">
        <v>352</v>
      </c>
      <c r="E17" s="184">
        <f>IF($A$29=1, IF($A$28=2,$B$9*(1+$K$9)^E16, $E$12*(1+$K$12)^E16), IF($A$28=2,$B$9*(1+Qualitative!$D$16)^E16, $E$12*(1+Qualitative!$D$16)^E16))</f>
        <v>66.637596919012381</v>
      </c>
      <c r="F17" s="184">
        <f>IF($A$29=1, IF($A$28=2,$B$9*(1+$K$9)^F16, $E$12*(1+$K$12)^F16), IF($A$28=2,$B$9*(1+Qualitative!$D$16)^F16, $E$12*(1+Qualitative!$D$16)^F16))</f>
        <v>79.965116302814849</v>
      </c>
      <c r="G17" s="184">
        <f>IF($A$29=1, IF($A$28=2,$B$9*(1+$K$9)^G16, $E$12*(1+$K$12)^G16), IF($A$28=2,$B$9*(1+Qualitative!$D$16)^G16, $E$12*(1+Qualitative!$D$16)^G16))</f>
        <v>95.958139563377827</v>
      </c>
      <c r="H17" s="184">
        <f>IF($A$29=1, IF($A$28=2,$B$9*(1+$K$9)^H16, $E$12*(1+$K$12)^H16), IF($A$28=2,$B$9*(1+Qualitative!$D$16)^H16, $E$12*(1+Qualitative!$D$16)^H16))</f>
        <v>115.1497674760534</v>
      </c>
      <c r="I17" s="184">
        <f>IF($A$29=1, IF($A$28=2,$B$9*(1+$K$9)^I16, $E$12*(1+$K$12)^I16), IF($A$28=2,$B$9*(1+Qualitative!$D$16)^I16, $E$12*(1+Qualitative!$D$16)^I16))</f>
        <v>138.17972097126406</v>
      </c>
      <c r="J17" s="184">
        <f>IF($A$29=1, IF($A$28=2,$B$9*(1+$K$9)^J16, $E$12*(1+$K$12)^J16), IF($A$28=2,$B$9*(1+Qualitative!$D$16)^J16, $E$12*(1+Qualitative!$D$16)^J16))</f>
        <v>165.81566516551689</v>
      </c>
    </row>
    <row r="18" spans="1:11">
      <c r="A18" s="256" t="s">
        <v>45</v>
      </c>
      <c r="B18" s="257"/>
      <c r="C18" s="226"/>
      <c r="D18" s="193" t="s">
        <v>33</v>
      </c>
      <c r="E18" s="10">
        <f>E10</f>
        <v>19.999864139285069</v>
      </c>
      <c r="F18" s="10">
        <f>F17*B20</f>
        <v>31.923918656300042</v>
      </c>
      <c r="G18" s="10">
        <f>G17*B20</f>
        <v>38.308702387560054</v>
      </c>
      <c r="H18" s="10">
        <f>H17*B20</f>
        <v>45.970442865072066</v>
      </c>
      <c r="I18" s="10">
        <f>I17*B20</f>
        <v>55.16453143808647</v>
      </c>
      <c r="J18" s="10">
        <f>J17*B20</f>
        <v>66.197437725703779</v>
      </c>
    </row>
    <row r="19" spans="1:11">
      <c r="A19" s="9" t="s">
        <v>370</v>
      </c>
      <c r="B19" s="213">
        <f>Analysis!M3</f>
        <v>0.43576781517449326</v>
      </c>
      <c r="C19" s="227"/>
      <c r="D19" s="193"/>
      <c r="E19" s="12"/>
      <c r="F19" s="13"/>
      <c r="G19" s="13"/>
      <c r="H19" s="13"/>
      <c r="I19" s="13"/>
      <c r="J19" s="13"/>
      <c r="K19" s="13"/>
    </row>
    <row r="20" spans="1:11">
      <c r="A20" s="9" t="s">
        <v>46</v>
      </c>
      <c r="B20" s="212">
        <f>AVERAGE(E14:I14)</f>
        <v>0.39922306290919868</v>
      </c>
      <c r="C20" s="225"/>
      <c r="D20" s="193" t="s">
        <v>351</v>
      </c>
      <c r="E20" s="188">
        <f>J17</f>
        <v>165.81566516551689</v>
      </c>
      <c r="F20" s="13"/>
      <c r="G20" s="13"/>
      <c r="H20" s="13"/>
      <c r="I20" s="13"/>
      <c r="J20" s="13"/>
      <c r="K20" s="13"/>
    </row>
    <row r="21" spans="1:11">
      <c r="A21" s="9" t="s">
        <v>349</v>
      </c>
      <c r="B21" s="16">
        <f>AVERAGE(E8:I8)</f>
        <v>35.859901550613635</v>
      </c>
      <c r="C21" s="223"/>
      <c r="D21" s="8" t="s">
        <v>386</v>
      </c>
      <c r="E21" s="207">
        <f>B8*B24</f>
        <v>278.62799999999999</v>
      </c>
    </row>
    <row r="22" spans="1:11">
      <c r="A22" s="9" t="s">
        <v>350</v>
      </c>
      <c r="B22" s="16">
        <f>AVERAGE(E11:I11)</f>
        <v>15.245331035480316</v>
      </c>
      <c r="C22" s="223"/>
      <c r="D22" s="193" t="s">
        <v>50</v>
      </c>
      <c r="E22" s="188">
        <f>SUM(E18:J18)</f>
        <v>257.56489721200751</v>
      </c>
      <c r="F22" s="13"/>
      <c r="G22" s="190"/>
      <c r="H22" s="13"/>
      <c r="I22" s="13"/>
      <c r="J22" s="13"/>
      <c r="K22" s="13"/>
    </row>
    <row r="23" spans="1:11">
      <c r="A23" s="79" t="s">
        <v>76</v>
      </c>
      <c r="B23" s="214"/>
      <c r="C23" s="228"/>
      <c r="D23" s="193" t="s">
        <v>51</v>
      </c>
      <c r="E23" s="188">
        <f>IF(A28=2, E20*B21, E20*B22)</f>
        <v>5946.1334283849501</v>
      </c>
      <c r="F23" s="13"/>
      <c r="G23" s="13"/>
      <c r="H23" s="13"/>
      <c r="I23" s="13"/>
      <c r="J23" s="13"/>
      <c r="K23" s="13"/>
    </row>
    <row r="24" spans="1:11">
      <c r="A24" s="8" t="s">
        <v>137</v>
      </c>
      <c r="B24" s="215">
        <f>Qualitative!D17</f>
        <v>0.08</v>
      </c>
      <c r="C24" s="229"/>
      <c r="D24" s="193" t="s">
        <v>368</v>
      </c>
      <c r="E24" s="188">
        <f>E23+E22</f>
        <v>6203.6983255969571</v>
      </c>
      <c r="F24" s="232"/>
      <c r="G24" s="13"/>
      <c r="H24" s="13"/>
      <c r="I24" s="13"/>
      <c r="J24" s="13"/>
      <c r="K24" s="13"/>
    </row>
    <row r="25" spans="1:11">
      <c r="A25" s="9" t="s">
        <v>348</v>
      </c>
      <c r="B25" s="188">
        <f>IF(A28=2, B21*B9, B22*B11)</f>
        <v>2389.6176650852585</v>
      </c>
      <c r="C25" s="230"/>
      <c r="D25" s="219"/>
      <c r="E25" s="14"/>
      <c r="F25" s="13"/>
      <c r="G25" s="13"/>
      <c r="H25" s="13"/>
      <c r="I25" s="13"/>
      <c r="J25" s="13"/>
      <c r="K25" s="13"/>
    </row>
    <row r="26" spans="1:11">
      <c r="A26" s="9" t="s">
        <v>54</v>
      </c>
      <c r="B26" s="188">
        <f>E24/((1+B24)^5)</f>
        <v>4222.1328398677178</v>
      </c>
      <c r="C26" s="230"/>
      <c r="D26" s="218" t="s">
        <v>53</v>
      </c>
      <c r="E26" s="15" t="s">
        <v>77</v>
      </c>
      <c r="F26" s="9">
        <v>1</v>
      </c>
      <c r="G26" s="9">
        <v>2</v>
      </c>
      <c r="H26" s="9">
        <v>3</v>
      </c>
      <c r="I26" s="9">
        <v>4</v>
      </c>
      <c r="J26" s="9">
        <v>5</v>
      </c>
    </row>
    <row r="27" spans="1:11">
      <c r="A27" s="9" t="s">
        <v>55</v>
      </c>
      <c r="B27" s="188">
        <f>E32/(1+B24)^5</f>
        <v>4921.6246550576607</v>
      </c>
      <c r="C27" s="230"/>
      <c r="D27" s="193" t="s">
        <v>37</v>
      </c>
      <c r="E27" s="184">
        <f>E12</f>
        <v>141.94694155651285</v>
      </c>
      <c r="F27" s="184">
        <f>E27+E28-E29</f>
        <v>179.45750114765613</v>
      </c>
      <c r="G27" s="184">
        <f>F27+F28-F29</f>
        <v>226.8805115842481</v>
      </c>
      <c r="H27" s="184">
        <f>G27+G28-G29</f>
        <v>286.83541344074064</v>
      </c>
      <c r="I27" s="184">
        <f>H27+H28-H29</f>
        <v>362.63385439859348</v>
      </c>
      <c r="J27" s="184">
        <f>I27+I28-I29</f>
        <v>458.46261024233149</v>
      </c>
    </row>
    <row r="28" spans="1:11">
      <c r="A28" s="189">
        <v>2</v>
      </c>
      <c r="D28" s="193" t="s">
        <v>35</v>
      </c>
      <c r="E28" s="184">
        <f t="shared" ref="E28:J28" si="0">IF($A$30=1, E27*$B$12, E27*$B$19)</f>
        <v>62.436750273377982</v>
      </c>
      <c r="F28" s="184">
        <f t="shared" si="0"/>
        <v>78.936136706966252</v>
      </c>
      <c r="G28" s="184">
        <f t="shared" si="0"/>
        <v>99.795611573935915</v>
      </c>
      <c r="H28" s="184">
        <f t="shared" si="0"/>
        <v>126.16736142518837</v>
      </c>
      <c r="I28" s="184">
        <f t="shared" si="0"/>
        <v>159.50804687639737</v>
      </c>
      <c r="J28" s="184">
        <f t="shared" si="0"/>
        <v>201.65926219681972</v>
      </c>
    </row>
    <row r="29" spans="1:11">
      <c r="A29" s="189">
        <v>2</v>
      </c>
      <c r="D29" s="193" t="s">
        <v>33</v>
      </c>
      <c r="E29" s="10">
        <f>E28*B20</f>
        <v>24.926190682234704</v>
      </c>
      <c r="F29" s="10">
        <f>F28*B20</f>
        <v>31.513126270374293</v>
      </c>
      <c r="G29" s="10">
        <f>G28*B20</f>
        <v>39.840709717443374</v>
      </c>
      <c r="H29" s="10">
        <f>H28*B20</f>
        <v>50.368920467335585</v>
      </c>
      <c r="I29" s="10">
        <f>I28*B20</f>
        <v>63.6792910326594</v>
      </c>
      <c r="J29" s="10">
        <f>J28*B20</f>
        <v>80.507028318223547</v>
      </c>
    </row>
    <row r="30" spans="1:11">
      <c r="A30" s="189">
        <v>1</v>
      </c>
      <c r="D30" s="193" t="s">
        <v>49</v>
      </c>
      <c r="E30" s="16">
        <f>J28</f>
        <v>201.65926219681972</v>
      </c>
      <c r="F30" s="13"/>
      <c r="G30" s="13"/>
      <c r="H30" s="13"/>
      <c r="I30" s="13"/>
      <c r="J30" s="13"/>
      <c r="K30" s="13"/>
    </row>
    <row r="31" spans="1:11">
      <c r="D31" s="193" t="s">
        <v>50</v>
      </c>
      <c r="E31" s="16">
        <f>SUM(E29:J29)</f>
        <v>290.83526648827092</v>
      </c>
      <c r="F31" s="13"/>
      <c r="G31" s="13"/>
      <c r="H31" s="13"/>
      <c r="I31" s="13"/>
      <c r="J31" s="13"/>
      <c r="K31" s="13"/>
    </row>
    <row r="32" spans="1:11">
      <c r="D32" s="193" t="s">
        <v>51</v>
      </c>
      <c r="E32" s="16">
        <f>B21*E30</f>
        <v>7231.4812891473375</v>
      </c>
      <c r="F32" s="13"/>
      <c r="G32" s="13"/>
      <c r="H32" s="13"/>
      <c r="I32" s="13"/>
      <c r="J32" s="13"/>
      <c r="K32" s="13"/>
    </row>
    <row r="33" spans="4:11">
      <c r="D33" s="193" t="s">
        <v>52</v>
      </c>
      <c r="E33" s="16">
        <f>E32+E31</f>
        <v>7522.3165556356089</v>
      </c>
      <c r="F33" s="13"/>
      <c r="G33" s="13"/>
      <c r="H33" s="13"/>
      <c r="I33" s="13"/>
      <c r="J33" s="13"/>
      <c r="K33" s="13"/>
    </row>
    <row r="34" spans="4:11">
      <c r="D34" s="219"/>
      <c r="E34" s="14"/>
      <c r="F34" s="13"/>
      <c r="G34" s="13"/>
      <c r="H34" s="13"/>
      <c r="I34" s="13"/>
      <c r="J34" s="13"/>
      <c r="K34" s="13"/>
    </row>
  </sheetData>
  <mergeCells count="4">
    <mergeCell ref="A7:B7"/>
    <mergeCell ref="A18:B18"/>
    <mergeCell ref="A6:K6"/>
    <mergeCell ref="A5:K5"/>
  </mergeCells>
  <conditionalFormatting sqref="D38:D40">
    <cfRule type="dataBar" priority="2">
      <dataBar>
        <cfvo type="min"/>
        <cfvo type="max"/>
        <color rgb="FF638EC6"/>
      </dataBar>
      <extLst>
        <ext xmlns:x14="http://schemas.microsoft.com/office/spreadsheetml/2009/9/main" uri="{B025F937-C7B1-47D3-B67F-A62EFF666E3E}">
          <x14:id>{4E3A4DC6-A725-47CF-9D19-BB327F40E9AA}</x14:id>
        </ext>
      </extLst>
    </cfRule>
    <cfRule type="dataBar" priority="1">
      <dataBar>
        <cfvo type="min"/>
        <cfvo type="num" val="100"/>
        <color rgb="FF638EC6"/>
      </dataBar>
      <extLst>
        <ext xmlns:x14="http://schemas.microsoft.com/office/spreadsheetml/2009/9/main" uri="{B025F937-C7B1-47D3-B67F-A62EFF666E3E}">
          <x14:id>{D914B9DC-299D-44FF-A203-01BF9B054035}</x14:id>
        </ext>
      </extLst>
    </cfRule>
  </conditionalFormatting>
  <pageMargins left="0.70866141732283472" right="0.70866141732283472" top="0.74803149606299213" bottom="0.74803149606299213" header="0.31496062992125984" footer="0.31496062992125984"/>
  <pageSetup paperSize="9" scale="8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6" r:id="rId4" name="Group Box 2">
              <controlPr defaultSize="0" autoFill="0" autoPict="0">
                <anchor moveWithCells="1">
                  <from>
                    <xdr:col>0</xdr:col>
                    <xdr:colOff>361950</xdr:colOff>
                    <xdr:row>1</xdr:row>
                    <xdr:rowOff>133350</xdr:rowOff>
                  </from>
                  <to>
                    <xdr:col>1</xdr:col>
                    <xdr:colOff>352425</xdr:colOff>
                    <xdr:row>4</xdr:row>
                    <xdr:rowOff>114300</xdr:rowOff>
                  </to>
                </anchor>
              </controlPr>
            </control>
          </mc:Choice>
        </mc:AlternateContent>
        <mc:AlternateContent xmlns:mc="http://schemas.openxmlformats.org/markup-compatibility/2006">
          <mc:Choice Requires="x14">
            <control shapeId="16387" r:id="rId5" name="Option Button 3">
              <controlPr defaultSize="0" autoFill="0" autoLine="0" autoPict="0">
                <anchor moveWithCells="1">
                  <from>
                    <xdr:col>0</xdr:col>
                    <xdr:colOff>504825</xdr:colOff>
                    <xdr:row>2</xdr:row>
                    <xdr:rowOff>133350</xdr:rowOff>
                  </from>
                  <to>
                    <xdr:col>0</xdr:col>
                    <xdr:colOff>1133475</xdr:colOff>
                    <xdr:row>4</xdr:row>
                    <xdr:rowOff>28575</xdr:rowOff>
                  </to>
                </anchor>
              </controlPr>
            </control>
          </mc:Choice>
        </mc:AlternateContent>
        <mc:AlternateContent xmlns:mc="http://schemas.openxmlformats.org/markup-compatibility/2006">
          <mc:Choice Requires="x14">
            <control shapeId="16388" r:id="rId6" name="Option Button 4">
              <controlPr defaultSize="0" autoFill="0" autoLine="0" autoPict="0">
                <anchor moveWithCells="1">
                  <from>
                    <xdr:col>0</xdr:col>
                    <xdr:colOff>1381125</xdr:colOff>
                    <xdr:row>2</xdr:row>
                    <xdr:rowOff>133350</xdr:rowOff>
                  </from>
                  <to>
                    <xdr:col>0</xdr:col>
                    <xdr:colOff>2066925</xdr:colOff>
                    <xdr:row>4</xdr:row>
                    <xdr:rowOff>28575</xdr:rowOff>
                  </to>
                </anchor>
              </controlPr>
            </control>
          </mc:Choice>
        </mc:AlternateContent>
        <mc:AlternateContent xmlns:mc="http://schemas.openxmlformats.org/markup-compatibility/2006">
          <mc:Choice Requires="x14">
            <control shapeId="16389" r:id="rId7" name="Group Box 5">
              <controlPr defaultSize="0" autoFill="0" autoPict="0">
                <anchor moveWithCells="1">
                  <from>
                    <xdr:col>3</xdr:col>
                    <xdr:colOff>228600</xdr:colOff>
                    <xdr:row>1</xdr:row>
                    <xdr:rowOff>133350</xdr:rowOff>
                  </from>
                  <to>
                    <xdr:col>4</xdr:col>
                    <xdr:colOff>771525</xdr:colOff>
                    <xdr:row>4</xdr:row>
                    <xdr:rowOff>104775</xdr:rowOff>
                  </to>
                </anchor>
              </controlPr>
            </control>
          </mc:Choice>
        </mc:AlternateContent>
        <mc:AlternateContent xmlns:mc="http://schemas.openxmlformats.org/markup-compatibility/2006">
          <mc:Choice Requires="x14">
            <control shapeId="16390" r:id="rId8" name="Option Button 6">
              <controlPr defaultSize="0" autoFill="0" autoLine="0" autoPict="0">
                <anchor moveWithCells="1">
                  <from>
                    <xdr:col>3</xdr:col>
                    <xdr:colOff>400050</xdr:colOff>
                    <xdr:row>2</xdr:row>
                    <xdr:rowOff>142875</xdr:rowOff>
                  </from>
                  <to>
                    <xdr:col>3</xdr:col>
                    <xdr:colOff>1038225</xdr:colOff>
                    <xdr:row>4</xdr:row>
                    <xdr:rowOff>38100</xdr:rowOff>
                  </to>
                </anchor>
              </controlPr>
            </control>
          </mc:Choice>
        </mc:AlternateContent>
        <mc:AlternateContent xmlns:mc="http://schemas.openxmlformats.org/markup-compatibility/2006">
          <mc:Choice Requires="x14">
            <control shapeId="16391" r:id="rId9" name="Option Button 7">
              <controlPr defaultSize="0" autoFill="0" autoLine="0" autoPict="0">
                <anchor moveWithCells="1">
                  <from>
                    <xdr:col>3</xdr:col>
                    <xdr:colOff>1390650</xdr:colOff>
                    <xdr:row>2</xdr:row>
                    <xdr:rowOff>152400</xdr:rowOff>
                  </from>
                  <to>
                    <xdr:col>4</xdr:col>
                    <xdr:colOff>323850</xdr:colOff>
                    <xdr:row>4</xdr:row>
                    <xdr:rowOff>47625</xdr:rowOff>
                  </to>
                </anchor>
              </controlPr>
            </control>
          </mc:Choice>
        </mc:AlternateContent>
        <mc:AlternateContent xmlns:mc="http://schemas.openxmlformats.org/markup-compatibility/2006">
          <mc:Choice Requires="x14">
            <control shapeId="16392" r:id="rId10" name="Group Box 8">
              <controlPr defaultSize="0" autoFill="0" autoPict="0">
                <anchor moveWithCells="1">
                  <from>
                    <xdr:col>5</xdr:col>
                    <xdr:colOff>342900</xdr:colOff>
                    <xdr:row>1</xdr:row>
                    <xdr:rowOff>152400</xdr:rowOff>
                  </from>
                  <to>
                    <xdr:col>7</xdr:col>
                    <xdr:colOff>704850</xdr:colOff>
                    <xdr:row>4</xdr:row>
                    <xdr:rowOff>123825</xdr:rowOff>
                  </to>
                </anchor>
              </controlPr>
            </control>
          </mc:Choice>
        </mc:AlternateContent>
        <mc:AlternateContent xmlns:mc="http://schemas.openxmlformats.org/markup-compatibility/2006">
          <mc:Choice Requires="x14">
            <control shapeId="16393" r:id="rId11" name="Option Button 9">
              <controlPr defaultSize="0" autoFill="0" autoLine="0" autoPict="0">
                <anchor moveWithCells="1">
                  <from>
                    <xdr:col>5</xdr:col>
                    <xdr:colOff>552450</xdr:colOff>
                    <xdr:row>3</xdr:row>
                    <xdr:rowOff>0</xdr:rowOff>
                  </from>
                  <to>
                    <xdr:col>6</xdr:col>
                    <xdr:colOff>361950</xdr:colOff>
                    <xdr:row>4</xdr:row>
                    <xdr:rowOff>57150</xdr:rowOff>
                  </to>
                </anchor>
              </controlPr>
            </control>
          </mc:Choice>
        </mc:AlternateContent>
        <mc:AlternateContent xmlns:mc="http://schemas.openxmlformats.org/markup-compatibility/2006">
          <mc:Choice Requires="x14">
            <control shapeId="16394" r:id="rId12" name="Option Button 10">
              <controlPr defaultSize="0" autoFill="0" autoLine="0" autoPict="0">
                <anchor moveWithCells="1">
                  <from>
                    <xdr:col>6</xdr:col>
                    <xdr:colOff>638175</xdr:colOff>
                    <xdr:row>2</xdr:row>
                    <xdr:rowOff>152400</xdr:rowOff>
                  </from>
                  <to>
                    <xdr:col>7</xdr:col>
                    <xdr:colOff>485775</xdr:colOff>
                    <xdr:row>4</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4E3A4DC6-A725-47CF-9D19-BB327F40E9AA}">
            <x14:dataBar minLength="0" maxLength="100" border="1" negativeBarBorderColorSameAsPositive="0">
              <x14:cfvo type="autoMin"/>
              <x14:cfvo type="autoMax"/>
              <x14:borderColor rgb="FF638EC6"/>
              <x14:negativeFillColor rgb="FFFF0000"/>
              <x14:negativeBorderColor rgb="FFFF0000"/>
              <x14:axisColor rgb="FF000000"/>
            </x14:dataBar>
          </x14:cfRule>
          <x14:cfRule type="dataBar" id="{D914B9DC-299D-44FF-A203-01BF9B054035}">
            <x14:dataBar minLength="0" maxLength="100" gradient="0">
              <x14:cfvo type="autoMin"/>
              <x14:cfvo type="num">
                <xm:f>100</xm:f>
              </x14:cfvo>
              <x14:negativeFillColor rgb="FFFF0000"/>
              <x14:axisColor rgb="FF000000"/>
            </x14:dataBar>
          </x14:cfRule>
          <xm:sqref>D38:D40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3"/>
  <sheetViews>
    <sheetView showGridLines="0" workbookViewId="0">
      <selection activeCell="C4" sqref="C4"/>
    </sheetView>
  </sheetViews>
  <sheetFormatPr defaultRowHeight="15"/>
  <cols>
    <col min="2" max="2" width="16" bestFit="1" customWidth="1"/>
    <col min="3" max="3" width="11.5" bestFit="1" customWidth="1"/>
  </cols>
  <sheetData>
    <row r="2" spans="2:7">
      <c r="B2" s="48"/>
      <c r="C2" s="49" t="s">
        <v>103</v>
      </c>
      <c r="D2" s="49" t="s">
        <v>102</v>
      </c>
      <c r="E2" s="49" t="s">
        <v>101</v>
      </c>
      <c r="F2" s="49" t="s">
        <v>100</v>
      </c>
      <c r="G2" s="49" t="s">
        <v>99</v>
      </c>
    </row>
    <row r="3" spans="2:7">
      <c r="B3" s="50" t="s">
        <v>105</v>
      </c>
      <c r="C3" s="51">
        <f>SUM('Polished Data'!H35:H35)/SUM('Polished Data'!H26:H26)</f>
        <v>3.7541790723715725E-2</v>
      </c>
      <c r="D3" s="51">
        <f>SUM('Polished Data'!I35:I35)/SUM('Polished Data'!I26:I26)</f>
        <v>4.164730059175599E-2</v>
      </c>
      <c r="E3" s="51">
        <f>SUM('Polished Data'!J35:J35)/SUM('Polished Data'!J26:J26)</f>
        <v>5.8634395526517398E-2</v>
      </c>
      <c r="F3" s="51">
        <f>SUM('Polished Data'!K35:K35)/SUM('Polished Data'!K26:K26)</f>
        <v>8.673507070104608E-2</v>
      </c>
      <c r="G3" s="51">
        <f>SUM('Polished Data'!L35:L35)/SUM('Polished Data'!L26:L26)</f>
        <v>9.4250053473244472E-2</v>
      </c>
    </row>
    <row r="4" spans="2:7">
      <c r="B4" s="50" t="s">
        <v>63</v>
      </c>
      <c r="C4" s="52">
        <f>'Polished Data'!H25/'Polished Data'!H60</f>
        <v>2.9673706677987286</v>
      </c>
      <c r="D4" s="52">
        <f>'Polished Data'!I25/'Polished Data'!I60</f>
        <v>3.3217122372952836</v>
      </c>
      <c r="E4" s="52">
        <f>'Polished Data'!J25/'Polished Data'!J60</f>
        <v>3.3797901423387033</v>
      </c>
      <c r="F4" s="52">
        <f>'Polished Data'!K25/'Polished Data'!K60</f>
        <v>2.9893809372319562</v>
      </c>
      <c r="G4" s="52">
        <f>'Polished Data'!L25/'Polished Data'!L60</f>
        <v>2.598772011420746</v>
      </c>
    </row>
    <row r="5" spans="2:7">
      <c r="B5" s="50" t="s">
        <v>106</v>
      </c>
      <c r="C5" s="52">
        <f>'Polished Data'!H60/SUM('Polished Data'!H40:H41)</f>
        <v>3.2613260518421661</v>
      </c>
      <c r="D5" s="52">
        <f>'Polished Data'!I60/SUM('Polished Data'!I40:I41)</f>
        <v>2.6624456123387863</v>
      </c>
      <c r="E5" s="52">
        <f>'Polished Data'!J60/SUM('Polished Data'!J40:J41)</f>
        <v>2.1877375428451513</v>
      </c>
      <c r="F5" s="52">
        <f>'Polished Data'!K60/SUM('Polished Data'!K40:K41)</f>
        <v>2.0039461260984996</v>
      </c>
      <c r="G5" s="52">
        <f>'Polished Data'!L60/SUM('Polished Data'!L40:L41)</f>
        <v>1.818017404375756</v>
      </c>
    </row>
    <row r="6" spans="2:7">
      <c r="B6" s="53" t="s">
        <v>42</v>
      </c>
      <c r="C6" s="54">
        <f t="shared" ref="C6" si="0">C3*C4*C5</f>
        <v>0.36331305478628295</v>
      </c>
      <c r="D6" s="54">
        <f>D3*D4*D5</f>
        <v>0.36832365261111383</v>
      </c>
      <c r="E6" s="54">
        <f>E3*E4*E5</f>
        <v>0.43354821933480298</v>
      </c>
      <c r="F6" s="54">
        <f>F3*F4*F5</f>
        <v>0.51959150190444847</v>
      </c>
      <c r="G6" s="54">
        <f>G3*G4*G5</f>
        <v>0.44529500402320998</v>
      </c>
    </row>
    <row r="8" spans="2:7">
      <c r="B8" s="47" t="s">
        <v>108</v>
      </c>
    </row>
    <row r="9" spans="2:7">
      <c r="B9" s="46"/>
    </row>
    <row r="10" spans="2:7">
      <c r="B10" s="46" t="s">
        <v>111</v>
      </c>
    </row>
    <row r="11" spans="2:7">
      <c r="B11" s="46" t="s">
        <v>110</v>
      </c>
    </row>
    <row r="12" spans="2:7">
      <c r="B12" s="46" t="s">
        <v>109</v>
      </c>
    </row>
    <row r="16" spans="2:7">
      <c r="B16" s="77"/>
    </row>
    <row r="20" spans="3:6">
      <c r="C20" s="266" t="s">
        <v>130</v>
      </c>
      <c r="D20" s="260">
        <f>'Polished Data'!L35-'Polished Data'!H35</f>
        <v>562.35000000000014</v>
      </c>
      <c r="F20" s="264">
        <f>D20/D22</f>
        <v>0.47541149915037173</v>
      </c>
    </row>
    <row r="21" spans="3:6" ht="15.75" thickBot="1">
      <c r="C21" s="267"/>
      <c r="D21" s="260"/>
      <c r="E21" s="263" t="s">
        <v>129</v>
      </c>
      <c r="F21" s="265"/>
    </row>
    <row r="22" spans="3:6" ht="15.75" thickTop="1">
      <c r="C22" s="268" t="s">
        <v>131</v>
      </c>
      <c r="D22" s="261">
        <f>'Polished Data'!L41-'Polished Data'!H41</f>
        <v>1182.8699999999999</v>
      </c>
      <c r="E22" s="263"/>
    </row>
    <row r="23" spans="3:6">
      <c r="C23" s="268"/>
      <c r="D23" s="262"/>
    </row>
  </sheetData>
  <mergeCells count="6">
    <mergeCell ref="D20:D21"/>
    <mergeCell ref="D22:D23"/>
    <mergeCell ref="E21:E22"/>
    <mergeCell ref="F20:F21"/>
    <mergeCell ref="C20:C21"/>
    <mergeCell ref="C22:C23"/>
  </mergeCells>
  <pageMargins left="0.7" right="0.7" top="0.75" bottom="0.75" header="0.3" footer="0.3"/>
  <pageSetup scale="77"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workbookViewId="0">
      <selection activeCell="E22" sqref="E22"/>
    </sheetView>
  </sheetViews>
  <sheetFormatPr defaultColWidth="9.125" defaultRowHeight="14.25"/>
  <cols>
    <col min="1" max="1" width="6" style="29" customWidth="1"/>
    <col min="2" max="2" width="56.375" style="29" customWidth="1"/>
    <col min="3" max="7" width="11.625" style="29" bestFit="1" customWidth="1"/>
    <col min="8" max="16384" width="9.125" style="29"/>
  </cols>
  <sheetData>
    <row r="1" spans="2:12">
      <c r="B1" s="269"/>
      <c r="C1" s="270"/>
      <c r="D1" s="270"/>
      <c r="E1" s="270"/>
      <c r="F1" s="270"/>
      <c r="G1" s="270"/>
    </row>
    <row r="2" spans="2:12" ht="15">
      <c r="B2" s="271" t="s">
        <v>97</v>
      </c>
      <c r="C2" s="271"/>
      <c r="D2" s="271"/>
      <c r="E2" s="271"/>
      <c r="F2" s="271"/>
      <c r="G2" s="271"/>
    </row>
    <row r="3" spans="2:12">
      <c r="B3" s="30" t="s">
        <v>92</v>
      </c>
      <c r="C3" s="31" t="s">
        <v>99</v>
      </c>
      <c r="D3" s="31" t="s">
        <v>100</v>
      </c>
      <c r="E3" s="31" t="s">
        <v>101</v>
      </c>
      <c r="F3" s="31" t="s">
        <v>102</v>
      </c>
      <c r="G3" s="31" t="s">
        <v>103</v>
      </c>
    </row>
    <row r="4" spans="2:12">
      <c r="B4" s="22" t="s">
        <v>58</v>
      </c>
      <c r="C4" s="182">
        <f>SUM('Polished Data'!L35:L35)/SUM('Polished Data'!L60:L60)</f>
        <v>0.24194475666317833</v>
      </c>
      <c r="D4" s="182">
        <f>SUM('Polished Data'!K35:K35)/SUM('Polished Data'!K60:K60)</f>
        <v>0.2506412915228709</v>
      </c>
      <c r="E4" s="182">
        <f>SUM('Polished Data'!J35:J35)/SUM('Polished Data'!J60:J60)</f>
        <v>0.19708394839356072</v>
      </c>
      <c r="F4" s="182">
        <f>SUM('Polished Data'!I35:I35)/SUM('Polished Data'!I60:I60)</f>
        <v>0.13698718399287729</v>
      </c>
      <c r="G4" s="182">
        <f>SUM('Polished Data'!H35:H35)/SUM('Polished Data'!H60:H60)</f>
        <v>0.11010483366941398</v>
      </c>
    </row>
    <row r="5" spans="2:12">
      <c r="B5" s="22" t="s">
        <v>342</v>
      </c>
      <c r="C5" s="23">
        <f>'Polished Data'!L45/'Polished Data'!L60</f>
        <v>2.196297301138199E-4</v>
      </c>
      <c r="D5" s="23">
        <f>'Polished Data'!K45/'Polished Data'!K60</f>
        <v>3.9061398881313749E-4</v>
      </c>
      <c r="E5" s="23">
        <f>'Polished Data'!J45/'Polished Data'!J60</f>
        <v>2.3980687552957352E-4</v>
      </c>
      <c r="F5" s="23">
        <f>'Polished Data'!I45/'Polished Data'!I60</f>
        <v>0.12621541201002787</v>
      </c>
      <c r="G5" s="23">
        <f>'Polished Data'!H45/'Polished Data'!H60</f>
        <v>0.25618801665074703</v>
      </c>
    </row>
    <row r="6" spans="2:12">
      <c r="B6" s="22" t="s">
        <v>59</v>
      </c>
      <c r="C6" s="23">
        <f>SUM('Polished Data'!L9:L9)/SUM('Polished Data'!L10:L10)</f>
        <v>1.0681762686545726</v>
      </c>
      <c r="D6" s="23">
        <f>SUM('Polished Data'!K9:K9)/SUM('Polished Data'!K10:K10)</f>
        <v>1.0039899928405371</v>
      </c>
      <c r="E6" s="23">
        <f>SUM('Polished Data'!J9:J9)/SUM('Polished Data'!J10:J10)</f>
        <v>0.8451567287296724</v>
      </c>
      <c r="F6" s="23">
        <f>SUM('Polished Data'!I9:I9)/SUM('Polished Data'!I10:I10)</f>
        <v>0.99646103018118115</v>
      </c>
      <c r="G6" s="23">
        <f>SUM('Polished Data'!H9:H9)/SUM('Polished Data'!H10:H10)</f>
        <v>1.0900631170092248</v>
      </c>
    </row>
    <row r="7" spans="2:12">
      <c r="B7" s="22" t="s">
        <v>60</v>
      </c>
      <c r="C7" s="25">
        <f>'Polished Data'!L29/'Polished Data'!L26</f>
        <v>0.1534619207589426</v>
      </c>
      <c r="D7" s="25">
        <f>'Polished Data'!K29/'Polished Data'!K26</f>
        <v>0.139505489834852</v>
      </c>
      <c r="E7" s="25">
        <f>'Polished Data'!J29/'Polished Data'!J26</f>
        <v>9.6940255795186378E-2</v>
      </c>
      <c r="F7" s="25">
        <f>'Polished Data'!I29/'Polished Data'!I26</f>
        <v>7.6039668844570973E-2</v>
      </c>
      <c r="G7" s="25">
        <f>'Polished Data'!H29/'Polished Data'!H26</f>
        <v>6.7902512770923407E-2</v>
      </c>
    </row>
    <row r="8" spans="2:12">
      <c r="B8" s="22" t="s">
        <v>243</v>
      </c>
      <c r="C8" s="22">
        <f>'Polished Data'!L35</f>
        <v>749.08999999999969</v>
      </c>
      <c r="D8" s="22">
        <f>'Polished Data'!K35</f>
        <v>622.40999999999963</v>
      </c>
      <c r="E8" s="22">
        <f>'Polished Data'!J35</f>
        <v>369.83000000000061</v>
      </c>
      <c r="F8" s="22">
        <f>'Polished Data'!I35</f>
        <v>233.86999999999983</v>
      </c>
      <c r="G8" s="22">
        <f>'Polished Data'!H35</f>
        <v>186.7399999999995</v>
      </c>
    </row>
    <row r="9" spans="2:12">
      <c r="B9" s="22" t="s">
        <v>62</v>
      </c>
      <c r="C9" s="22">
        <f>'Polished Data'!L62</f>
        <v>877.69</v>
      </c>
      <c r="D9" s="22">
        <f>'Polished Data'!K62</f>
        <v>515.33000000000004</v>
      </c>
      <c r="E9" s="22">
        <f>'Polished Data'!J62</f>
        <v>614.51</v>
      </c>
      <c r="F9" s="22">
        <f>'Polished Data'!I62</f>
        <v>272.01</v>
      </c>
      <c r="G9" s="22">
        <f>'Polished Data'!H62</f>
        <v>210.66</v>
      </c>
    </row>
    <row r="10" spans="2:12">
      <c r="B10" s="22" t="s">
        <v>30</v>
      </c>
      <c r="C10" s="27">
        <f>'Polished Data'!L40</f>
        <v>24</v>
      </c>
      <c r="D10" s="27">
        <f>'Polished Data'!K40</f>
        <v>23.99</v>
      </c>
      <c r="E10" s="27">
        <f>'Polished Data'!J40</f>
        <v>23.99</v>
      </c>
      <c r="F10" s="27">
        <f>'Polished Data'!I40</f>
        <v>23.91</v>
      </c>
      <c r="G10" s="27">
        <f>'Polished Data'!H40</f>
        <v>23.89</v>
      </c>
      <c r="L10" s="185"/>
    </row>
    <row r="11" spans="2:12">
      <c r="B11" s="22" t="s">
        <v>63</v>
      </c>
      <c r="C11" s="181">
        <f>'Polished Data'!L25/'Polished Data'!L49</f>
        <v>2.598772011420746</v>
      </c>
      <c r="D11" s="181">
        <f>'Polished Data'!K25/'Polished Data'!K49</f>
        <v>2.9893809372319562</v>
      </c>
      <c r="E11" s="181">
        <f>'Polished Data'!J25/'Polished Data'!J49</f>
        <v>3.3797901423387033</v>
      </c>
      <c r="F11" s="181">
        <f>'Polished Data'!I25/'Polished Data'!I49</f>
        <v>3.3217122372952836</v>
      </c>
      <c r="G11" s="181">
        <f>'Polished Data'!H25/'Polished Data'!H49</f>
        <v>2.9673706677987286</v>
      </c>
    </row>
    <row r="12" spans="2:12">
      <c r="B12" s="22"/>
      <c r="C12" s="33"/>
      <c r="D12" s="28"/>
      <c r="E12" s="28"/>
      <c r="F12" s="28"/>
      <c r="G12" s="28"/>
      <c r="H12" s="32" t="s">
        <v>78</v>
      </c>
      <c r="I12" s="32">
        <v>0</v>
      </c>
      <c r="J12" s="32" t="s">
        <v>73</v>
      </c>
      <c r="K12" s="34">
        <f>(C23/9)*100</f>
        <v>66.666666666666657</v>
      </c>
    </row>
    <row r="13" spans="2:12">
      <c r="B13" s="22"/>
      <c r="C13" s="22"/>
      <c r="D13" s="28"/>
      <c r="E13" s="28"/>
      <c r="F13" s="28"/>
      <c r="G13" s="28"/>
      <c r="H13" s="32" t="s">
        <v>79</v>
      </c>
      <c r="I13" s="32">
        <v>30</v>
      </c>
      <c r="J13" s="32" t="s">
        <v>83</v>
      </c>
      <c r="K13" s="32">
        <v>1</v>
      </c>
    </row>
    <row r="14" spans="2:12">
      <c r="B14" s="24" t="s">
        <v>339</v>
      </c>
      <c r="C14" s="35">
        <f>--(C8&gt;0)</f>
        <v>1</v>
      </c>
      <c r="D14" s="36"/>
      <c r="E14" s="36"/>
      <c r="F14" s="36"/>
      <c r="G14" s="36"/>
      <c r="H14" s="32" t="s">
        <v>80</v>
      </c>
      <c r="I14" s="32">
        <v>40</v>
      </c>
      <c r="J14" s="32" t="s">
        <v>81</v>
      </c>
      <c r="K14" s="32">
        <f>SUM(I12:I16) - SUM(K12:K13)</f>
        <v>132.33333333333334</v>
      </c>
    </row>
    <row r="15" spans="2:12">
      <c r="B15" s="24" t="s">
        <v>132</v>
      </c>
      <c r="C15" s="35">
        <f>--(C9&gt;0)</f>
        <v>1</v>
      </c>
      <c r="D15" s="36"/>
      <c r="E15" s="36"/>
      <c r="F15" s="36"/>
      <c r="G15" s="36"/>
      <c r="H15" s="32" t="s">
        <v>81</v>
      </c>
      <c r="I15" s="32">
        <v>30</v>
      </c>
      <c r="J15" s="32"/>
      <c r="K15" s="32"/>
    </row>
    <row r="16" spans="2:12">
      <c r="B16" s="24" t="s">
        <v>133</v>
      </c>
      <c r="C16" s="37">
        <f>--(C4&gt;D4)</f>
        <v>0</v>
      </c>
      <c r="D16" s="38"/>
      <c r="E16" s="38"/>
      <c r="F16" s="38"/>
      <c r="G16" s="28"/>
      <c r="H16" s="32" t="s">
        <v>82</v>
      </c>
      <c r="I16" s="32">
        <v>100</v>
      </c>
      <c r="J16" s="32"/>
      <c r="K16" s="32"/>
    </row>
    <row r="17" spans="2:7">
      <c r="B17" s="24" t="s">
        <v>340</v>
      </c>
      <c r="C17" s="37">
        <f>--(C9&gt;C8)</f>
        <v>1</v>
      </c>
      <c r="D17" s="38"/>
      <c r="E17" s="38"/>
      <c r="F17" s="38"/>
      <c r="G17" s="28"/>
    </row>
    <row r="18" spans="2:7">
      <c r="B18" s="24" t="s">
        <v>343</v>
      </c>
      <c r="C18" s="37">
        <f>--(C5&lt;D5)</f>
        <v>1</v>
      </c>
      <c r="D18" s="38"/>
      <c r="E18" s="38"/>
      <c r="F18" s="38"/>
      <c r="G18" s="28"/>
    </row>
    <row r="19" spans="2:7">
      <c r="B19" s="24" t="s">
        <v>344</v>
      </c>
      <c r="C19" s="37">
        <f>--(C6&gt;D6)</f>
        <v>1</v>
      </c>
      <c r="D19" s="38"/>
      <c r="E19" s="38"/>
      <c r="F19" s="38"/>
      <c r="G19" s="28"/>
    </row>
    <row r="20" spans="2:7">
      <c r="B20" s="22" t="s">
        <v>134</v>
      </c>
      <c r="C20" s="37">
        <f>--(C10&lt;D10)</f>
        <v>0</v>
      </c>
      <c r="D20" s="38"/>
      <c r="E20" s="38"/>
      <c r="F20" s="38"/>
      <c r="G20" s="28"/>
    </row>
    <row r="21" spans="2:7">
      <c r="B21" s="22" t="s">
        <v>135</v>
      </c>
      <c r="C21" s="37">
        <f>--(C7&gt;D7)</f>
        <v>1</v>
      </c>
      <c r="D21" s="38"/>
      <c r="E21" s="38"/>
      <c r="F21" s="38"/>
      <c r="G21" s="28"/>
    </row>
    <row r="22" spans="2:7">
      <c r="B22" s="22" t="s">
        <v>136</v>
      </c>
      <c r="C22" s="37">
        <f>--(C11&gt;D11)</f>
        <v>0</v>
      </c>
      <c r="D22" s="38"/>
      <c r="E22" s="38"/>
      <c r="F22" s="38"/>
      <c r="G22" s="28"/>
    </row>
    <row r="23" spans="2:7" ht="15">
      <c r="B23" s="39" t="s">
        <v>57</v>
      </c>
      <c r="C23" s="40">
        <f>SUM(C14:C22)</f>
        <v>6</v>
      </c>
      <c r="D23" s="41"/>
      <c r="E23" s="41"/>
      <c r="F23" s="41"/>
      <c r="G23" s="28"/>
    </row>
  </sheetData>
  <mergeCells count="2">
    <mergeCell ref="B1:G1"/>
    <mergeCell ref="B2:G2"/>
  </mergeCells>
  <pageMargins left="0.70866141732283472" right="0.70866141732283472" top="0.74803149606299213" bottom="0.74803149606299213" header="0.31496062992125984" footer="0.31496062992125984"/>
  <pageSetup paperSize="9" orientation="landscape" r:id="rId1"/>
  <ignoredErrors>
    <ignoredError sqref="K12:K14"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
  <sheetViews>
    <sheetView showGridLines="0" workbookViewId="0">
      <selection activeCell="C10" sqref="C10"/>
    </sheetView>
  </sheetViews>
  <sheetFormatPr defaultColWidth="9.125" defaultRowHeight="14.25"/>
  <cols>
    <col min="1" max="1" width="9.125" style="29"/>
    <col min="2" max="2" width="36.125" style="29" bestFit="1" customWidth="1"/>
    <col min="3" max="4" width="9.125" style="29"/>
    <col min="5" max="5" width="40.375" style="29" bestFit="1" customWidth="1"/>
    <col min="6" max="6" width="9.125" style="29"/>
    <col min="7" max="7" width="9.125" style="29" customWidth="1"/>
    <col min="8" max="16384" width="9.125" style="29"/>
  </cols>
  <sheetData>
    <row r="1" spans="2:11">
      <c r="B1" s="269"/>
      <c r="C1" s="270"/>
      <c r="D1" s="270"/>
      <c r="E1" s="270"/>
      <c r="F1" s="270"/>
    </row>
    <row r="2" spans="2:11" ht="15">
      <c r="B2" s="271" t="s">
        <v>98</v>
      </c>
      <c r="C2" s="271"/>
      <c r="D2" s="271"/>
      <c r="E2" s="271"/>
      <c r="F2" s="271"/>
    </row>
    <row r="3" spans="2:11" ht="15">
      <c r="B3" s="272" t="s">
        <v>74</v>
      </c>
      <c r="C3" s="273"/>
      <c r="D3" s="273"/>
      <c r="E3" s="273"/>
      <c r="F3" s="274"/>
    </row>
    <row r="4" spans="2:11" ht="15">
      <c r="B4" s="22" t="s">
        <v>34</v>
      </c>
      <c r="C4" s="42" t="s">
        <v>99</v>
      </c>
      <c r="D4" s="22"/>
      <c r="E4" s="22" t="s">
        <v>68</v>
      </c>
      <c r="F4" s="23">
        <f>C5/C6</f>
        <v>3.0660956293683657E-2</v>
      </c>
      <c r="G4" s="32" t="s">
        <v>84</v>
      </c>
      <c r="H4" s="32"/>
      <c r="I4" s="32" t="s">
        <v>83</v>
      </c>
      <c r="J4" s="32"/>
      <c r="K4" s="32"/>
    </row>
    <row r="5" spans="2:11">
      <c r="B5" s="22" t="s">
        <v>64</v>
      </c>
      <c r="C5" s="22">
        <f>'Polished Data'!L52</f>
        <v>94.929999999999836</v>
      </c>
      <c r="D5" s="22"/>
      <c r="E5" s="22" t="s">
        <v>341</v>
      </c>
      <c r="F5" s="23">
        <f>C8/C6</f>
        <v>0.54229810214074392</v>
      </c>
      <c r="G5" s="32" t="s">
        <v>78</v>
      </c>
      <c r="H5" s="32">
        <v>0</v>
      </c>
      <c r="I5" s="32" t="s">
        <v>73</v>
      </c>
      <c r="J5" s="34">
        <f>(C14/6)*100</f>
        <v>100</v>
      </c>
      <c r="K5" s="32"/>
    </row>
    <row r="6" spans="2:11">
      <c r="B6" s="22" t="s">
        <v>17</v>
      </c>
      <c r="C6" s="22">
        <f>'Polished Data'!L60</f>
        <v>3096.12</v>
      </c>
      <c r="D6" s="22"/>
      <c r="E6" s="22" t="s">
        <v>69</v>
      </c>
      <c r="F6" s="23">
        <f>C9/C6</f>
        <v>0.39394467914680303</v>
      </c>
      <c r="G6" s="32" t="s">
        <v>79</v>
      </c>
      <c r="H6" s="32">
        <v>30</v>
      </c>
      <c r="I6" s="32" t="s">
        <v>83</v>
      </c>
      <c r="J6" s="32">
        <v>1</v>
      </c>
      <c r="K6" s="32"/>
    </row>
    <row r="7" spans="2:11">
      <c r="B7" s="22" t="s">
        <v>12</v>
      </c>
      <c r="C7" s="22">
        <f>'Polished Data'!L60</f>
        <v>3096.12</v>
      </c>
      <c r="D7" s="22"/>
      <c r="E7" s="22" t="s">
        <v>345</v>
      </c>
      <c r="F7" s="23">
        <f>'Polished Data'!B38/'Polished Data'!L60</f>
        <v>13.038341537149723</v>
      </c>
      <c r="G7" s="32" t="s">
        <v>80</v>
      </c>
      <c r="H7" s="32">
        <v>20</v>
      </c>
      <c r="I7" s="32" t="s">
        <v>81</v>
      </c>
      <c r="J7" s="32">
        <f>SUM(H5:H9) - SUM(J5:J6)</f>
        <v>99</v>
      </c>
      <c r="K7" s="32"/>
    </row>
    <row r="8" spans="2:11">
      <c r="B8" s="22" t="s">
        <v>274</v>
      </c>
      <c r="C8" s="22">
        <f>'Polished Data'!L41</f>
        <v>1679.02</v>
      </c>
      <c r="D8" s="22"/>
      <c r="E8" s="22" t="s">
        <v>70</v>
      </c>
      <c r="F8" s="23">
        <f>C11/C6</f>
        <v>2.5670516646641603</v>
      </c>
      <c r="G8" s="32" t="s">
        <v>81</v>
      </c>
      <c r="H8" s="32">
        <v>50</v>
      </c>
      <c r="I8" s="32"/>
      <c r="J8" s="32"/>
      <c r="K8" s="32"/>
    </row>
    <row r="9" spans="2:11">
      <c r="B9" s="22" t="s">
        <v>65</v>
      </c>
      <c r="C9" s="22">
        <f>'Polished Data'!L29</f>
        <v>1219.6999999999998</v>
      </c>
      <c r="D9" s="22"/>
      <c r="E9" s="22"/>
      <c r="F9" s="22"/>
      <c r="G9" s="32" t="s">
        <v>82</v>
      </c>
      <c r="H9" s="32">
        <v>100</v>
      </c>
      <c r="I9" s="32"/>
      <c r="J9" s="32"/>
      <c r="K9" s="32"/>
    </row>
    <row r="10" spans="2:11">
      <c r="B10" s="22" t="s">
        <v>66</v>
      </c>
      <c r="C10" s="23">
        <f>'Polished Data'!B38</f>
        <v>40368.269999999997</v>
      </c>
      <c r="D10" s="22"/>
      <c r="E10" s="22"/>
      <c r="F10" s="22"/>
      <c r="G10" s="32">
        <f>IF(SUM(C1:D1)&gt;=20,20,SUM(C1:D1))</f>
        <v>0</v>
      </c>
      <c r="H10" s="32"/>
      <c r="I10" s="32"/>
      <c r="J10" s="32"/>
      <c r="K10" s="32"/>
    </row>
    <row r="11" spans="2:11">
      <c r="B11" s="22" t="s">
        <v>18</v>
      </c>
      <c r="C11" s="22">
        <f>'Polished Data'!L26</f>
        <v>7947.9</v>
      </c>
      <c r="D11" s="22"/>
      <c r="E11" s="22"/>
      <c r="F11" s="22"/>
      <c r="G11" s="43"/>
      <c r="H11" s="43"/>
      <c r="I11" s="43"/>
      <c r="J11" s="43"/>
      <c r="K11" s="43"/>
    </row>
    <row r="12" spans="2:11">
      <c r="B12" s="22"/>
      <c r="C12" s="22"/>
      <c r="D12" s="22"/>
      <c r="E12" s="22"/>
      <c r="F12" s="22"/>
      <c r="G12" s="43"/>
      <c r="H12" s="43"/>
      <c r="I12" s="43"/>
      <c r="J12" s="43"/>
      <c r="K12" s="43"/>
    </row>
    <row r="13" spans="2:11">
      <c r="B13" s="22"/>
      <c r="C13" s="22"/>
      <c r="D13" s="22"/>
      <c r="E13" s="22"/>
      <c r="F13" s="22"/>
      <c r="G13" s="43"/>
      <c r="H13" s="43"/>
      <c r="I13" s="43"/>
      <c r="J13" s="43"/>
      <c r="K13" s="43"/>
    </row>
    <row r="14" spans="2:11">
      <c r="B14" s="26" t="s">
        <v>67</v>
      </c>
      <c r="C14" s="44">
        <f>IF((1.2*F4+1.4*F5+3.3*F6+0.6*F7+0.999*F8)&gt;=6,6,(1.2*F4+1.4*F5+3.3*F6+0.6*F7+0.999*F8))</f>
        <v>6</v>
      </c>
      <c r="D14" s="22"/>
      <c r="E14" s="22"/>
      <c r="F14" s="22"/>
      <c r="G14" s="43"/>
      <c r="H14" s="43"/>
      <c r="I14" s="43"/>
      <c r="J14" s="43"/>
      <c r="K14" s="43"/>
    </row>
    <row r="16" spans="2:11" ht="15">
      <c r="B16" s="45" t="s">
        <v>89</v>
      </c>
    </row>
    <row r="17" spans="2:3">
      <c r="B17" s="29" t="s">
        <v>87</v>
      </c>
      <c r="C17" s="29" t="s">
        <v>86</v>
      </c>
    </row>
    <row r="18" spans="2:3">
      <c r="B18" s="29" t="s">
        <v>90</v>
      </c>
      <c r="C18" s="29" t="s">
        <v>88</v>
      </c>
    </row>
    <row r="19" spans="2:3">
      <c r="B19" s="29" t="s">
        <v>91</v>
      </c>
      <c r="C19" s="29" t="s">
        <v>85</v>
      </c>
    </row>
  </sheetData>
  <mergeCells count="3">
    <mergeCell ref="B3:F3"/>
    <mergeCell ref="B1:F1"/>
    <mergeCell ref="B2:F2"/>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
  <sheetViews>
    <sheetView showGridLines="0" workbookViewId="0">
      <selection activeCell="D9" sqref="D9"/>
    </sheetView>
  </sheetViews>
  <sheetFormatPr defaultRowHeight="15"/>
  <cols>
    <col min="1" max="1" width="25.625" customWidth="1"/>
    <col min="2" max="2" width="5.625" bestFit="1" customWidth="1"/>
    <col min="3" max="3" width="24.625" bestFit="1" customWidth="1"/>
    <col min="4" max="4" width="5" bestFit="1" customWidth="1"/>
    <col min="5" max="24" width="5.125" bestFit="1" customWidth="1"/>
  </cols>
  <sheetData>
    <row r="1" spans="1:24">
      <c r="A1" s="280" t="s">
        <v>34</v>
      </c>
      <c r="B1" s="280"/>
      <c r="C1" s="56" t="s">
        <v>28</v>
      </c>
      <c r="D1" s="56">
        <v>0</v>
      </c>
      <c r="E1" s="56">
        <v>1</v>
      </c>
      <c r="F1" s="56">
        <v>2</v>
      </c>
      <c r="G1" s="56">
        <v>3</v>
      </c>
      <c r="H1" s="56">
        <v>4</v>
      </c>
      <c r="I1" s="56">
        <v>5</v>
      </c>
      <c r="J1" s="56">
        <v>6</v>
      </c>
      <c r="K1" s="56">
        <v>7</v>
      </c>
      <c r="L1" s="56">
        <v>8</v>
      </c>
      <c r="M1" s="56">
        <v>9</v>
      </c>
      <c r="N1" s="56">
        <v>10</v>
      </c>
      <c r="O1" s="56">
        <v>11</v>
      </c>
      <c r="P1" s="56">
        <v>12</v>
      </c>
      <c r="Q1" s="56">
        <v>13</v>
      </c>
      <c r="R1" s="56">
        <v>14</v>
      </c>
      <c r="S1" s="56">
        <v>15</v>
      </c>
      <c r="T1" s="56">
        <v>16</v>
      </c>
      <c r="U1" s="56">
        <v>17</v>
      </c>
      <c r="V1" s="56">
        <v>18</v>
      </c>
      <c r="W1" s="56">
        <v>19</v>
      </c>
      <c r="X1" s="56">
        <v>20</v>
      </c>
    </row>
    <row r="2" spans="1:24">
      <c r="A2" s="57" t="s">
        <v>118</v>
      </c>
      <c r="B2" s="66">
        <v>0.25</v>
      </c>
      <c r="C2" s="58" t="s">
        <v>112</v>
      </c>
      <c r="D2" s="58">
        <v>1</v>
      </c>
      <c r="E2" s="58">
        <f>D2+B2</f>
        <v>1.25</v>
      </c>
      <c r="F2" s="58">
        <f>E2</f>
        <v>1.25</v>
      </c>
      <c r="G2" s="58">
        <f t="shared" ref="G2:X2" si="0">F2</f>
        <v>1.25</v>
      </c>
      <c r="H2" s="58">
        <f t="shared" si="0"/>
        <v>1.25</v>
      </c>
      <c r="I2" s="58">
        <f t="shared" si="0"/>
        <v>1.25</v>
      </c>
      <c r="J2" s="58">
        <f t="shared" si="0"/>
        <v>1.25</v>
      </c>
      <c r="K2" s="58">
        <f t="shared" si="0"/>
        <v>1.25</v>
      </c>
      <c r="L2" s="58">
        <f t="shared" si="0"/>
        <v>1.25</v>
      </c>
      <c r="M2" s="58">
        <f t="shared" si="0"/>
        <v>1.25</v>
      </c>
      <c r="N2" s="58">
        <f t="shared" si="0"/>
        <v>1.25</v>
      </c>
      <c r="O2" s="58">
        <f t="shared" si="0"/>
        <v>1.25</v>
      </c>
      <c r="P2" s="58">
        <f t="shared" si="0"/>
        <v>1.25</v>
      </c>
      <c r="Q2" s="58">
        <f t="shared" si="0"/>
        <v>1.25</v>
      </c>
      <c r="R2" s="58">
        <f t="shared" si="0"/>
        <v>1.25</v>
      </c>
      <c r="S2" s="58">
        <f t="shared" si="0"/>
        <v>1.25</v>
      </c>
      <c r="T2" s="58">
        <f t="shared" si="0"/>
        <v>1.25</v>
      </c>
      <c r="U2" s="58">
        <f t="shared" si="0"/>
        <v>1.25</v>
      </c>
      <c r="V2" s="58">
        <f t="shared" si="0"/>
        <v>1.25</v>
      </c>
      <c r="W2" s="58">
        <f t="shared" si="0"/>
        <v>1.25</v>
      </c>
      <c r="X2" s="58">
        <f t="shared" si="0"/>
        <v>1.25</v>
      </c>
    </row>
    <row r="3" spans="1:24">
      <c r="A3" s="57" t="s">
        <v>119</v>
      </c>
      <c r="B3" s="68">
        <v>25</v>
      </c>
      <c r="C3" s="58" t="s">
        <v>32</v>
      </c>
      <c r="D3" s="59">
        <f>B3</f>
        <v>25</v>
      </c>
      <c r="E3" s="59">
        <f>D3*E2</f>
        <v>31.25</v>
      </c>
      <c r="F3" s="59">
        <f>E3*F2</f>
        <v>39.0625</v>
      </c>
      <c r="G3" s="59">
        <f t="shared" ref="G3:X3" si="1">F3*G2</f>
        <v>48.828125</v>
      </c>
      <c r="H3" s="59">
        <f t="shared" si="1"/>
        <v>61.03515625</v>
      </c>
      <c r="I3" s="59">
        <f t="shared" si="1"/>
        <v>76.2939453125</v>
      </c>
      <c r="J3" s="59">
        <f t="shared" si="1"/>
        <v>95.367431640625</v>
      </c>
      <c r="K3" s="59">
        <f t="shared" si="1"/>
        <v>119.20928955078125</v>
      </c>
      <c r="L3" s="59">
        <f t="shared" si="1"/>
        <v>149.01161193847656</v>
      </c>
      <c r="M3" s="59">
        <f t="shared" si="1"/>
        <v>186.2645149230957</v>
      </c>
      <c r="N3" s="59">
        <f t="shared" si="1"/>
        <v>232.83064365386963</v>
      </c>
      <c r="O3" s="59">
        <f t="shared" si="1"/>
        <v>291.03830456733704</v>
      </c>
      <c r="P3" s="59">
        <f t="shared" si="1"/>
        <v>363.7978807091713</v>
      </c>
      <c r="Q3" s="59">
        <f t="shared" si="1"/>
        <v>454.74735088646412</v>
      </c>
      <c r="R3" s="59">
        <f t="shared" si="1"/>
        <v>568.43418860808015</v>
      </c>
      <c r="S3" s="59">
        <f>R3*S2</f>
        <v>710.54273576010019</v>
      </c>
      <c r="T3" s="59">
        <f t="shared" si="1"/>
        <v>888.17841970012523</v>
      </c>
      <c r="U3" s="59">
        <f t="shared" si="1"/>
        <v>1110.2230246251565</v>
      </c>
      <c r="V3" s="59">
        <f t="shared" si="1"/>
        <v>1387.7787807814457</v>
      </c>
      <c r="W3" s="59">
        <f t="shared" si="1"/>
        <v>1734.7234759768071</v>
      </c>
      <c r="X3" s="59">
        <f t="shared" si="1"/>
        <v>2168.4043449710089</v>
      </c>
    </row>
    <row r="4" spans="1:24">
      <c r="A4" s="64" t="s">
        <v>36</v>
      </c>
      <c r="B4" s="65">
        <f>Dashboard!B5</f>
        <v>3482.85</v>
      </c>
      <c r="C4" s="58" t="s">
        <v>41</v>
      </c>
      <c r="D4" s="60">
        <f>1+B5</f>
        <v>1.0900000000000001</v>
      </c>
      <c r="E4" s="60">
        <f>D4</f>
        <v>1.0900000000000001</v>
      </c>
      <c r="F4" s="60">
        <f t="shared" ref="F4:X4" si="2">E4</f>
        <v>1.0900000000000001</v>
      </c>
      <c r="G4" s="60">
        <f t="shared" si="2"/>
        <v>1.0900000000000001</v>
      </c>
      <c r="H4" s="60">
        <f t="shared" si="2"/>
        <v>1.0900000000000001</v>
      </c>
      <c r="I4" s="60">
        <f t="shared" si="2"/>
        <v>1.0900000000000001</v>
      </c>
      <c r="J4" s="60">
        <f t="shared" si="2"/>
        <v>1.0900000000000001</v>
      </c>
      <c r="K4" s="60">
        <f t="shared" si="2"/>
        <v>1.0900000000000001</v>
      </c>
      <c r="L4" s="60">
        <f t="shared" si="2"/>
        <v>1.0900000000000001</v>
      </c>
      <c r="M4" s="60">
        <f t="shared" si="2"/>
        <v>1.0900000000000001</v>
      </c>
      <c r="N4" s="60">
        <f t="shared" si="2"/>
        <v>1.0900000000000001</v>
      </c>
      <c r="O4" s="60">
        <f t="shared" si="2"/>
        <v>1.0900000000000001</v>
      </c>
      <c r="P4" s="60">
        <f t="shared" si="2"/>
        <v>1.0900000000000001</v>
      </c>
      <c r="Q4" s="60">
        <f t="shared" si="2"/>
        <v>1.0900000000000001</v>
      </c>
      <c r="R4" s="60">
        <f t="shared" si="2"/>
        <v>1.0900000000000001</v>
      </c>
      <c r="S4" s="60">
        <f t="shared" si="2"/>
        <v>1.0900000000000001</v>
      </c>
      <c r="T4" s="60">
        <f t="shared" si="2"/>
        <v>1.0900000000000001</v>
      </c>
      <c r="U4" s="60">
        <f t="shared" si="2"/>
        <v>1.0900000000000001</v>
      </c>
      <c r="V4" s="60">
        <f t="shared" si="2"/>
        <v>1.0900000000000001</v>
      </c>
      <c r="W4" s="60">
        <f t="shared" si="2"/>
        <v>1.0900000000000001</v>
      </c>
      <c r="X4" s="60">
        <f t="shared" si="2"/>
        <v>1.0900000000000001</v>
      </c>
    </row>
    <row r="5" spans="1:24">
      <c r="A5" s="57" t="s">
        <v>41</v>
      </c>
      <c r="B5" s="66">
        <v>0.09</v>
      </c>
      <c r="C5" s="58" t="s">
        <v>113</v>
      </c>
      <c r="D5" s="59">
        <f>D3</f>
        <v>25</v>
      </c>
      <c r="E5" s="59">
        <f>E3/E4^E1</f>
        <v>28.669724770642201</v>
      </c>
      <c r="F5" s="59">
        <f t="shared" ref="F5:X5" si="3">F3/F4^F1</f>
        <v>32.878124736974996</v>
      </c>
      <c r="G5" s="59">
        <f t="shared" si="3"/>
        <v>37.70427148735665</v>
      </c>
      <c r="H5" s="59">
        <f t="shared" si="3"/>
        <v>43.238843448803493</v>
      </c>
      <c r="I5" s="59">
        <f t="shared" si="3"/>
        <v>49.585829643123269</v>
      </c>
      <c r="J5" s="59">
        <f t="shared" si="3"/>
        <v>56.864483535691818</v>
      </c>
      <c r="K5" s="59">
        <f t="shared" si="3"/>
        <v>65.211563687719973</v>
      </c>
      <c r="L5" s="59">
        <f t="shared" si="3"/>
        <v>74.783903311605471</v>
      </c>
      <c r="M5" s="59">
        <f t="shared" si="3"/>
        <v>85.761357008721859</v>
      </c>
      <c r="N5" s="59">
        <f t="shared" si="3"/>
        <v>98.350180055873679</v>
      </c>
      <c r="O5" s="59">
        <f t="shared" si="3"/>
        <v>112.7869037338001</v>
      </c>
      <c r="P5" s="59">
        <f t="shared" si="3"/>
        <v>129.34277951123866</v>
      </c>
      <c r="Q5" s="59">
        <f t="shared" si="3"/>
        <v>148.32887558628283</v>
      </c>
      <c r="R5" s="59">
        <f t="shared" si="3"/>
        <v>170.10192154390231</v>
      </c>
      <c r="S5" s="59">
        <f t="shared" si="3"/>
        <v>195.0710109448421</v>
      </c>
      <c r="T5" s="59">
        <f t="shared" si="3"/>
        <v>223.70528778078221</v>
      </c>
      <c r="U5" s="59">
        <f t="shared" si="3"/>
        <v>256.54276121649337</v>
      </c>
      <c r="V5" s="59">
        <f t="shared" si="3"/>
        <v>294.20041423909788</v>
      </c>
      <c r="W5" s="59">
        <f t="shared" si="3"/>
        <v>337.3857961457544</v>
      </c>
      <c r="X5" s="59">
        <f t="shared" si="3"/>
        <v>386.91031668091102</v>
      </c>
    </row>
    <row r="6" spans="1:24">
      <c r="A6" s="64" t="s">
        <v>114</v>
      </c>
      <c r="B6" s="65">
        <f>MIN(D9:X9)</f>
        <v>0</v>
      </c>
      <c r="C6" s="58" t="s">
        <v>115</v>
      </c>
      <c r="D6" s="59">
        <f>SUM($D$5:D5)</f>
        <v>25</v>
      </c>
      <c r="E6" s="59">
        <f>SUM($D$5:E5)</f>
        <v>53.669724770642205</v>
      </c>
      <c r="F6" s="59">
        <f>SUM($D$5:F5)</f>
        <v>86.547849507617201</v>
      </c>
      <c r="G6" s="59">
        <f>SUM($D$5:G5)</f>
        <v>124.25212099497385</v>
      </c>
      <c r="H6" s="59">
        <f>SUM($D$5:H5)</f>
        <v>167.49096444377733</v>
      </c>
      <c r="I6" s="59">
        <f>SUM($D$5:I5)</f>
        <v>217.07679408690061</v>
      </c>
      <c r="J6" s="59">
        <f>SUM($D$5:J5)</f>
        <v>273.94127762259245</v>
      </c>
      <c r="K6" s="59">
        <f>SUM($D$5:K5)</f>
        <v>339.1528413103124</v>
      </c>
      <c r="L6" s="59">
        <f>SUM($D$5:L5)</f>
        <v>413.93674462191785</v>
      </c>
      <c r="M6" s="59">
        <f>SUM($D$5:M5)</f>
        <v>499.69810163063971</v>
      </c>
      <c r="N6" s="59">
        <f>SUM($D$5:N5)</f>
        <v>598.04828168651341</v>
      </c>
      <c r="O6" s="59">
        <f>SUM($D$5:O5)</f>
        <v>710.83518542031356</v>
      </c>
      <c r="P6" s="59">
        <f>SUM($D$5:P5)</f>
        <v>840.1779649315522</v>
      </c>
      <c r="Q6" s="59">
        <f>SUM($D$5:Q5)</f>
        <v>988.50684051783503</v>
      </c>
      <c r="R6" s="59">
        <f>SUM($D$5:R5)</f>
        <v>1158.6087620617373</v>
      </c>
      <c r="S6" s="59">
        <f>SUM($D$5:S5)</f>
        <v>1353.6797730065794</v>
      </c>
      <c r="T6" s="59">
        <f>SUM($D$5:T5)</f>
        <v>1577.3850607873615</v>
      </c>
      <c r="U6" s="59">
        <f>SUM($D$5:U5)</f>
        <v>1833.9278220038548</v>
      </c>
      <c r="V6" s="59">
        <f>SUM($D$5:V5)</f>
        <v>2128.1282362429529</v>
      </c>
      <c r="W6" s="59">
        <f>SUM($D$5:W5)</f>
        <v>2465.5140323887072</v>
      </c>
      <c r="X6" s="59">
        <f>SUM($D$5:X5)</f>
        <v>2852.4243490696181</v>
      </c>
    </row>
    <row r="7" spans="1:24">
      <c r="A7" s="276"/>
      <c r="B7" s="277"/>
      <c r="C7" s="58" t="s">
        <v>116</v>
      </c>
      <c r="D7" s="59">
        <f>B3/B5</f>
        <v>277.77777777777777</v>
      </c>
      <c r="E7" s="59">
        <f>(B3/B5)/(1+B5)^E1</f>
        <v>254.84199796126398</v>
      </c>
      <c r="F7" s="59">
        <f>(B3/B5)/(1+B5)^F1</f>
        <v>233.79999812959997</v>
      </c>
      <c r="G7" s="59">
        <f>(B3/B5)/(1+B5)^G1</f>
        <v>214.49541112807336</v>
      </c>
      <c r="H7" s="59">
        <f>(B3/B5)/(1+B5)^H1</f>
        <v>196.78478085144346</v>
      </c>
      <c r="I7" s="59">
        <f>(B3/B5)/(1+B5)^I1</f>
        <v>180.53649619398479</v>
      </c>
      <c r="J7" s="59">
        <f>(B3/B5)/(1+B5)^J1</f>
        <v>165.62981302200438</v>
      </c>
      <c r="K7" s="59">
        <f>(B3/B5)/(1+B5)^K1</f>
        <v>151.95395690092147</v>
      </c>
      <c r="L7" s="59">
        <f>(B3/B5)/(1+B5)^L1</f>
        <v>139.40729990910225</v>
      </c>
      <c r="M7" s="59">
        <f>(B3/B5)/(1+B5)^M1</f>
        <v>127.89660542119471</v>
      </c>
      <c r="N7" s="59">
        <f>(B3/B5)/(1+B5)^N1</f>
        <v>117.33633524880247</v>
      </c>
      <c r="O7" s="59">
        <f>(B3/B5)/(1+B5)^O1</f>
        <v>107.64801398972705</v>
      </c>
      <c r="P7" s="59">
        <f>(B3/B5)/(1+B5)^P1</f>
        <v>98.759645862134903</v>
      </c>
      <c r="Q7" s="59">
        <f>(B3/B5)/(1+B5)^Q1</f>
        <v>90.605179690032003</v>
      </c>
      <c r="R7" s="59">
        <f>(B3/B5)/(1+B5)^R1</f>
        <v>83.12401806424954</v>
      </c>
      <c r="S7" s="59">
        <f>(B3/B5)/(1+B5)^S1</f>
        <v>76.260567031421601</v>
      </c>
      <c r="T7" s="59">
        <f>(B3/B5)/(1+B5)^T1</f>
        <v>69.963822964606962</v>
      </c>
      <c r="U7" s="59">
        <f>(B3/B5)/(1+B5)^U1</f>
        <v>64.186993545510987</v>
      </c>
      <c r="V7" s="59">
        <f>(B3/B5)/(1+B5)^V1</f>
        <v>58.887150041753188</v>
      </c>
      <c r="W7" s="59">
        <f>(B3/B5)/(1+B5)^W1</f>
        <v>54.024908295186407</v>
      </c>
      <c r="X7" s="59">
        <f>(B3/B5)/(1+B5)^X1</f>
        <v>49.564136050629735</v>
      </c>
    </row>
    <row r="8" spans="1:24">
      <c r="A8" s="278"/>
      <c r="B8" s="279"/>
      <c r="C8" s="58" t="s">
        <v>117</v>
      </c>
      <c r="D8" s="59">
        <f t="shared" ref="D8:X8" si="4">D7+D6</f>
        <v>302.77777777777777</v>
      </c>
      <c r="E8" s="59">
        <f t="shared" si="4"/>
        <v>308.51172273190616</v>
      </c>
      <c r="F8" s="59">
        <f t="shared" si="4"/>
        <v>320.34784763721717</v>
      </c>
      <c r="G8" s="59">
        <f t="shared" si="4"/>
        <v>338.74753212304722</v>
      </c>
      <c r="H8" s="59">
        <f t="shared" si="4"/>
        <v>364.27574529522076</v>
      </c>
      <c r="I8" s="59">
        <f t="shared" si="4"/>
        <v>397.61329028088539</v>
      </c>
      <c r="J8" s="59">
        <f t="shared" si="4"/>
        <v>439.57109064459684</v>
      </c>
      <c r="K8" s="59">
        <f t="shared" si="4"/>
        <v>491.10679821123387</v>
      </c>
      <c r="L8" s="59">
        <f t="shared" si="4"/>
        <v>553.34404453102013</v>
      </c>
      <c r="M8" s="59">
        <f t="shared" si="4"/>
        <v>627.59470705183446</v>
      </c>
      <c r="N8" s="59">
        <f t="shared" si="4"/>
        <v>715.38461693531588</v>
      </c>
      <c r="O8" s="59">
        <f t="shared" si="4"/>
        <v>818.48319941004058</v>
      </c>
      <c r="P8" s="59">
        <f t="shared" si="4"/>
        <v>938.9376107936871</v>
      </c>
      <c r="Q8" s="59">
        <f t="shared" si="4"/>
        <v>1079.1120202078671</v>
      </c>
      <c r="R8" s="59">
        <f t="shared" si="4"/>
        <v>1241.7327801259869</v>
      </c>
      <c r="S8" s="59">
        <f t="shared" si="4"/>
        <v>1429.9403400380011</v>
      </c>
      <c r="T8" s="59">
        <f t="shared" si="4"/>
        <v>1647.3488837519685</v>
      </c>
      <c r="U8" s="59">
        <f t="shared" si="4"/>
        <v>1898.1148155493659</v>
      </c>
      <c r="V8" s="59">
        <f t="shared" si="4"/>
        <v>2187.015386284706</v>
      </c>
      <c r="W8" s="59">
        <f t="shared" si="4"/>
        <v>2519.5389406838935</v>
      </c>
      <c r="X8" s="59">
        <f t="shared" si="4"/>
        <v>2901.9884851202478</v>
      </c>
    </row>
    <row r="9" spans="1:24" ht="15" customHeight="1">
      <c r="A9" s="62"/>
      <c r="B9" s="63"/>
      <c r="C9" s="61"/>
      <c r="D9" s="58" t="str">
        <f>IF(D8&gt;B4,1*D1,"No")</f>
        <v>No</v>
      </c>
      <c r="E9" s="58" t="str">
        <f>IF(E8&gt;B4,E1*1,"No")</f>
        <v>No</v>
      </c>
      <c r="F9" s="58" t="str">
        <f>IF(F8&gt;B4,F1*1,"No")</f>
        <v>No</v>
      </c>
      <c r="G9" s="58" t="str">
        <f>IF(G8&gt;B4,G1*1,"No")</f>
        <v>No</v>
      </c>
      <c r="H9" s="58" t="str">
        <f>IF(H8&gt;B4,H1*1,"No")</f>
        <v>No</v>
      </c>
      <c r="I9" s="58" t="str">
        <f>IF(I8&gt;B4,I1*1,"No")</f>
        <v>No</v>
      </c>
      <c r="J9" s="58" t="str">
        <f>IF(J8&gt;B4,J1*1,"No")</f>
        <v>No</v>
      </c>
      <c r="K9" s="58" t="str">
        <f>IF(K8&gt;B4,1*K1,"No")</f>
        <v>No</v>
      </c>
      <c r="L9" s="58" t="str">
        <f>IF(L8&gt;B4,L1*1,"No")</f>
        <v>No</v>
      </c>
      <c r="M9" s="58" t="str">
        <f>IF(M8&gt;B4,M1*1,"No")</f>
        <v>No</v>
      </c>
      <c r="N9" s="58" t="str">
        <f>IF(N8&gt;B4,N1*1,"No")</f>
        <v>No</v>
      </c>
      <c r="O9" s="58" t="str">
        <f>IF(O8&gt;B4,O1*1,"No")</f>
        <v>No</v>
      </c>
      <c r="P9" s="58" t="str">
        <f>IF(P8&gt;B4,P1*1,"No")</f>
        <v>No</v>
      </c>
      <c r="Q9" s="58" t="str">
        <f>IF(Q8&gt;B4,Q1*1,"No")</f>
        <v>No</v>
      </c>
      <c r="R9" s="58" t="str">
        <f>IF(R8&gt;B4,1*R1,"No")</f>
        <v>No</v>
      </c>
      <c r="S9" s="58" t="str">
        <f>IF(S8&gt;B4,S1*1,"No")</f>
        <v>No</v>
      </c>
      <c r="T9" s="58" t="str">
        <f>IF(T8&gt;B4,T1*1,"No")</f>
        <v>No</v>
      </c>
      <c r="U9" s="58" t="str">
        <f>IF(U8&gt;B4,U1*1,"No")</f>
        <v>No</v>
      </c>
      <c r="V9" s="58" t="str">
        <f>IF(V8&gt;B4,V1*1,"No")</f>
        <v>No</v>
      </c>
      <c r="W9" s="58" t="str">
        <f>IF(W8&gt;B4,W1*1,"No")</f>
        <v>No</v>
      </c>
      <c r="X9" s="58" t="str">
        <f>IF(X8&gt;B4,X1*1,"No")</f>
        <v>No</v>
      </c>
    </row>
    <row r="10" spans="1:24">
      <c r="C10" s="55"/>
    </row>
    <row r="11" spans="1:24">
      <c r="A11" s="275" t="s">
        <v>120</v>
      </c>
      <c r="B11" s="275"/>
      <c r="C11" s="275"/>
      <c r="D11" s="275"/>
      <c r="E11" s="275"/>
      <c r="F11" s="275"/>
    </row>
    <row r="12" spans="1:24">
      <c r="A12" s="67" t="s">
        <v>121</v>
      </c>
      <c r="B12" s="69" t="e">
        <f>(#REF!/Dashboard!B6)*10^7</f>
        <v>#REF!</v>
      </c>
      <c r="C12" s="71" t="s">
        <v>128</v>
      </c>
    </row>
    <row r="13" spans="1:24" ht="15.75" thickBot="1">
      <c r="A13" s="286" t="s">
        <v>126</v>
      </c>
      <c r="B13" s="286"/>
      <c r="C13" s="286"/>
    </row>
    <row r="14" spans="1:24">
      <c r="A14" s="281" t="s">
        <v>127</v>
      </c>
      <c r="B14" s="282"/>
      <c r="C14" s="282"/>
      <c r="D14" s="282"/>
      <c r="E14" s="282"/>
      <c r="F14" s="282"/>
      <c r="G14" s="282"/>
      <c r="H14" s="282"/>
      <c r="I14" s="282"/>
      <c r="J14" s="282"/>
      <c r="K14" s="282"/>
      <c r="L14" s="282"/>
      <c r="M14" s="282"/>
      <c r="N14" s="282"/>
      <c r="O14" s="282"/>
      <c r="P14" s="282"/>
      <c r="Q14" s="282"/>
      <c r="R14" s="282"/>
      <c r="S14" s="282"/>
      <c r="T14" s="282"/>
      <c r="U14" s="282"/>
      <c r="V14" s="282"/>
      <c r="W14" s="282"/>
      <c r="X14" s="283"/>
    </row>
    <row r="15" spans="1:24">
      <c r="A15" s="64" t="s">
        <v>61</v>
      </c>
      <c r="B15" s="76" t="e">
        <f>#REF!</f>
        <v>#REF!</v>
      </c>
      <c r="C15" s="72"/>
      <c r="D15" s="72"/>
      <c r="E15" s="72"/>
      <c r="F15" s="72"/>
      <c r="G15" s="72"/>
      <c r="H15" s="72"/>
      <c r="I15" s="72"/>
      <c r="J15" s="72"/>
      <c r="K15" s="72"/>
      <c r="L15" s="72"/>
      <c r="M15" s="72"/>
      <c r="N15" s="72"/>
      <c r="O15" s="72"/>
      <c r="P15" s="72"/>
      <c r="Q15" s="72"/>
      <c r="R15" s="72"/>
      <c r="S15" s="72"/>
      <c r="T15" s="72"/>
      <c r="U15" s="72"/>
      <c r="V15" s="72"/>
      <c r="W15" s="72"/>
      <c r="X15" s="73"/>
    </row>
    <row r="16" spans="1:24">
      <c r="A16" s="64" t="s">
        <v>124</v>
      </c>
      <c r="B16" s="76" t="e">
        <f>#REF!</f>
        <v>#REF!</v>
      </c>
      <c r="C16" s="72"/>
      <c r="D16" s="72"/>
      <c r="E16" s="72"/>
      <c r="F16" s="72"/>
      <c r="G16" s="72"/>
      <c r="H16" s="72"/>
      <c r="I16" s="72"/>
      <c r="J16" s="72"/>
      <c r="K16" s="72"/>
      <c r="L16" s="72"/>
      <c r="M16" s="72"/>
      <c r="N16" s="72"/>
      <c r="O16" s="72"/>
      <c r="P16" s="72"/>
      <c r="Q16" s="72"/>
      <c r="R16" s="72"/>
      <c r="S16" s="72"/>
      <c r="T16" s="72"/>
      <c r="U16" s="72"/>
      <c r="V16" s="72"/>
      <c r="W16" s="72"/>
      <c r="X16" s="73"/>
    </row>
    <row r="17" spans="1:24">
      <c r="A17" s="64" t="s">
        <v>125</v>
      </c>
      <c r="B17" s="76" t="e">
        <f>MAX(#REF!,#REF!)</f>
        <v>#REF!</v>
      </c>
      <c r="C17" s="284"/>
      <c r="D17" s="284"/>
      <c r="E17" s="284"/>
      <c r="F17" s="284"/>
      <c r="G17" s="284"/>
      <c r="H17" s="284"/>
      <c r="I17" s="284"/>
      <c r="J17" s="284"/>
      <c r="K17" s="284"/>
      <c r="L17" s="284"/>
      <c r="M17" s="284"/>
      <c r="N17" s="284"/>
      <c r="O17" s="284"/>
      <c r="P17" s="284"/>
      <c r="Q17" s="284"/>
      <c r="R17" s="284"/>
      <c r="S17" s="284"/>
      <c r="T17" s="284"/>
      <c r="U17" s="284"/>
      <c r="V17" s="284"/>
      <c r="W17" s="284"/>
      <c r="X17" s="285"/>
    </row>
    <row r="18" spans="1:24" ht="15.75" thickBot="1">
      <c r="A18" s="64" t="s">
        <v>123</v>
      </c>
      <c r="B18" s="76" t="e">
        <f>B15+B16+B17</f>
        <v>#REF!</v>
      </c>
      <c r="C18" s="74"/>
      <c r="D18" s="74"/>
      <c r="E18" s="74"/>
      <c r="F18" s="74"/>
      <c r="G18" s="74"/>
      <c r="H18" s="74"/>
      <c r="I18" s="74"/>
      <c r="J18" s="74"/>
      <c r="K18" s="74"/>
      <c r="L18" s="74"/>
      <c r="M18" s="74"/>
      <c r="N18" s="74"/>
      <c r="O18" s="74"/>
      <c r="P18" s="74"/>
      <c r="Q18" s="74"/>
      <c r="R18" s="74"/>
      <c r="S18" s="74"/>
      <c r="T18" s="74"/>
      <c r="U18" s="74"/>
      <c r="V18" s="74"/>
      <c r="W18" s="74"/>
      <c r="X18" s="75"/>
    </row>
  </sheetData>
  <mergeCells count="6">
    <mergeCell ref="A11:F11"/>
    <mergeCell ref="A7:B8"/>
    <mergeCell ref="A1:B1"/>
    <mergeCell ref="A14:X14"/>
    <mergeCell ref="C17:X17"/>
    <mergeCell ref="A13:C13"/>
  </mergeCells>
  <conditionalFormatting sqref="D8:X8">
    <cfRule type="cellIs" dxfId="1" priority="1" operator="greaterThan">
      <formula>$B$4</formula>
    </cfRule>
  </conditionalFormatting>
  <pageMargins left="0.7" right="0.7" top="0.75" bottom="0.75" header="0.3" footer="0.3"/>
  <pageSetup scale="55" fitToHeight="0" orientation="portrait" r:id="rId1"/>
  <ignoredErrors>
    <ignoredError sqref="F3:X3"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25"/>
  <sheetViews>
    <sheetView topLeftCell="A61" workbookViewId="0">
      <selection activeCell="I74" sqref="I74"/>
    </sheetView>
  </sheetViews>
  <sheetFormatPr defaultRowHeight="15"/>
  <cols>
    <col min="1" max="1" width="30" bestFit="1" customWidth="1"/>
  </cols>
  <sheetData>
    <row r="1" spans="1:12">
      <c r="A1" s="138" t="str">
        <f>Qualitative!D2</f>
        <v>Britannia</v>
      </c>
      <c r="B1" s="139"/>
      <c r="C1" s="139"/>
      <c r="D1" s="139"/>
      <c r="E1" s="139"/>
      <c r="F1" s="139"/>
      <c r="G1" s="139"/>
      <c r="H1" s="139"/>
      <c r="I1" s="139"/>
      <c r="J1" s="139"/>
      <c r="K1" s="139"/>
      <c r="L1" s="139"/>
    </row>
    <row r="2" spans="1:12">
      <c r="A2" s="138"/>
      <c r="B2" s="139"/>
      <c r="C2" s="139"/>
      <c r="D2" s="139"/>
      <c r="E2" s="139"/>
      <c r="F2" s="139"/>
      <c r="G2" s="139"/>
      <c r="H2" s="139"/>
      <c r="I2" s="139"/>
      <c r="J2" s="139"/>
      <c r="K2" s="139"/>
      <c r="L2" s="139"/>
    </row>
    <row r="3" spans="1:12">
      <c r="A3" s="288" t="s">
        <v>252</v>
      </c>
      <c r="B3" s="288"/>
      <c r="C3" s="288"/>
      <c r="D3" s="288"/>
      <c r="E3" s="288"/>
      <c r="F3" s="288"/>
      <c r="G3" s="288"/>
      <c r="H3" s="288"/>
      <c r="I3" s="288"/>
      <c r="J3" s="288"/>
      <c r="K3" s="140"/>
      <c r="L3" s="141"/>
    </row>
    <row r="4" spans="1:12">
      <c r="A4" s="142" t="str">
        <f>Quantitative!A1</f>
        <v>COMPANY NAME</v>
      </c>
      <c r="B4" s="197"/>
      <c r="C4" s="197">
        <f>Quantitative!B$16</f>
        <v>39172</v>
      </c>
      <c r="D4" s="197">
        <f>Quantitative!C$16</f>
        <v>39538</v>
      </c>
      <c r="E4" s="197">
        <f>Quantitative!D$16</f>
        <v>39903</v>
      </c>
      <c r="F4" s="197">
        <f>Quantitative!E$16</f>
        <v>40268</v>
      </c>
      <c r="G4" s="197">
        <f>Quantitative!F$16</f>
        <v>40633</v>
      </c>
      <c r="H4" s="197">
        <f>Quantitative!G$16</f>
        <v>40999</v>
      </c>
      <c r="I4" s="197">
        <f>Quantitative!H$16</f>
        <v>41364</v>
      </c>
      <c r="J4" s="197">
        <f>Quantitative!I$16</f>
        <v>41729</v>
      </c>
      <c r="K4" s="197">
        <f>Quantitative!J$16</f>
        <v>42094</v>
      </c>
      <c r="L4" s="197">
        <f>Quantitative!K$16</f>
        <v>42460</v>
      </c>
    </row>
    <row r="5" spans="1:12">
      <c r="A5" s="143" t="s">
        <v>253</v>
      </c>
      <c r="B5" s="144"/>
      <c r="C5" s="144"/>
      <c r="D5" s="144"/>
      <c r="E5" s="144"/>
      <c r="F5" s="144"/>
      <c r="G5" s="144"/>
      <c r="H5" s="144"/>
      <c r="I5" s="144"/>
      <c r="J5" s="144"/>
      <c r="K5" s="144"/>
      <c r="L5" s="141"/>
    </row>
    <row r="6" spans="1:12">
      <c r="A6" s="145" t="s">
        <v>254</v>
      </c>
      <c r="B6" s="146"/>
      <c r="C6" s="146">
        <f>'Polished Data'!C54</f>
        <v>214.94</v>
      </c>
      <c r="D6" s="146">
        <f>'Polished Data'!D54</f>
        <v>301.52999999999997</v>
      </c>
      <c r="E6" s="146">
        <f>'Polished Data'!E54</f>
        <v>253.63</v>
      </c>
      <c r="F6" s="146">
        <f>'Polished Data'!F54</f>
        <v>268.33999999999997</v>
      </c>
      <c r="G6" s="146">
        <f>'Polished Data'!G54</f>
        <v>311.2</v>
      </c>
      <c r="H6" s="146">
        <f>'Polished Data'!H54</f>
        <v>382.28</v>
      </c>
      <c r="I6" s="146">
        <f>'Polished Data'!I54</f>
        <v>331.49</v>
      </c>
      <c r="J6" s="146">
        <f>'Polished Data'!J54</f>
        <v>366.86</v>
      </c>
      <c r="K6" s="146">
        <f>'Polished Data'!K54</f>
        <v>345.74</v>
      </c>
      <c r="L6" s="146">
        <f>'Polished Data'!L54</f>
        <v>384.01</v>
      </c>
    </row>
    <row r="7" spans="1:12">
      <c r="A7" s="145" t="s">
        <v>255</v>
      </c>
      <c r="B7" s="146"/>
      <c r="C7" s="146">
        <f t="shared" ref="C7:L7" si="0">C53</f>
        <v>28.61</v>
      </c>
      <c r="D7" s="146">
        <f t="shared" si="0"/>
        <v>46.32</v>
      </c>
      <c r="E7" s="146">
        <f t="shared" si="0"/>
        <v>49.61</v>
      </c>
      <c r="F7" s="146">
        <f t="shared" si="0"/>
        <v>39.49</v>
      </c>
      <c r="G7" s="146">
        <f t="shared" si="0"/>
        <v>57.26</v>
      </c>
      <c r="H7" s="146">
        <f t="shared" si="0"/>
        <v>52.14</v>
      </c>
      <c r="I7" s="146">
        <f t="shared" si="0"/>
        <v>77.12</v>
      </c>
      <c r="J7" s="146">
        <f t="shared" si="0"/>
        <v>53.69</v>
      </c>
      <c r="K7" s="146">
        <f t="shared" si="0"/>
        <v>70.98</v>
      </c>
      <c r="L7" s="146">
        <f t="shared" si="0"/>
        <v>106.7</v>
      </c>
    </row>
    <row r="8" spans="1:12">
      <c r="A8" s="145" t="s">
        <v>256</v>
      </c>
      <c r="B8" s="146"/>
      <c r="C8" s="146">
        <f t="shared" ref="C8:L8" si="1">C55</f>
        <v>48.65</v>
      </c>
      <c r="D8" s="146">
        <f t="shared" si="1"/>
        <v>43.77</v>
      </c>
      <c r="E8" s="146">
        <f t="shared" si="1"/>
        <v>40.799999999999997</v>
      </c>
      <c r="F8" s="146">
        <f t="shared" si="1"/>
        <v>23.36</v>
      </c>
      <c r="G8" s="146">
        <f t="shared" si="1"/>
        <v>28.75</v>
      </c>
      <c r="H8" s="146">
        <f t="shared" si="1"/>
        <v>30.94</v>
      </c>
      <c r="I8" s="146">
        <f t="shared" si="1"/>
        <v>64.48</v>
      </c>
      <c r="J8" s="146">
        <f t="shared" si="1"/>
        <v>65.78</v>
      </c>
      <c r="K8" s="146">
        <f t="shared" si="1"/>
        <v>186.67</v>
      </c>
      <c r="L8" s="146">
        <f t="shared" si="1"/>
        <v>24.8</v>
      </c>
    </row>
    <row r="9" spans="1:12">
      <c r="A9" s="145" t="s">
        <v>27</v>
      </c>
      <c r="B9" s="146"/>
      <c r="C9" s="146">
        <f t="shared" ref="C9:L10" si="2">C47</f>
        <v>426.32</v>
      </c>
      <c r="D9" s="146">
        <f t="shared" si="2"/>
        <v>600.71</v>
      </c>
      <c r="E9" s="146">
        <f t="shared" si="2"/>
        <v>580.29</v>
      </c>
      <c r="F9" s="146">
        <f t="shared" si="2"/>
        <v>570.07000000000005</v>
      </c>
      <c r="G9" s="146">
        <f t="shared" si="2"/>
        <v>644.96</v>
      </c>
      <c r="H9" s="146">
        <f t="shared" si="2"/>
        <v>808.26</v>
      </c>
      <c r="I9" s="146">
        <f t="shared" si="2"/>
        <v>847.52</v>
      </c>
      <c r="J9" s="146">
        <f t="shared" si="2"/>
        <v>860.64</v>
      </c>
      <c r="K9" s="146">
        <f t="shared" si="2"/>
        <v>1248.07</v>
      </c>
      <c r="L9" s="146">
        <f t="shared" si="2"/>
        <v>1487.35</v>
      </c>
    </row>
    <row r="10" spans="1:12">
      <c r="A10" s="145" t="s">
        <v>16</v>
      </c>
      <c r="B10" s="146"/>
      <c r="C10" s="146">
        <f t="shared" si="2"/>
        <v>341.16</v>
      </c>
      <c r="D10" s="146">
        <f t="shared" si="2"/>
        <v>370.31</v>
      </c>
      <c r="E10" s="146">
        <f t="shared" si="2"/>
        <v>437.54</v>
      </c>
      <c r="F10" s="146">
        <f t="shared" si="2"/>
        <v>526.32000000000005</v>
      </c>
      <c r="G10" s="146">
        <f t="shared" si="2"/>
        <v>622.62</v>
      </c>
      <c r="H10" s="146">
        <f t="shared" si="2"/>
        <v>741.48</v>
      </c>
      <c r="I10" s="146">
        <f t="shared" si="2"/>
        <v>850.53</v>
      </c>
      <c r="J10" s="146">
        <f t="shared" si="2"/>
        <v>1018.32</v>
      </c>
      <c r="K10" s="146">
        <f t="shared" si="2"/>
        <v>1243.1099999999999</v>
      </c>
      <c r="L10" s="146">
        <f t="shared" si="2"/>
        <v>1392.42</v>
      </c>
    </row>
    <row r="11" spans="1:12">
      <c r="A11" s="145" t="s">
        <v>257</v>
      </c>
      <c r="B11" s="146"/>
      <c r="C11" s="146">
        <f t="shared" ref="C11:L11" si="3">C9-C10</f>
        <v>85.159999999999968</v>
      </c>
      <c r="D11" s="146">
        <f t="shared" si="3"/>
        <v>230.40000000000003</v>
      </c>
      <c r="E11" s="146">
        <f t="shared" si="3"/>
        <v>142.74999999999994</v>
      </c>
      <c r="F11" s="146">
        <f t="shared" si="3"/>
        <v>43.75</v>
      </c>
      <c r="G11" s="146">
        <f t="shared" si="3"/>
        <v>22.340000000000032</v>
      </c>
      <c r="H11" s="146">
        <f t="shared" si="3"/>
        <v>66.779999999999973</v>
      </c>
      <c r="I11" s="146">
        <f t="shared" si="3"/>
        <v>-3.0099999999999909</v>
      </c>
      <c r="J11" s="146">
        <f t="shared" si="3"/>
        <v>-157.68000000000006</v>
      </c>
      <c r="K11" s="146">
        <f t="shared" si="3"/>
        <v>4.9600000000000364</v>
      </c>
      <c r="L11" s="146">
        <f t="shared" si="3"/>
        <v>94.929999999999836</v>
      </c>
    </row>
    <row r="12" spans="1:12">
      <c r="A12" s="289"/>
      <c r="B12" s="289"/>
      <c r="C12" s="289"/>
      <c r="D12" s="289"/>
      <c r="E12" s="289"/>
      <c r="F12" s="289"/>
      <c r="G12" s="289"/>
      <c r="H12" s="289"/>
      <c r="I12" s="289"/>
      <c r="J12" s="289"/>
      <c r="K12" s="289"/>
      <c r="L12" s="141"/>
    </row>
    <row r="13" spans="1:12">
      <c r="A13" s="288" t="s">
        <v>258</v>
      </c>
      <c r="B13" s="288"/>
      <c r="C13" s="288"/>
      <c r="D13" s="288"/>
      <c r="E13" s="288"/>
      <c r="F13" s="288"/>
      <c r="G13" s="288"/>
      <c r="H13" s="288"/>
      <c r="I13" s="288"/>
      <c r="J13" s="288"/>
      <c r="K13" s="147"/>
      <c r="L13" s="141"/>
    </row>
    <row r="14" spans="1:12">
      <c r="A14" s="148" t="s">
        <v>259</v>
      </c>
      <c r="B14" s="197"/>
      <c r="C14" s="197">
        <f t="shared" ref="C14:L14" si="4">C4</f>
        <v>39172</v>
      </c>
      <c r="D14" s="197">
        <f t="shared" si="4"/>
        <v>39538</v>
      </c>
      <c r="E14" s="197">
        <f t="shared" si="4"/>
        <v>39903</v>
      </c>
      <c r="F14" s="197">
        <f t="shared" si="4"/>
        <v>40268</v>
      </c>
      <c r="G14" s="197">
        <f t="shared" si="4"/>
        <v>40633</v>
      </c>
      <c r="H14" s="197">
        <f t="shared" si="4"/>
        <v>40999</v>
      </c>
      <c r="I14" s="197">
        <f t="shared" si="4"/>
        <v>41364</v>
      </c>
      <c r="J14" s="197">
        <f t="shared" si="4"/>
        <v>41729</v>
      </c>
      <c r="K14" s="197">
        <f t="shared" si="4"/>
        <v>42094</v>
      </c>
      <c r="L14" s="197">
        <f t="shared" si="4"/>
        <v>42460</v>
      </c>
    </row>
    <row r="15" spans="1:12">
      <c r="A15" s="149" t="s">
        <v>21</v>
      </c>
      <c r="B15" s="150"/>
      <c r="C15" s="150">
        <f>Quantitative!B18</f>
        <v>1434.57</v>
      </c>
      <c r="D15" s="150">
        <f>Quantitative!C18</f>
        <v>1540.64</v>
      </c>
      <c r="E15" s="150">
        <f>Quantitative!D18</f>
        <v>1930</v>
      </c>
      <c r="F15" s="150">
        <f>Quantitative!E18</f>
        <v>2184.9699999999998</v>
      </c>
      <c r="G15" s="150">
        <f>Quantitative!F18</f>
        <v>2782.23</v>
      </c>
      <c r="H15" s="150">
        <f>Quantitative!G18</f>
        <v>3184.54</v>
      </c>
      <c r="I15" s="150">
        <f>Quantitative!H18</f>
        <v>3528.6</v>
      </c>
      <c r="J15" s="150">
        <f>Quantitative!I18</f>
        <v>3822.31</v>
      </c>
      <c r="K15" s="150">
        <f>Quantitative!J18</f>
        <v>4342.32</v>
      </c>
      <c r="L15" s="150">
        <f>Quantitative!K18</f>
        <v>4629.45</v>
      </c>
    </row>
    <row r="16" spans="1:12">
      <c r="A16" s="149" t="s">
        <v>260</v>
      </c>
      <c r="B16" s="150"/>
      <c r="C16" s="150">
        <f>Quantitative!B22</f>
        <v>72.53</v>
      </c>
      <c r="D16" s="150">
        <f>Quantitative!C22</f>
        <v>85.41</v>
      </c>
      <c r="E16" s="150">
        <f>Quantitative!D22</f>
        <v>90.01</v>
      </c>
      <c r="F16" s="150">
        <f>Quantitative!E22</f>
        <v>99.94</v>
      </c>
      <c r="G16" s="150">
        <f>Quantitative!F22</f>
        <v>119.93</v>
      </c>
      <c r="H16" s="150">
        <f>Quantitative!G22</f>
        <v>145.87</v>
      </c>
      <c r="I16" s="150">
        <f>Quantitative!H22</f>
        <v>143.5</v>
      </c>
      <c r="J16" s="150">
        <f>Quantitative!I22</f>
        <v>172.45</v>
      </c>
      <c r="K16" s="150">
        <f>Quantitative!J22</f>
        <v>190.65</v>
      </c>
      <c r="L16" s="150">
        <f>Quantitative!K22</f>
        <v>209.21</v>
      </c>
    </row>
    <row r="17" spans="1:12">
      <c r="A17" s="149" t="s">
        <v>261</v>
      </c>
      <c r="B17" s="150"/>
      <c r="C17" s="150">
        <f>Quantitative!B23</f>
        <v>330.49</v>
      </c>
      <c r="D17" s="150">
        <f>Quantitative!C23</f>
        <v>386.78</v>
      </c>
      <c r="E17" s="150">
        <f>Quantitative!D23</f>
        <v>464.16</v>
      </c>
      <c r="F17" s="150">
        <f>Quantitative!E23</f>
        <v>558.28</v>
      </c>
      <c r="G17" s="150">
        <f>Quantitative!F23</f>
        <v>614.6</v>
      </c>
      <c r="H17" s="150">
        <f>Quantitative!G23</f>
        <v>725</v>
      </c>
      <c r="I17" s="150">
        <f>Quantitative!H23</f>
        <v>825.68</v>
      </c>
      <c r="J17" s="150">
        <f>Quantitative!I23</f>
        <v>903.47</v>
      </c>
      <c r="K17" s="150">
        <f>Quantitative!J23</f>
        <v>1000.54</v>
      </c>
      <c r="L17" s="150">
        <f>Quantitative!K23</f>
        <v>1070.08</v>
      </c>
    </row>
    <row r="18" spans="1:12">
      <c r="A18" s="149" t="s">
        <v>262</v>
      </c>
      <c r="B18" s="150"/>
      <c r="C18" s="150"/>
      <c r="D18" s="150"/>
      <c r="E18" s="150"/>
      <c r="F18" s="150"/>
      <c r="G18" s="150"/>
      <c r="H18" s="150"/>
      <c r="I18" s="150"/>
      <c r="J18" s="150"/>
      <c r="K18" s="150"/>
      <c r="L18" s="150"/>
    </row>
    <row r="19" spans="1:12">
      <c r="A19" s="149" t="s">
        <v>263</v>
      </c>
      <c r="B19" s="150"/>
      <c r="C19" s="150"/>
      <c r="D19" s="150"/>
      <c r="E19" s="150"/>
      <c r="F19" s="150"/>
      <c r="G19" s="150"/>
      <c r="H19" s="150"/>
      <c r="I19" s="150"/>
      <c r="J19" s="150"/>
      <c r="K19" s="150"/>
      <c r="L19" s="150"/>
    </row>
    <row r="20" spans="1:12">
      <c r="A20" s="149" t="s">
        <v>264</v>
      </c>
      <c r="B20" s="150"/>
      <c r="C20" s="150">
        <f>Quantitative!B20</f>
        <v>24.17</v>
      </c>
      <c r="D20" s="150">
        <f>Quantitative!C20</f>
        <v>22.78</v>
      </c>
      <c r="E20" s="150">
        <f>Quantitative!D20</f>
        <v>21.47</v>
      </c>
      <c r="F20" s="150">
        <f>Quantitative!E20</f>
        <v>22.38</v>
      </c>
      <c r="G20" s="150">
        <f>Quantitative!F20</f>
        <v>29.55</v>
      </c>
      <c r="H20" s="150">
        <f>Quantitative!G20</f>
        <v>40.1</v>
      </c>
      <c r="I20" s="150">
        <f>Quantitative!H20</f>
        <v>52.27</v>
      </c>
      <c r="J20" s="150">
        <f>Quantitative!I20</f>
        <v>65.12</v>
      </c>
      <c r="K20" s="150">
        <f>Quantitative!J20</f>
        <v>67.42</v>
      </c>
      <c r="L20" s="150">
        <f>Quantitative!K20</f>
        <v>57.06</v>
      </c>
    </row>
    <row r="21" spans="1:12">
      <c r="A21" s="149" t="s">
        <v>265</v>
      </c>
      <c r="B21" s="150"/>
      <c r="C21" s="150">
        <f>Quantitative!B24</f>
        <v>62.08</v>
      </c>
      <c r="D21" s="150">
        <f>Quantitative!C24</f>
        <v>79.2</v>
      </c>
      <c r="E21" s="150">
        <f>Quantitative!D24</f>
        <v>139.58000000000001</v>
      </c>
      <c r="F21" s="150">
        <f>Quantitative!E24</f>
        <v>129.9</v>
      </c>
      <c r="G21" s="150">
        <f>Quantitative!F24</f>
        <v>103.68</v>
      </c>
      <c r="H21" s="150">
        <f>Quantitative!G24</f>
        <v>156.08000000000001</v>
      </c>
      <c r="I21" s="150">
        <f>Quantitative!H24</f>
        <v>173.23</v>
      </c>
      <c r="J21" s="150">
        <f>Quantitative!I24</f>
        <v>195.38</v>
      </c>
      <c r="K21" s="150">
        <f>Quantitative!J24</f>
        <v>196.35</v>
      </c>
      <c r="L21" s="150">
        <f>Quantitative!K24</f>
        <v>222.89</v>
      </c>
    </row>
    <row r="22" spans="1:12">
      <c r="A22" s="149" t="s">
        <v>266</v>
      </c>
      <c r="B22" s="150"/>
      <c r="C22" s="150">
        <f>'Polished Data'!L8</f>
        <v>24.8</v>
      </c>
      <c r="D22" s="150"/>
      <c r="E22" s="150"/>
      <c r="F22" s="150"/>
      <c r="G22" s="151"/>
      <c r="H22" s="151"/>
      <c r="I22" s="151"/>
      <c r="J22" s="151"/>
      <c r="K22" s="149"/>
      <c r="L22" s="152"/>
    </row>
    <row r="23" spans="1:12">
      <c r="A23" s="153" t="s">
        <v>122</v>
      </c>
      <c r="B23" s="150"/>
      <c r="C23" s="150"/>
      <c r="D23" s="150">
        <f t="shared" ref="D23:L23" si="5">(D50-C50)+(D51-C51)+D30</f>
        <v>65.36999999999999</v>
      </c>
      <c r="E23" s="150">
        <f t="shared" si="5"/>
        <v>66.639999999999958</v>
      </c>
      <c r="F23" s="150">
        <f t="shared" si="5"/>
        <v>45.150000000000027</v>
      </c>
      <c r="G23" s="150">
        <f t="shared" si="5"/>
        <v>68.519999999999982</v>
      </c>
      <c r="H23" s="150">
        <f t="shared" si="5"/>
        <v>190.73999999999998</v>
      </c>
      <c r="I23" s="150">
        <f t="shared" si="5"/>
        <v>178.38000000000002</v>
      </c>
      <c r="J23" s="150">
        <f t="shared" si="5"/>
        <v>126.13999999999996</v>
      </c>
      <c r="K23" s="150">
        <f t="shared" si="5"/>
        <v>48.550000000000082</v>
      </c>
      <c r="L23" s="150">
        <f t="shared" si="5"/>
        <v>226.61999999999995</v>
      </c>
    </row>
    <row r="24" spans="1:12">
      <c r="A24" s="154" t="str">
        <f>Quantitative!A1</f>
        <v>COMPANY NAME</v>
      </c>
      <c r="B24" s="197"/>
      <c r="C24" s="197">
        <f t="shared" ref="C24:L24" si="6">C14</f>
        <v>39172</v>
      </c>
      <c r="D24" s="197">
        <f t="shared" si="6"/>
        <v>39538</v>
      </c>
      <c r="E24" s="197">
        <f t="shared" si="6"/>
        <v>39903</v>
      </c>
      <c r="F24" s="197">
        <f t="shared" si="6"/>
        <v>40268</v>
      </c>
      <c r="G24" s="197">
        <f t="shared" si="6"/>
        <v>40633</v>
      </c>
      <c r="H24" s="197">
        <f t="shared" si="6"/>
        <v>40999</v>
      </c>
      <c r="I24" s="197">
        <f t="shared" si="6"/>
        <v>41364</v>
      </c>
      <c r="J24" s="197">
        <f t="shared" si="6"/>
        <v>41729</v>
      </c>
      <c r="K24" s="197">
        <f t="shared" si="6"/>
        <v>42094</v>
      </c>
      <c r="L24" s="197">
        <f t="shared" si="6"/>
        <v>42460</v>
      </c>
    </row>
    <row r="25" spans="1:12">
      <c r="A25" s="155" t="s">
        <v>20</v>
      </c>
      <c r="B25" s="155"/>
      <c r="C25" s="155">
        <f>Quantitative!B17+Quantitative!B25</f>
        <v>2235.4299999999998</v>
      </c>
      <c r="D25" s="155">
        <f>Quantitative!C17+Quantitative!C25</f>
        <v>2638.17</v>
      </c>
      <c r="E25" s="155">
        <f>Quantitative!D17+Quantitative!D25</f>
        <v>3196.8</v>
      </c>
      <c r="F25" s="155">
        <f>Quantitative!E17+Quantitative!E25</f>
        <v>3454.29</v>
      </c>
      <c r="G25" s="155">
        <f>Quantitative!F17+Quantitative!F25</f>
        <v>4272.4400000000005</v>
      </c>
      <c r="H25" s="155">
        <f>Quantitative!G17+Quantitative!G25</f>
        <v>5032.7199999999993</v>
      </c>
      <c r="I25" s="155">
        <f>Quantitative!H17+Quantitative!H25</f>
        <v>5670.96</v>
      </c>
      <c r="J25" s="155">
        <f>Quantitative!I17+Quantitative!I25</f>
        <v>6342.21</v>
      </c>
      <c r="K25" s="155">
        <f>Quantitative!J17+Quantitative!J25</f>
        <v>7423.44</v>
      </c>
      <c r="L25" s="155">
        <f>Quantitative!K17+Quantitative!K25</f>
        <v>8046.11</v>
      </c>
    </row>
    <row r="26" spans="1:12">
      <c r="A26" s="155" t="s">
        <v>240</v>
      </c>
      <c r="B26" s="155"/>
      <c r="C26" s="155">
        <f>Quantitative!B17</f>
        <v>2199.29</v>
      </c>
      <c r="D26" s="155">
        <f>Quantitative!C17</f>
        <v>2584.1</v>
      </c>
      <c r="E26" s="155">
        <f>Quantitative!D17</f>
        <v>3112.21</v>
      </c>
      <c r="F26" s="155">
        <f>Quantitative!E17</f>
        <v>3403.46</v>
      </c>
      <c r="G26" s="155">
        <f>Quantitative!F17</f>
        <v>4223.5200000000004</v>
      </c>
      <c r="H26" s="155">
        <f>Quantitative!G17</f>
        <v>4974.1899999999996</v>
      </c>
      <c r="I26" s="155">
        <f>Quantitative!H17</f>
        <v>5615.49</v>
      </c>
      <c r="J26" s="155">
        <f>Quantitative!I17</f>
        <v>6307.39</v>
      </c>
      <c r="K26" s="155">
        <f>Quantitative!J17</f>
        <v>7175.99</v>
      </c>
      <c r="L26" s="155">
        <f>Quantitative!K17</f>
        <v>7947.9</v>
      </c>
    </row>
    <row r="27" spans="1:12">
      <c r="A27" s="155" t="str">
        <f t="shared" ref="A27:L27" si="7">A15</f>
        <v>Raw Materials</v>
      </c>
      <c r="B27" s="155"/>
      <c r="C27" s="155">
        <f t="shared" si="7"/>
        <v>1434.57</v>
      </c>
      <c r="D27" s="155">
        <f t="shared" si="7"/>
        <v>1540.64</v>
      </c>
      <c r="E27" s="155">
        <f t="shared" si="7"/>
        <v>1930</v>
      </c>
      <c r="F27" s="155">
        <f t="shared" si="7"/>
        <v>2184.9699999999998</v>
      </c>
      <c r="G27" s="155">
        <f t="shared" si="7"/>
        <v>2782.23</v>
      </c>
      <c r="H27" s="155">
        <f t="shared" si="7"/>
        <v>3184.54</v>
      </c>
      <c r="I27" s="155">
        <f t="shared" si="7"/>
        <v>3528.6</v>
      </c>
      <c r="J27" s="155">
        <f t="shared" si="7"/>
        <v>3822.31</v>
      </c>
      <c r="K27" s="155">
        <f t="shared" si="7"/>
        <v>4342.32</v>
      </c>
      <c r="L27" s="155">
        <f t="shared" si="7"/>
        <v>4629.45</v>
      </c>
    </row>
    <row r="28" spans="1:12">
      <c r="A28" s="155" t="s">
        <v>267</v>
      </c>
      <c r="B28" s="155"/>
      <c r="C28" s="155">
        <f t="shared" ref="C28:L28" si="8">C26-C27</f>
        <v>764.72</v>
      </c>
      <c r="D28" s="155">
        <f t="shared" si="8"/>
        <v>1043.4599999999998</v>
      </c>
      <c r="E28" s="155">
        <f t="shared" si="8"/>
        <v>1182.21</v>
      </c>
      <c r="F28" s="155">
        <f t="shared" si="8"/>
        <v>1218.4900000000002</v>
      </c>
      <c r="G28" s="155">
        <f t="shared" si="8"/>
        <v>1441.2900000000004</v>
      </c>
      <c r="H28" s="155">
        <f t="shared" si="8"/>
        <v>1789.6499999999996</v>
      </c>
      <c r="I28" s="155">
        <f t="shared" si="8"/>
        <v>2086.89</v>
      </c>
      <c r="J28" s="155">
        <f t="shared" si="8"/>
        <v>2485.0800000000004</v>
      </c>
      <c r="K28" s="155">
        <f t="shared" si="8"/>
        <v>2833.67</v>
      </c>
      <c r="L28" s="155">
        <f t="shared" si="8"/>
        <v>3318.45</v>
      </c>
    </row>
    <row r="29" spans="1:12">
      <c r="A29" s="155" t="s">
        <v>65</v>
      </c>
      <c r="B29" s="155"/>
      <c r="C29" s="155">
        <f>Quantitative!B17-Quantitative!B18-Quantitative!B20-Quantitative!B21-Quantitative!B22-Quantitative!B23-Quantitative!B24+Quantitative!B25+Quantitative!B19</f>
        <v>152.45000000000007</v>
      </c>
      <c r="D29" s="155">
        <f>Quantitative!C17-Quantitative!C18-Quantitative!C20-Quantitative!C21-Quantitative!C22-Quantitative!C23-Quantitative!C24+Quantitative!C25+Quantitative!C19</f>
        <v>270.94999999999987</v>
      </c>
      <c r="E29" s="155">
        <f>Quantitative!D17-Quantitative!D18-Quantitative!D20-Quantitative!D21-Quantitative!D22-Quantitative!D23-Quantitative!D24+Quantitative!D25+Quantitative!D19</f>
        <v>281.87000000000006</v>
      </c>
      <c r="F29" s="155">
        <f>Quantitative!E17-Quantitative!E18-Quantitative!E20-Quantitative!E21-Quantitative!E22-Quantitative!E23-Quantitative!E24+Quantitative!E25+Quantitative!E19</f>
        <v>166.41000000000011</v>
      </c>
      <c r="G29" s="155">
        <f>Quantitative!F17-Quantitative!F18-Quantitative!F20-Quantitative!F21-Quantitative!F22-Quantitative!F23-Quantitative!F24+Quantitative!F25+Quantitative!F19</f>
        <v>280.40000000000032</v>
      </c>
      <c r="H29" s="155">
        <f>Quantitative!G17-Quantitative!G18-Quantitative!G20-Quantitative!G21-Quantitative!G22-Quantitative!G23-Quantitative!G24+Quantitative!G25+Quantitative!G19</f>
        <v>337.75999999999948</v>
      </c>
      <c r="I29" s="155">
        <f>Quantitative!H17-Quantitative!H18-Quantitative!H20-Quantitative!H21-Quantitative!H22-Quantitative!H23-Quantitative!H24+Quantitative!H25+Quantitative!H19</f>
        <v>426.99999999999983</v>
      </c>
      <c r="J29" s="155">
        <f>Quantitative!I17-Quantitative!I18-Quantitative!I20-Quantitative!I21-Quantitative!I22-Quantitative!I23-Quantitative!I24+Quantitative!I25+Quantitative!I19</f>
        <v>611.44000000000062</v>
      </c>
      <c r="K29" s="155">
        <f>Quantitative!J17-Quantitative!J18-Quantitative!J20-Quantitative!J21-Quantitative!J22-Quantitative!J23-Quantitative!J24+Quantitative!J25+Quantitative!J19</f>
        <v>1001.0899999999997</v>
      </c>
      <c r="L29" s="155">
        <f>Quantitative!K17-Quantitative!K18-Quantitative!K20-Quantitative!K21-Quantitative!K22-Quantitative!K23-Quantitative!K24+Quantitative!K25+Quantitative!K19</f>
        <v>1219.6999999999998</v>
      </c>
    </row>
    <row r="30" spans="1:12">
      <c r="A30" s="155" t="s">
        <v>268</v>
      </c>
      <c r="B30" s="155"/>
      <c r="C30" s="155">
        <f>Quantitative!B26</f>
        <v>25.27</v>
      </c>
      <c r="D30" s="155">
        <f>Quantitative!C26</f>
        <v>29.08</v>
      </c>
      <c r="E30" s="155">
        <f>Quantitative!D26</f>
        <v>33.46</v>
      </c>
      <c r="F30" s="155">
        <f>Quantitative!E26</f>
        <v>37.54</v>
      </c>
      <c r="G30" s="155">
        <f>Quantitative!F26</f>
        <v>44.59</v>
      </c>
      <c r="H30" s="155">
        <f>Quantitative!G26</f>
        <v>47.32</v>
      </c>
      <c r="I30" s="155">
        <f>Quantitative!H26</f>
        <v>57.08</v>
      </c>
      <c r="J30" s="155">
        <f>Quantitative!I26</f>
        <v>63.38</v>
      </c>
      <c r="K30" s="155">
        <f>Quantitative!J26</f>
        <v>117.27</v>
      </c>
      <c r="L30" s="155">
        <f>Quantitative!K26</f>
        <v>86.89</v>
      </c>
    </row>
    <row r="31" spans="1:12">
      <c r="A31" s="155" t="s">
        <v>269</v>
      </c>
      <c r="B31" s="155"/>
      <c r="C31" s="155">
        <f t="shared" ref="C31:L31" si="9">C29-C30</f>
        <v>127.18000000000008</v>
      </c>
      <c r="D31" s="155">
        <f t="shared" si="9"/>
        <v>241.86999999999989</v>
      </c>
      <c r="E31" s="155">
        <f t="shared" si="9"/>
        <v>248.41000000000005</v>
      </c>
      <c r="F31" s="155">
        <f t="shared" si="9"/>
        <v>128.87000000000012</v>
      </c>
      <c r="G31" s="155">
        <f t="shared" si="9"/>
        <v>235.81000000000031</v>
      </c>
      <c r="H31" s="155">
        <f t="shared" si="9"/>
        <v>290.43999999999949</v>
      </c>
      <c r="I31" s="155">
        <f t="shared" si="9"/>
        <v>369.91999999999985</v>
      </c>
      <c r="J31" s="155">
        <f t="shared" si="9"/>
        <v>548.06000000000063</v>
      </c>
      <c r="K31" s="155">
        <f t="shared" si="9"/>
        <v>883.81999999999971</v>
      </c>
      <c r="L31" s="155">
        <f t="shared" si="9"/>
        <v>1132.8099999999997</v>
      </c>
    </row>
    <row r="32" spans="1:12">
      <c r="A32" s="155" t="s">
        <v>24</v>
      </c>
      <c r="B32" s="155"/>
      <c r="C32" s="155">
        <f>Quantitative!B27</f>
        <v>8.9</v>
      </c>
      <c r="D32" s="155">
        <f>Quantitative!C27</f>
        <v>9.73</v>
      </c>
      <c r="E32" s="155">
        <f>Quantitative!D27</f>
        <v>16.010000000000002</v>
      </c>
      <c r="F32" s="155">
        <f>Quantitative!E27</f>
        <v>8.2100000000000009</v>
      </c>
      <c r="G32" s="155">
        <f>Quantitative!F27</f>
        <v>37.75</v>
      </c>
      <c r="H32" s="155">
        <f>Quantitative!G27</f>
        <v>38.07</v>
      </c>
      <c r="I32" s="155">
        <f>Quantitative!H27</f>
        <v>37.74</v>
      </c>
      <c r="J32" s="155">
        <f>Quantitative!I27</f>
        <v>5.44</v>
      </c>
      <c r="K32" s="155">
        <f>Quantitative!J27</f>
        <v>1.21</v>
      </c>
      <c r="L32" s="155">
        <f>Quantitative!K27</f>
        <v>1.25</v>
      </c>
    </row>
    <row r="33" spans="1:12">
      <c r="A33" s="155" t="s">
        <v>270</v>
      </c>
      <c r="B33" s="155"/>
      <c r="C33" s="155">
        <f t="shared" ref="C33:L33" si="10">C31-C32</f>
        <v>118.28000000000007</v>
      </c>
      <c r="D33" s="155">
        <f t="shared" si="10"/>
        <v>232.1399999999999</v>
      </c>
      <c r="E33" s="155">
        <f t="shared" si="10"/>
        <v>232.40000000000006</v>
      </c>
      <c r="F33" s="155">
        <f t="shared" si="10"/>
        <v>120.66000000000011</v>
      </c>
      <c r="G33" s="155">
        <f t="shared" si="10"/>
        <v>198.06000000000031</v>
      </c>
      <c r="H33" s="155">
        <f t="shared" si="10"/>
        <v>252.36999999999949</v>
      </c>
      <c r="I33" s="155">
        <f t="shared" si="10"/>
        <v>332.17999999999984</v>
      </c>
      <c r="J33" s="155">
        <f t="shared" si="10"/>
        <v>542.62000000000057</v>
      </c>
      <c r="K33" s="155">
        <f t="shared" si="10"/>
        <v>882.60999999999967</v>
      </c>
      <c r="L33" s="155">
        <f t="shared" si="10"/>
        <v>1131.5599999999997</v>
      </c>
    </row>
    <row r="34" spans="1:12">
      <c r="A34" s="155" t="s">
        <v>26</v>
      </c>
      <c r="B34" s="155"/>
      <c r="C34" s="155">
        <f>Quantitative!B29</f>
        <v>10.63</v>
      </c>
      <c r="D34" s="155">
        <f>Quantitative!C29</f>
        <v>41.14</v>
      </c>
      <c r="E34" s="155">
        <f>Quantitative!D29</f>
        <v>52</v>
      </c>
      <c r="F34" s="155">
        <f>Quantitative!E29</f>
        <v>4.1500000000000004</v>
      </c>
      <c r="G34" s="155">
        <f>Quantitative!F29</f>
        <v>52.77</v>
      </c>
      <c r="H34" s="155">
        <f>Quantitative!G29</f>
        <v>65.63</v>
      </c>
      <c r="I34" s="155">
        <f>Quantitative!H29</f>
        <v>98.31</v>
      </c>
      <c r="J34" s="155">
        <f>Quantitative!I29</f>
        <v>172.79</v>
      </c>
      <c r="K34" s="155">
        <f>Quantitative!J29</f>
        <v>260.2</v>
      </c>
      <c r="L34" s="155">
        <f>Quantitative!K29</f>
        <v>382.47</v>
      </c>
    </row>
    <row r="35" spans="1:12">
      <c r="A35" s="155" t="s">
        <v>243</v>
      </c>
      <c r="B35" s="155"/>
      <c r="C35" s="155">
        <f t="shared" ref="C35:L35" si="11">C33-C34</f>
        <v>107.65000000000008</v>
      </c>
      <c r="D35" s="155">
        <f t="shared" si="11"/>
        <v>190.99999999999989</v>
      </c>
      <c r="E35" s="155">
        <f t="shared" si="11"/>
        <v>180.40000000000006</v>
      </c>
      <c r="F35" s="155">
        <f t="shared" si="11"/>
        <v>116.5100000000001</v>
      </c>
      <c r="G35" s="155">
        <f t="shared" si="11"/>
        <v>145.2900000000003</v>
      </c>
      <c r="H35" s="155">
        <f t="shared" si="11"/>
        <v>186.7399999999995</v>
      </c>
      <c r="I35" s="155">
        <f t="shared" si="11"/>
        <v>233.86999999999983</v>
      </c>
      <c r="J35" s="155">
        <f t="shared" si="11"/>
        <v>369.83000000000061</v>
      </c>
      <c r="K35" s="155">
        <f t="shared" si="11"/>
        <v>622.40999999999963</v>
      </c>
      <c r="L35" s="155">
        <f t="shared" si="11"/>
        <v>749.08999999999969</v>
      </c>
    </row>
    <row r="36" spans="1:12">
      <c r="A36" s="155" t="s">
        <v>271</v>
      </c>
      <c r="B36" s="155"/>
      <c r="C36" s="155">
        <f>Quantitative!B31</f>
        <v>35.83</v>
      </c>
      <c r="D36" s="155">
        <f>Quantitative!C31</f>
        <v>43</v>
      </c>
      <c r="E36" s="155">
        <f>Quantitative!D31</f>
        <v>95.56</v>
      </c>
      <c r="F36" s="155">
        <f>Quantitative!E31</f>
        <v>59.73</v>
      </c>
      <c r="G36" s="155">
        <f>Quantitative!F31</f>
        <v>77.64</v>
      </c>
      <c r="H36" s="155">
        <f>Quantitative!G31</f>
        <v>101.53</v>
      </c>
      <c r="I36" s="155">
        <f>Quantitative!H31</f>
        <v>101.66</v>
      </c>
      <c r="J36" s="155">
        <f>Quantitative!I31</f>
        <v>143.91</v>
      </c>
      <c r="K36" s="155">
        <f>Quantitative!J31</f>
        <v>191.88</v>
      </c>
      <c r="L36" s="155">
        <f>Quantitative!K31</f>
        <v>239.95</v>
      </c>
    </row>
    <row r="37" spans="1:12">
      <c r="A37" s="155" t="s">
        <v>4</v>
      </c>
      <c r="C37" s="156">
        <f>Quantitative!B90*Quantitative!B93</f>
        <v>2982.0895964750002</v>
      </c>
      <c r="D37" s="156">
        <f>Quantitative!C90*Quantitative!C93</f>
        <v>3138.8090657550001</v>
      </c>
      <c r="E37" s="156">
        <f>Quantitative!D90*Quantitative!D93</f>
        <v>3611.9537439700002</v>
      </c>
      <c r="F37" s="156">
        <f>Quantitative!E90*Quantitative!E93</f>
        <v>3927.6622480150004</v>
      </c>
      <c r="G37" s="156">
        <f>Quantitative!F90*Quantitative!F93</f>
        <v>4497.6815371949997</v>
      </c>
      <c r="H37" s="156">
        <f>Quantitative!G90*Quantitative!G93</f>
        <v>6880.6058456299997</v>
      </c>
      <c r="I37" s="156">
        <f>Quantitative!H90*Quantitative!H93</f>
        <v>6438.1384991600007</v>
      </c>
      <c r="J37" s="156">
        <f>Quantitative!I90*Quantitative!I93</f>
        <v>10450.454137799999</v>
      </c>
      <c r="K37" s="156">
        <f>Quantitative!J90*Quantitative!J93</f>
        <v>26429.6075814</v>
      </c>
      <c r="L37" s="156">
        <f>Quantitative!K90*Quantitative!K93</f>
        <v>33112.84503674</v>
      </c>
    </row>
    <row r="38" spans="1:12">
      <c r="A38" s="157" t="s">
        <v>272</v>
      </c>
      <c r="B38" s="210">
        <f>Quantitative!B9</f>
        <v>40368.269999999997</v>
      </c>
      <c r="C38" s="290"/>
      <c r="D38" s="291"/>
      <c r="E38" s="291"/>
      <c r="F38" s="291"/>
      <c r="G38" s="291"/>
      <c r="H38" s="291"/>
      <c r="I38" s="291"/>
      <c r="J38" s="291"/>
      <c r="K38" s="292"/>
      <c r="L38" s="141"/>
    </row>
    <row r="39" spans="1:12">
      <c r="A39" s="157" t="s">
        <v>387</v>
      </c>
      <c r="B39" s="209">
        <f>SUM(Quantitative!H49:K49)/Quantitative!K93</f>
        <v>66.637596919012381</v>
      </c>
      <c r="C39" s="206"/>
      <c r="D39" s="206"/>
      <c r="E39" s="206"/>
      <c r="F39" s="206"/>
      <c r="G39" s="206"/>
      <c r="H39" s="206"/>
      <c r="I39" s="206"/>
      <c r="J39" s="206"/>
      <c r="K39" s="206"/>
      <c r="L39" s="141"/>
    </row>
    <row r="40" spans="1:12">
      <c r="A40" s="158" t="s">
        <v>273</v>
      </c>
      <c r="B40" s="159"/>
      <c r="C40" s="159">
        <f>Quantitative!B57</f>
        <v>23.89</v>
      </c>
      <c r="D40" s="159">
        <f>Quantitative!C57</f>
        <v>23.89</v>
      </c>
      <c r="E40" s="159">
        <f>Quantitative!D57</f>
        <v>23.89</v>
      </c>
      <c r="F40" s="159">
        <f>Quantitative!E57</f>
        <v>23.89</v>
      </c>
      <c r="G40" s="159">
        <f>Quantitative!F57</f>
        <v>23.89</v>
      </c>
      <c r="H40" s="159">
        <f>Quantitative!G57</f>
        <v>23.89</v>
      </c>
      <c r="I40" s="159">
        <f>Quantitative!H57</f>
        <v>23.91</v>
      </c>
      <c r="J40" s="159">
        <f>Quantitative!I57</f>
        <v>23.99</v>
      </c>
      <c r="K40" s="159">
        <f>Quantitative!J57</f>
        <v>23.99</v>
      </c>
      <c r="L40" s="159">
        <f>Quantitative!K57</f>
        <v>24</v>
      </c>
    </row>
    <row r="41" spans="1:12">
      <c r="A41" s="158" t="s">
        <v>274</v>
      </c>
      <c r="B41" s="158"/>
      <c r="C41" s="158">
        <f>Quantitative!B58</f>
        <v>590.92999999999995</v>
      </c>
      <c r="D41" s="158">
        <f>Quantitative!C58</f>
        <v>731.92</v>
      </c>
      <c r="E41" s="158">
        <f>Quantitative!D58</f>
        <v>800.65</v>
      </c>
      <c r="F41" s="158">
        <f>Quantitative!E58</f>
        <v>372.36</v>
      </c>
      <c r="G41" s="158">
        <f>Quantitative!F58</f>
        <v>427.41</v>
      </c>
      <c r="H41" s="158">
        <f>Quantitative!G58</f>
        <v>496.15</v>
      </c>
      <c r="I41" s="158">
        <f>Quantitative!H58</f>
        <v>617.32000000000005</v>
      </c>
      <c r="J41" s="158">
        <f>Quantitative!I58</f>
        <v>833.75</v>
      </c>
      <c r="K41" s="158">
        <f>Quantitative!J58</f>
        <v>1215.2</v>
      </c>
      <c r="L41" s="158">
        <f>Quantitative!K58</f>
        <v>1679.02</v>
      </c>
    </row>
    <row r="42" spans="1:12">
      <c r="A42" s="158" t="s">
        <v>9</v>
      </c>
      <c r="B42" s="155"/>
      <c r="C42" s="155">
        <f t="shared" ref="C42:L42" si="12">C41+C40</f>
        <v>614.81999999999994</v>
      </c>
      <c r="D42" s="155">
        <f t="shared" si="12"/>
        <v>755.81</v>
      </c>
      <c r="E42" s="155">
        <f t="shared" si="12"/>
        <v>824.54</v>
      </c>
      <c r="F42" s="155">
        <f t="shared" si="12"/>
        <v>396.25</v>
      </c>
      <c r="G42" s="155">
        <f t="shared" si="12"/>
        <v>451.3</v>
      </c>
      <c r="H42" s="155">
        <f t="shared" si="12"/>
        <v>520.04</v>
      </c>
      <c r="I42" s="155">
        <f t="shared" si="12"/>
        <v>641.23</v>
      </c>
      <c r="J42" s="155">
        <f t="shared" si="12"/>
        <v>857.74</v>
      </c>
      <c r="K42" s="155">
        <f t="shared" si="12"/>
        <v>1239.19</v>
      </c>
      <c r="L42" s="155">
        <f t="shared" si="12"/>
        <v>1703.02</v>
      </c>
    </row>
    <row r="43" spans="1:12">
      <c r="A43" s="160" t="s">
        <v>10</v>
      </c>
      <c r="B43" s="161"/>
      <c r="C43" s="155"/>
      <c r="D43" s="155"/>
      <c r="E43" s="155"/>
      <c r="F43" s="155"/>
      <c r="G43" s="155"/>
      <c r="H43" s="155"/>
      <c r="I43" s="155"/>
      <c r="J43" s="155"/>
      <c r="K43" s="155"/>
      <c r="L43" s="141"/>
    </row>
    <row r="44" spans="1:12">
      <c r="A44" s="160" t="s">
        <v>11</v>
      </c>
      <c r="B44" s="161"/>
      <c r="C44" s="155"/>
      <c r="D44" s="155"/>
      <c r="E44" s="155"/>
      <c r="F44" s="155"/>
      <c r="G44" s="155"/>
      <c r="H44" s="155"/>
      <c r="I44" s="155"/>
      <c r="J44" s="155"/>
      <c r="K44" s="155"/>
      <c r="L44" s="141"/>
    </row>
    <row r="45" spans="1:12">
      <c r="A45" s="160" t="s">
        <v>275</v>
      </c>
      <c r="B45" s="158"/>
      <c r="C45" s="158">
        <f>Quantitative!B59</f>
        <v>4.78</v>
      </c>
      <c r="D45" s="158">
        <f>Quantitative!C59</f>
        <v>106.1</v>
      </c>
      <c r="E45" s="158">
        <f>Quantitative!D59</f>
        <v>25.17</v>
      </c>
      <c r="F45" s="158">
        <f>Quantitative!E59</f>
        <v>429.61</v>
      </c>
      <c r="G45" s="158">
        <f>Quantitative!F59</f>
        <v>431.44</v>
      </c>
      <c r="H45" s="158">
        <f>Quantitative!G59</f>
        <v>434.5</v>
      </c>
      <c r="I45" s="158">
        <f>Quantitative!H59</f>
        <v>215.48</v>
      </c>
      <c r="J45" s="158">
        <f>Quantitative!I59</f>
        <v>0.45</v>
      </c>
      <c r="K45" s="158">
        <f>Quantitative!J59</f>
        <v>0.97</v>
      </c>
      <c r="L45" s="158">
        <f>Quantitative!K59</f>
        <v>0.68</v>
      </c>
    </row>
    <row r="46" spans="1:12">
      <c r="A46" s="160" t="s">
        <v>276</v>
      </c>
      <c r="B46" s="158"/>
      <c r="C46" s="158">
        <f>Quantitative!B60</f>
        <v>341.16</v>
      </c>
      <c r="D46" s="158">
        <f>Quantitative!C60</f>
        <v>370.31</v>
      </c>
      <c r="E46" s="158">
        <f>Quantitative!D60</f>
        <v>437.54</v>
      </c>
      <c r="F46" s="158">
        <f>Quantitative!E60</f>
        <v>526.32000000000005</v>
      </c>
      <c r="G46" s="158">
        <f>Quantitative!F60</f>
        <v>622.62</v>
      </c>
      <c r="H46" s="158">
        <f>Quantitative!G60</f>
        <v>741.48</v>
      </c>
      <c r="I46" s="158">
        <f>Quantitative!H60</f>
        <v>850.53</v>
      </c>
      <c r="J46" s="158">
        <f>Quantitative!I60</f>
        <v>1018.32</v>
      </c>
      <c r="K46" s="158">
        <f>Quantitative!J60</f>
        <v>1243.1099999999999</v>
      </c>
      <c r="L46" s="158">
        <f>Quantitative!K60</f>
        <v>1392.42</v>
      </c>
    </row>
    <row r="47" spans="1:12">
      <c r="A47" s="160" t="s">
        <v>277</v>
      </c>
      <c r="B47" s="158"/>
      <c r="C47" s="158">
        <f>Quantitative!B65</f>
        <v>426.32</v>
      </c>
      <c r="D47" s="158">
        <f>Quantitative!C65</f>
        <v>600.71</v>
      </c>
      <c r="E47" s="158">
        <f>Quantitative!D65</f>
        <v>580.29</v>
      </c>
      <c r="F47" s="158">
        <f>Quantitative!E65</f>
        <v>570.07000000000005</v>
      </c>
      <c r="G47" s="158">
        <f>Quantitative!F65</f>
        <v>644.96</v>
      </c>
      <c r="H47" s="158">
        <f>Quantitative!G65</f>
        <v>808.26</v>
      </c>
      <c r="I47" s="158">
        <f>Quantitative!H65</f>
        <v>847.52</v>
      </c>
      <c r="J47" s="158">
        <f>Quantitative!I65</f>
        <v>860.64</v>
      </c>
      <c r="K47" s="158">
        <f>Quantitative!J65</f>
        <v>1248.07</v>
      </c>
      <c r="L47" s="158">
        <f>Quantitative!K65</f>
        <v>1487.35</v>
      </c>
    </row>
    <row r="48" spans="1:12">
      <c r="A48" s="160" t="s">
        <v>16</v>
      </c>
      <c r="B48" s="158"/>
      <c r="C48" s="158">
        <f>Quantitative!B60</f>
        <v>341.16</v>
      </c>
      <c r="D48" s="158">
        <f>Quantitative!C60</f>
        <v>370.31</v>
      </c>
      <c r="E48" s="158">
        <f>Quantitative!D60</f>
        <v>437.54</v>
      </c>
      <c r="F48" s="158">
        <f>Quantitative!E60</f>
        <v>526.32000000000005</v>
      </c>
      <c r="G48" s="158">
        <f>Quantitative!F60</f>
        <v>622.62</v>
      </c>
      <c r="H48" s="158">
        <f>Quantitative!G60</f>
        <v>741.48</v>
      </c>
      <c r="I48" s="158">
        <f>Quantitative!H60</f>
        <v>850.53</v>
      </c>
      <c r="J48" s="158">
        <f>Quantitative!I60</f>
        <v>1018.32</v>
      </c>
      <c r="K48" s="158">
        <f>Quantitative!J60</f>
        <v>1243.1099999999999</v>
      </c>
      <c r="L48" s="158">
        <f>Quantitative!K60</f>
        <v>1392.42</v>
      </c>
    </row>
    <row r="49" spans="1:12">
      <c r="A49" s="160" t="s">
        <v>17</v>
      </c>
      <c r="B49" s="158"/>
      <c r="C49" s="158">
        <f>Quantitative!B66</f>
        <v>960.76</v>
      </c>
      <c r="D49" s="158">
        <f>Quantitative!C66</f>
        <v>1232.22</v>
      </c>
      <c r="E49" s="158">
        <f>Quantitative!D66</f>
        <v>1287.25</v>
      </c>
      <c r="F49" s="158">
        <f>Quantitative!E66</f>
        <v>1352.18</v>
      </c>
      <c r="G49" s="158">
        <f>Quantitative!F66</f>
        <v>1505.36</v>
      </c>
      <c r="H49" s="158">
        <f>Quantitative!G66</f>
        <v>1696.02</v>
      </c>
      <c r="I49" s="158">
        <f>Quantitative!H66</f>
        <v>1707.24</v>
      </c>
      <c r="J49" s="158">
        <f>Quantitative!I66</f>
        <v>1876.51</v>
      </c>
      <c r="K49" s="158">
        <f>Quantitative!J66</f>
        <v>2483.27</v>
      </c>
      <c r="L49" s="158">
        <f>Quantitative!K66</f>
        <v>3096.12</v>
      </c>
    </row>
    <row r="50" spans="1:12">
      <c r="A50" s="155" t="s">
        <v>278</v>
      </c>
      <c r="B50" s="155"/>
      <c r="C50" s="155">
        <f>Quantitative!B62</f>
        <v>198.36</v>
      </c>
      <c r="D50" s="155">
        <f>Quantitative!C62</f>
        <v>240.99</v>
      </c>
      <c r="E50" s="155">
        <f>Quantitative!D62</f>
        <v>277.83999999999997</v>
      </c>
      <c r="F50" s="155">
        <f>Quantitative!E62</f>
        <v>281.5</v>
      </c>
      <c r="G50" s="155">
        <f>Quantitative!F62</f>
        <v>303.7</v>
      </c>
      <c r="H50" s="155">
        <f>Quantitative!G62</f>
        <v>379.09</v>
      </c>
      <c r="I50" s="155">
        <f>Quantitative!H62</f>
        <v>451.68</v>
      </c>
      <c r="J50" s="155">
        <f>Quantitative!I62</f>
        <v>545.66</v>
      </c>
      <c r="K50" s="155">
        <f>Quantitative!J62</f>
        <v>525.94000000000005</v>
      </c>
      <c r="L50" s="155">
        <f>Quantitative!K62</f>
        <v>639.39</v>
      </c>
    </row>
    <row r="51" spans="1:12">
      <c r="A51" s="155" t="s">
        <v>14</v>
      </c>
      <c r="B51" s="155"/>
      <c r="C51" s="155">
        <f>Quantitative!B63</f>
        <v>16.03</v>
      </c>
      <c r="D51" s="155">
        <f>Quantitative!C63</f>
        <v>9.69</v>
      </c>
      <c r="E51" s="155">
        <f>Quantitative!D63</f>
        <v>6.02</v>
      </c>
      <c r="F51" s="155">
        <f>Quantitative!E63</f>
        <v>9.9700000000000006</v>
      </c>
      <c r="G51" s="155">
        <f>Quantitative!F63</f>
        <v>11.7</v>
      </c>
      <c r="H51" s="155">
        <f>Quantitative!G63</f>
        <v>79.73</v>
      </c>
      <c r="I51" s="155">
        <f>Quantitative!H63</f>
        <v>128.44</v>
      </c>
      <c r="J51" s="155">
        <f>Quantitative!I63</f>
        <v>97.22</v>
      </c>
      <c r="K51" s="155">
        <f>Quantitative!J63</f>
        <v>48.22</v>
      </c>
      <c r="L51" s="155">
        <f>Quantitative!K63</f>
        <v>74.5</v>
      </c>
    </row>
    <row r="52" spans="1:12">
      <c r="A52" s="160" t="s">
        <v>64</v>
      </c>
      <c r="B52" s="158"/>
      <c r="C52" s="158">
        <f>Quantitative!B65-Quantitative!B60</f>
        <v>85.159999999999968</v>
      </c>
      <c r="D52" s="158">
        <f>Quantitative!C65-Quantitative!C60</f>
        <v>230.40000000000003</v>
      </c>
      <c r="E52" s="158">
        <f>Quantitative!D65-Quantitative!D60</f>
        <v>142.74999999999994</v>
      </c>
      <c r="F52" s="158">
        <f>Quantitative!E65-Quantitative!E60</f>
        <v>43.75</v>
      </c>
      <c r="G52" s="158">
        <f>Quantitative!F65-Quantitative!F60</f>
        <v>22.340000000000032</v>
      </c>
      <c r="H52" s="158">
        <f>Quantitative!G65-Quantitative!G60</f>
        <v>66.779999999999973</v>
      </c>
      <c r="I52" s="158">
        <f>Quantitative!H65-Quantitative!H60</f>
        <v>-3.0099999999999909</v>
      </c>
      <c r="J52" s="158">
        <f>Quantitative!I65-Quantitative!I60</f>
        <v>-157.68000000000006</v>
      </c>
      <c r="K52" s="158">
        <f>Quantitative!J65-Quantitative!J60</f>
        <v>4.9600000000000364</v>
      </c>
      <c r="L52" s="158">
        <f>Quantitative!K65-Quantitative!K60</f>
        <v>94.929999999999836</v>
      </c>
    </row>
    <row r="53" spans="1:12">
      <c r="A53" s="158" t="s">
        <v>255</v>
      </c>
      <c r="B53" s="158"/>
      <c r="C53" s="158">
        <f>Quantitative!B67</f>
        <v>28.61</v>
      </c>
      <c r="D53" s="158">
        <f>Quantitative!C67</f>
        <v>46.32</v>
      </c>
      <c r="E53" s="158">
        <f>Quantitative!D67</f>
        <v>49.61</v>
      </c>
      <c r="F53" s="158">
        <f>Quantitative!E67</f>
        <v>39.49</v>
      </c>
      <c r="G53" s="158">
        <f>Quantitative!F67</f>
        <v>57.26</v>
      </c>
      <c r="H53" s="158">
        <f>Quantitative!G67</f>
        <v>52.14</v>
      </c>
      <c r="I53" s="158">
        <f>Quantitative!H67</f>
        <v>77.12</v>
      </c>
      <c r="J53" s="158">
        <f>Quantitative!I67</f>
        <v>53.69</v>
      </c>
      <c r="K53" s="158">
        <f>Quantitative!J67</f>
        <v>70.98</v>
      </c>
      <c r="L53" s="158">
        <f>Quantitative!K67</f>
        <v>106.7</v>
      </c>
    </row>
    <row r="54" spans="1:12">
      <c r="A54" s="158" t="s">
        <v>254</v>
      </c>
      <c r="B54" s="158"/>
      <c r="C54" s="158">
        <f>Quantitative!B68</f>
        <v>214.94</v>
      </c>
      <c r="D54" s="158">
        <f>Quantitative!C68</f>
        <v>301.52999999999997</v>
      </c>
      <c r="E54" s="158">
        <f>Quantitative!D68</f>
        <v>253.63</v>
      </c>
      <c r="F54" s="158">
        <f>Quantitative!E68</f>
        <v>268.33999999999997</v>
      </c>
      <c r="G54" s="158">
        <f>Quantitative!F68</f>
        <v>311.2</v>
      </c>
      <c r="H54" s="158">
        <f>Quantitative!G68</f>
        <v>382.28</v>
      </c>
      <c r="I54" s="158">
        <f>Quantitative!H68</f>
        <v>331.49</v>
      </c>
      <c r="J54" s="158">
        <f>Quantitative!I68</f>
        <v>366.86</v>
      </c>
      <c r="K54" s="158">
        <f>Quantitative!J68</f>
        <v>345.74</v>
      </c>
      <c r="L54" s="158">
        <f>Quantitative!K68</f>
        <v>384.01</v>
      </c>
    </row>
    <row r="55" spans="1:12">
      <c r="A55" s="158" t="s">
        <v>279</v>
      </c>
      <c r="B55" s="158"/>
      <c r="C55" s="158">
        <f>Quantitative!B69</f>
        <v>48.65</v>
      </c>
      <c r="D55" s="158">
        <f>Quantitative!C69</f>
        <v>43.77</v>
      </c>
      <c r="E55" s="158">
        <f>Quantitative!D69</f>
        <v>40.799999999999997</v>
      </c>
      <c r="F55" s="158">
        <f>Quantitative!E69</f>
        <v>23.36</v>
      </c>
      <c r="G55" s="158">
        <f>Quantitative!F69</f>
        <v>28.75</v>
      </c>
      <c r="H55" s="158">
        <f>Quantitative!G69</f>
        <v>30.94</v>
      </c>
      <c r="I55" s="158">
        <f>Quantitative!H69</f>
        <v>64.48</v>
      </c>
      <c r="J55" s="158">
        <f>Quantitative!I69</f>
        <v>65.78</v>
      </c>
      <c r="K55" s="158">
        <f>Quantitative!J69</f>
        <v>186.67</v>
      </c>
      <c r="L55" s="158">
        <f>Quantitative!K69</f>
        <v>24.8</v>
      </c>
    </row>
    <row r="56" spans="1:12">
      <c r="A56" s="155" t="s">
        <v>280</v>
      </c>
      <c r="B56" s="161"/>
      <c r="C56" s="155"/>
      <c r="D56" s="155"/>
      <c r="E56" s="155"/>
      <c r="F56" s="155"/>
      <c r="G56" s="155"/>
      <c r="H56" s="155"/>
      <c r="I56" s="155"/>
      <c r="J56" s="155"/>
      <c r="K56" s="155"/>
      <c r="L56" s="141"/>
    </row>
    <row r="57" spans="1:12">
      <c r="A57" s="160" t="s">
        <v>281</v>
      </c>
      <c r="B57" s="155"/>
      <c r="C57" s="155">
        <f t="shared" ref="C57:L57" si="13">C42+C45</f>
        <v>619.59999999999991</v>
      </c>
      <c r="D57" s="155">
        <f t="shared" si="13"/>
        <v>861.91</v>
      </c>
      <c r="E57" s="155">
        <f t="shared" si="13"/>
        <v>849.70999999999992</v>
      </c>
      <c r="F57" s="155">
        <f t="shared" si="13"/>
        <v>825.86</v>
      </c>
      <c r="G57" s="155">
        <f t="shared" si="13"/>
        <v>882.74</v>
      </c>
      <c r="H57" s="155">
        <f t="shared" si="13"/>
        <v>954.54</v>
      </c>
      <c r="I57" s="155">
        <f t="shared" si="13"/>
        <v>856.71</v>
      </c>
      <c r="J57" s="155">
        <f t="shared" si="13"/>
        <v>858.19</v>
      </c>
      <c r="K57" s="155">
        <f t="shared" si="13"/>
        <v>1240.1600000000001</v>
      </c>
      <c r="L57" s="155">
        <f t="shared" si="13"/>
        <v>1703.7</v>
      </c>
    </row>
    <row r="58" spans="1:12">
      <c r="A58" s="160" t="s">
        <v>282</v>
      </c>
      <c r="B58" s="155"/>
      <c r="C58" s="155">
        <f t="shared" ref="C58:L58" si="14">C49-C48</f>
        <v>619.59999999999991</v>
      </c>
      <c r="D58" s="155">
        <f t="shared" si="14"/>
        <v>861.91000000000008</v>
      </c>
      <c r="E58" s="155">
        <f t="shared" si="14"/>
        <v>849.71</v>
      </c>
      <c r="F58" s="155">
        <f t="shared" si="14"/>
        <v>825.86</v>
      </c>
      <c r="G58" s="155">
        <f t="shared" si="14"/>
        <v>882.7399999999999</v>
      </c>
      <c r="H58" s="155">
        <f t="shared" si="14"/>
        <v>954.54</v>
      </c>
      <c r="I58" s="155">
        <f t="shared" si="14"/>
        <v>856.71</v>
      </c>
      <c r="J58" s="155">
        <f t="shared" si="14"/>
        <v>858.18999999999994</v>
      </c>
      <c r="K58" s="155">
        <f t="shared" si="14"/>
        <v>1240.1600000000001</v>
      </c>
      <c r="L58" s="155">
        <f t="shared" si="14"/>
        <v>1703.6999999999998</v>
      </c>
    </row>
    <row r="59" spans="1:12">
      <c r="A59" s="160" t="s">
        <v>283</v>
      </c>
      <c r="B59" s="155"/>
      <c r="C59" s="155">
        <f>Quantitative!B59+Quantitative!B60</f>
        <v>345.94</v>
      </c>
      <c r="D59" s="155">
        <f>Quantitative!C59+Quantitative!C60</f>
        <v>476.40999999999997</v>
      </c>
      <c r="E59" s="155">
        <f>Quantitative!D59+Quantitative!D60</f>
        <v>462.71000000000004</v>
      </c>
      <c r="F59" s="155">
        <f>Quantitative!E59+Quantitative!E60</f>
        <v>955.93000000000006</v>
      </c>
      <c r="G59" s="155">
        <f>Quantitative!F59+Quantitative!F60</f>
        <v>1054.06</v>
      </c>
      <c r="H59" s="155">
        <f>Quantitative!G59+Quantitative!G60</f>
        <v>1175.98</v>
      </c>
      <c r="I59" s="155">
        <f>Quantitative!H59+Quantitative!H60</f>
        <v>1066.01</v>
      </c>
      <c r="J59" s="155">
        <f>Quantitative!I59+Quantitative!I60</f>
        <v>1018.7700000000001</v>
      </c>
      <c r="K59" s="155">
        <f>Quantitative!J59+Quantitative!J60</f>
        <v>1244.08</v>
      </c>
      <c r="L59" s="155">
        <f>Quantitative!K59+Quantitative!K60</f>
        <v>1393.1000000000001</v>
      </c>
    </row>
    <row r="60" spans="1:12">
      <c r="A60" s="161" t="s">
        <v>17</v>
      </c>
      <c r="B60" s="162"/>
      <c r="C60" s="162">
        <f>Quantitative!B66</f>
        <v>960.76</v>
      </c>
      <c r="D60" s="162">
        <f>Quantitative!C66</f>
        <v>1232.22</v>
      </c>
      <c r="E60" s="162">
        <f>Quantitative!D66</f>
        <v>1287.25</v>
      </c>
      <c r="F60" s="162">
        <f>Quantitative!E66</f>
        <v>1352.18</v>
      </c>
      <c r="G60" s="162">
        <f>Quantitative!F66</f>
        <v>1505.36</v>
      </c>
      <c r="H60" s="162">
        <f>Quantitative!G66</f>
        <v>1696.02</v>
      </c>
      <c r="I60" s="162">
        <f>Quantitative!H66</f>
        <v>1707.24</v>
      </c>
      <c r="J60" s="162">
        <f>Quantitative!I66</f>
        <v>1876.51</v>
      </c>
      <c r="K60" s="162">
        <f>Quantitative!J66</f>
        <v>2483.27</v>
      </c>
      <c r="L60" s="162">
        <f>Quantitative!K66</f>
        <v>3096.12</v>
      </c>
    </row>
    <row r="61" spans="1:12">
      <c r="A61" s="293"/>
      <c r="B61" s="293"/>
      <c r="C61" s="293"/>
      <c r="D61" s="293"/>
      <c r="E61" s="293"/>
      <c r="F61" s="293"/>
      <c r="G61" s="293"/>
      <c r="H61" s="293"/>
      <c r="I61" s="293"/>
      <c r="J61" s="293"/>
      <c r="K61" s="293"/>
      <c r="L61" s="141"/>
    </row>
    <row r="62" spans="1:12">
      <c r="A62" s="158" t="s">
        <v>62</v>
      </c>
      <c r="B62" s="155"/>
      <c r="C62" s="155">
        <f>Quantitative!B82</f>
        <v>87</v>
      </c>
      <c r="D62" s="155">
        <f>Quantitative!C82</f>
        <v>63.13</v>
      </c>
      <c r="E62" s="155">
        <f>Quantitative!D82</f>
        <v>246.78</v>
      </c>
      <c r="F62" s="155">
        <f>Quantitative!E82</f>
        <v>235.29</v>
      </c>
      <c r="G62" s="155">
        <f>Quantitative!F82</f>
        <v>246.32</v>
      </c>
      <c r="H62" s="155">
        <f>Quantitative!G82</f>
        <v>210.66</v>
      </c>
      <c r="I62" s="155">
        <f>Quantitative!H82</f>
        <v>272.01</v>
      </c>
      <c r="J62" s="155">
        <f>Quantitative!I82</f>
        <v>614.51</v>
      </c>
      <c r="K62" s="155">
        <f>Quantitative!J82</f>
        <v>515.33000000000004</v>
      </c>
      <c r="L62" s="155">
        <f>Quantitative!K82</f>
        <v>877.69</v>
      </c>
    </row>
    <row r="63" spans="1:12">
      <c r="A63" s="158" t="s">
        <v>29</v>
      </c>
      <c r="B63" s="159"/>
      <c r="C63" s="159"/>
      <c r="D63" s="159">
        <f t="shared" ref="D63:L63" si="15">D62-D23</f>
        <v>-2.2399999999999878</v>
      </c>
      <c r="E63" s="159">
        <f t="shared" si="15"/>
        <v>180.14000000000004</v>
      </c>
      <c r="F63" s="159">
        <f t="shared" si="15"/>
        <v>190.13999999999996</v>
      </c>
      <c r="G63" s="159">
        <f t="shared" si="15"/>
        <v>177.8</v>
      </c>
      <c r="H63" s="159">
        <f t="shared" si="15"/>
        <v>19.920000000000016</v>
      </c>
      <c r="I63" s="159">
        <f t="shared" si="15"/>
        <v>93.629999999999967</v>
      </c>
      <c r="J63" s="159">
        <f t="shared" si="15"/>
        <v>488.37</v>
      </c>
      <c r="K63" s="159">
        <f t="shared" si="15"/>
        <v>466.78</v>
      </c>
      <c r="L63" s="159">
        <f t="shared" si="15"/>
        <v>651.07000000000016</v>
      </c>
    </row>
    <row r="64" spans="1:12">
      <c r="A64" s="158" t="s">
        <v>284</v>
      </c>
      <c r="B64" s="163"/>
      <c r="C64" s="163">
        <f>Quantitative!B83</f>
        <v>59.05</v>
      </c>
      <c r="D64" s="163">
        <f>Quantitative!C83</f>
        <v>-130.31</v>
      </c>
      <c r="E64" s="163">
        <f>Quantitative!D83</f>
        <v>12.27</v>
      </c>
      <c r="F64" s="163">
        <f>Quantitative!E83</f>
        <v>-109.69</v>
      </c>
      <c r="G64" s="163">
        <f>Quantitative!F83</f>
        <v>-156.41999999999999</v>
      </c>
      <c r="H64" s="163">
        <f>Quantitative!G83</f>
        <v>-51.56</v>
      </c>
      <c r="I64" s="163">
        <f>Quantitative!H83</f>
        <v>53.89</v>
      </c>
      <c r="J64" s="163">
        <f>Quantitative!I83</f>
        <v>-227.34</v>
      </c>
      <c r="K64" s="163">
        <f>Quantitative!J83</f>
        <v>-384.29</v>
      </c>
      <c r="L64" s="163">
        <f>Quantitative!K83</f>
        <v>-659.37</v>
      </c>
    </row>
    <row r="65" spans="1:13">
      <c r="A65" s="158" t="s">
        <v>285</v>
      </c>
      <c r="B65" s="163"/>
      <c r="C65" s="163">
        <f>Quantitative!B84</f>
        <v>-49.07</v>
      </c>
      <c r="D65" s="163">
        <f>Quantitative!C84</f>
        <v>53.08</v>
      </c>
      <c r="E65" s="163">
        <f>Quantitative!D84</f>
        <v>-145.77000000000001</v>
      </c>
      <c r="F65" s="163">
        <f>Quantitative!E84</f>
        <v>-184.05</v>
      </c>
      <c r="G65" s="163">
        <f>Quantitative!F84</f>
        <v>-107.39</v>
      </c>
      <c r="H65" s="163">
        <f>Quantitative!G84</f>
        <v>-128.55000000000001</v>
      </c>
      <c r="I65" s="163">
        <f>Quantitative!H84</f>
        <v>-359.11</v>
      </c>
      <c r="J65" s="163">
        <f>Quantitative!I84</f>
        <v>-325.45999999999998</v>
      </c>
      <c r="K65" s="163">
        <f>Quantitative!J84</f>
        <v>-168.11</v>
      </c>
      <c r="L65" s="163">
        <f>Quantitative!K84</f>
        <v>-228.29</v>
      </c>
    </row>
    <row r="66" spans="1:13">
      <c r="A66" s="158" t="s">
        <v>286</v>
      </c>
      <c r="B66" s="164"/>
      <c r="C66" s="164">
        <f t="shared" ref="C66:L66" si="16">C34/C33</f>
        <v>8.9871491376394941E-2</v>
      </c>
      <c r="D66" s="164">
        <f t="shared" si="16"/>
        <v>0.17722064271560273</v>
      </c>
      <c r="E66" s="164">
        <f t="shared" si="16"/>
        <v>0.22375215146299476</v>
      </c>
      <c r="F66" s="164">
        <f t="shared" si="16"/>
        <v>3.4394165423504035E-2</v>
      </c>
      <c r="G66" s="164">
        <f t="shared" si="16"/>
        <v>0.26643441381399535</v>
      </c>
      <c r="H66" s="164">
        <f t="shared" si="16"/>
        <v>0.2600546816182594</v>
      </c>
      <c r="I66" s="164">
        <f t="shared" si="16"/>
        <v>0.29595400084291662</v>
      </c>
      <c r="J66" s="164">
        <f t="shared" si="16"/>
        <v>0.31843647488113191</v>
      </c>
      <c r="K66" s="164">
        <f t="shared" si="16"/>
        <v>0.29480744609737042</v>
      </c>
      <c r="L66" s="164">
        <f t="shared" si="16"/>
        <v>0.33800240376117935</v>
      </c>
    </row>
    <row r="67" spans="1:13">
      <c r="A67" s="158" t="s">
        <v>287</v>
      </c>
      <c r="B67" s="159"/>
      <c r="C67" s="159">
        <f t="shared" ref="C67:L67" si="17">C31*(1-C66)</f>
        <v>115.75014372675017</v>
      </c>
      <c r="D67" s="159">
        <f t="shared" si="17"/>
        <v>199.00564314637708</v>
      </c>
      <c r="E67" s="159">
        <f t="shared" si="17"/>
        <v>192.8277280550775</v>
      </c>
      <c r="F67" s="159">
        <f t="shared" si="17"/>
        <v>124.43762390187315</v>
      </c>
      <c r="G67" s="159">
        <f t="shared" si="17"/>
        <v>172.98210087852198</v>
      </c>
      <c r="H67" s="159">
        <f t="shared" si="17"/>
        <v>214.90971827079235</v>
      </c>
      <c r="I67" s="159">
        <f t="shared" si="17"/>
        <v>260.44069600818813</v>
      </c>
      <c r="J67" s="159">
        <f t="shared" si="17"/>
        <v>373.53770557664728</v>
      </c>
      <c r="K67" s="159">
        <f t="shared" si="17"/>
        <v>623.26328299022191</v>
      </c>
      <c r="L67" s="159">
        <f t="shared" si="17"/>
        <v>749.91749699529828</v>
      </c>
    </row>
    <row r="68" spans="1:13">
      <c r="A68" s="287"/>
      <c r="B68" s="287"/>
      <c r="C68" s="287"/>
      <c r="D68" s="287"/>
      <c r="E68" s="287"/>
      <c r="F68" s="287"/>
      <c r="G68" s="287"/>
      <c r="H68" s="287"/>
      <c r="I68" s="287"/>
      <c r="J68" s="287"/>
      <c r="K68" s="287"/>
      <c r="L68" s="141"/>
    </row>
    <row r="69" spans="1:13">
      <c r="A69" s="165" t="s">
        <v>288</v>
      </c>
      <c r="C69" s="166"/>
      <c r="D69" s="166">
        <f t="shared" ref="D69:L69" si="18">D37+C36</f>
        <v>3174.639065755</v>
      </c>
      <c r="E69" s="166">
        <f t="shared" si="18"/>
        <v>3654.9537439700002</v>
      </c>
      <c r="F69" s="166">
        <f t="shared" si="18"/>
        <v>4023.2222480150003</v>
      </c>
      <c r="G69" s="166">
        <f t="shared" si="18"/>
        <v>4557.4115371949993</v>
      </c>
      <c r="H69" s="166">
        <f t="shared" si="18"/>
        <v>6958.2458456300001</v>
      </c>
      <c r="I69" s="166">
        <f t="shared" si="18"/>
        <v>6539.6684991600005</v>
      </c>
      <c r="J69" s="166">
        <f t="shared" si="18"/>
        <v>10552.114137799999</v>
      </c>
      <c r="K69" s="166">
        <f t="shared" si="18"/>
        <v>26573.517581399999</v>
      </c>
      <c r="L69" s="166">
        <f t="shared" si="18"/>
        <v>33304.725036739997</v>
      </c>
    </row>
    <row r="70" spans="1:13">
      <c r="A70" s="149" t="s">
        <v>289</v>
      </c>
      <c r="B70" s="166"/>
      <c r="C70" s="166">
        <f t="shared" ref="C70:L70" si="19">C35-C36</f>
        <v>71.820000000000078</v>
      </c>
      <c r="D70" s="166">
        <f t="shared" si="19"/>
        <v>147.99999999999989</v>
      </c>
      <c r="E70" s="166">
        <f t="shared" si="19"/>
        <v>84.84000000000006</v>
      </c>
      <c r="F70" s="166">
        <f t="shared" si="19"/>
        <v>56.780000000000108</v>
      </c>
      <c r="G70" s="166">
        <f t="shared" si="19"/>
        <v>67.650000000000304</v>
      </c>
      <c r="H70" s="166">
        <f t="shared" si="19"/>
        <v>85.209999999999496</v>
      </c>
      <c r="I70" s="166">
        <f t="shared" si="19"/>
        <v>132.20999999999984</v>
      </c>
      <c r="J70" s="166">
        <f t="shared" si="19"/>
        <v>225.92000000000061</v>
      </c>
      <c r="K70" s="166">
        <f t="shared" si="19"/>
        <v>430.52999999999963</v>
      </c>
      <c r="L70" s="166">
        <f t="shared" si="19"/>
        <v>509.1399999999997</v>
      </c>
    </row>
    <row r="71" spans="1:13">
      <c r="A71" s="231"/>
      <c r="B71" s="231"/>
      <c r="C71" s="231"/>
      <c r="D71" s="231"/>
      <c r="E71" s="231"/>
      <c r="F71" s="231"/>
      <c r="G71" s="231"/>
      <c r="H71" s="231"/>
      <c r="I71" s="231"/>
      <c r="J71" s="231"/>
      <c r="K71" s="231"/>
      <c r="L71" s="141"/>
    </row>
    <row r="72" spans="1:13">
      <c r="A72" s="167" t="s">
        <v>346</v>
      </c>
      <c r="B72" s="183"/>
      <c r="C72" s="183">
        <f>Quantitative!B90</f>
        <v>249.65</v>
      </c>
      <c r="D72" s="183">
        <f>Quantitative!C90</f>
        <v>262.77</v>
      </c>
      <c r="E72" s="183">
        <f>Quantitative!D90</f>
        <v>302.38</v>
      </c>
      <c r="F72" s="183">
        <f>Quantitative!E90</f>
        <v>328.81</v>
      </c>
      <c r="G72" s="183">
        <f>Quantitative!F90</f>
        <v>376.53</v>
      </c>
      <c r="H72" s="183">
        <f>Quantitative!G90</f>
        <v>576.02</v>
      </c>
      <c r="I72" s="183">
        <f>Quantitative!H90</f>
        <v>538.64</v>
      </c>
      <c r="J72" s="183">
        <f>Quantitative!I90</f>
        <v>871.41</v>
      </c>
      <c r="K72" s="183">
        <f>Quantitative!J90</f>
        <v>2203.83</v>
      </c>
      <c r="L72" s="183">
        <f>Quantitative!K90</f>
        <v>2759.96</v>
      </c>
      <c r="M72" s="168"/>
    </row>
    <row r="73" spans="1:13">
      <c r="A73" s="167" t="s">
        <v>37</v>
      </c>
      <c r="B73" s="183"/>
      <c r="C73" s="183">
        <f>SUM(Quantitative!B57:B58)/Quantitative!B93</f>
        <v>51.470557149400776</v>
      </c>
      <c r="D73" s="183">
        <f>SUM(Quantitative!C57:C58)/Quantitative!C93</f>
        <v>63.273741581419927</v>
      </c>
      <c r="E73" s="183">
        <f>SUM(Quantitative!D57:D58)/Quantitative!D93</f>
        <v>69.027574236308055</v>
      </c>
      <c r="F73" s="183">
        <f>SUM(Quantitative!E57:E58)/Quantitative!E93</f>
        <v>33.172649345255614</v>
      </c>
      <c r="G73" s="183">
        <f>SUM(Quantitative!F57:F58)/Quantitative!F93</f>
        <v>37.78124075587094</v>
      </c>
      <c r="H73" s="183">
        <f>SUM(Quantitative!G57:G58)/Quantitative!G93</f>
        <v>43.535910575411307</v>
      </c>
      <c r="I73" s="183">
        <f>SUM(Quantitative!H57:H58)/Quantitative!H93</f>
        <v>53.647824948945129</v>
      </c>
      <c r="J73" s="183">
        <f>SUM(Quantitative!I57:I58)/Quantitative!I93</f>
        <v>71.522558115101177</v>
      </c>
      <c r="K73" s="183">
        <f>SUM(Quantitative!J57:J58)/Quantitative!J93</f>
        <v>103.3297255469632</v>
      </c>
      <c r="L73" s="183">
        <f>SUM(Quantitative!K57:K58)/Quantitative!K93</f>
        <v>141.94694155651285</v>
      </c>
    </row>
    <row r="74" spans="1:13">
      <c r="A74" s="167" t="s">
        <v>35</v>
      </c>
      <c r="B74" s="168"/>
      <c r="C74" s="168">
        <f>(Quantitative!B30/Quantitative!B93)</f>
        <v>9.0120774814303282</v>
      </c>
      <c r="D74" s="168">
        <f>(Quantitative!C30/Quantitative!C93)</f>
        <v>15.989844857902392</v>
      </c>
      <c r="E74" s="168">
        <f>(Quantitative!D30/Quantitative!D93)</f>
        <v>15.102450326521422</v>
      </c>
      <c r="F74" s="168">
        <f>(Quantitative!E30/Quantitative!E93)</f>
        <v>9.7538053633204598</v>
      </c>
      <c r="G74" s="168">
        <f>(Quantitative!F30/Quantitative!F93)</f>
        <v>12.163165232485017</v>
      </c>
      <c r="H74" s="168">
        <f>(Quantitative!G30/Quantitative!G93)</f>
        <v>15.633212716045513</v>
      </c>
      <c r="I74" s="168">
        <f>(Quantitative!H30/Quantitative!H93)</f>
        <v>19.566484445222144</v>
      </c>
      <c r="J74" s="168">
        <f>(Quantitative!I30/Quantitative!I93)</f>
        <v>30.838234975293055</v>
      </c>
      <c r="K74" s="168">
        <f>(Quantitative!J30/Quantitative!J93)</f>
        <v>51.899591247254548</v>
      </c>
      <c r="L74" s="168">
        <f>(Quantitative!K30/Quantitative!K93)</f>
        <v>62.43675027337801</v>
      </c>
    </row>
    <row r="75" spans="1:13">
      <c r="A75" s="167" t="s">
        <v>33</v>
      </c>
      <c r="B75" s="168"/>
      <c r="C75" s="168">
        <f>Quantitative!B31/Quantitative!B93</f>
        <v>2.9995609489981292</v>
      </c>
      <c r="D75" s="168">
        <f>Quantitative!C31/Quantitative!C93</f>
        <v>3.5998080046586538</v>
      </c>
      <c r="E75" s="168">
        <f>Quantitative!D31/Quantitative!D93</f>
        <v>7.9999454168646738</v>
      </c>
      <c r="F75" s="168">
        <f>Quantitative!E31/Quantitative!E93</f>
        <v>5.0003844678665432</v>
      </c>
      <c r="G75" s="168">
        <f>Quantitative!F31/Quantitative!F93</f>
        <v>6.4997463600394854</v>
      </c>
      <c r="H75" s="168">
        <f>Quantitative!G31/Quantitative!G93</f>
        <v>8.4997327142556536</v>
      </c>
      <c r="I75" s="168">
        <f>Quantitative!H31/Quantitative!H93</f>
        <v>8.5052756176563182</v>
      </c>
      <c r="J75" s="168">
        <f>Quantitative!I31/Quantitative!I93</f>
        <v>11.999919950502727</v>
      </c>
      <c r="K75" s="168">
        <f>Quantitative!J31/Quantitative!J93</f>
        <v>15.999893267336969</v>
      </c>
      <c r="L75" s="168">
        <f>Quantitative!K31/Quantitative!K93</f>
        <v>19.999864139285069</v>
      </c>
    </row>
    <row r="76" spans="1:13">
      <c r="A76" s="167" t="s">
        <v>38</v>
      </c>
      <c r="B76" s="168"/>
      <c r="C76" s="168">
        <f>Quantitative!B90/(Quantitative!B30/Quantitative!B93)</f>
        <v>27.701714783790059</v>
      </c>
      <c r="D76" s="168">
        <f>Quantitative!C90/(Quantitative!C30/Quantitative!C93)</f>
        <v>16.433555318089006</v>
      </c>
      <c r="E76" s="168">
        <f>Quantitative!D90/(Quantitative!D30/Quantitative!D93)</f>
        <v>20.021916540853656</v>
      </c>
      <c r="F76" s="168">
        <f>Quantitative!E90/(Quantitative!E30/Quantitative!E93)</f>
        <v>33.710945395373784</v>
      </c>
      <c r="G76" s="168">
        <f>Quantitative!F90/(Quantitative!F30/Quantitative!F93)</f>
        <v>30.956580199566385</v>
      </c>
      <c r="H76" s="168">
        <f>Quantitative!G90/(Quantitative!G30/Quantitative!G93)</f>
        <v>36.845913278515582</v>
      </c>
      <c r="I76" s="168">
        <f>Quantitative!H90/(Quantitative!H30/Quantitative!H93)</f>
        <v>27.528706115192204</v>
      </c>
      <c r="J76" s="168">
        <f>Quantitative!I90/(Quantitative!I30/Quantitative!I93)</f>
        <v>28.257453797150042</v>
      </c>
      <c r="K76" s="168">
        <f>Quantitative!J90/(Quantitative!J30/Quantitative!J93)</f>
        <v>42.463340212078855</v>
      </c>
      <c r="L76" s="168">
        <f>Quantitative!K90/(Quantitative!K30/Quantitative!K93)</f>
        <v>44.204094350131498</v>
      </c>
    </row>
    <row r="77" spans="1:13">
      <c r="A77" s="167" t="s">
        <v>290</v>
      </c>
      <c r="B77" s="167"/>
      <c r="C77" s="168"/>
      <c r="D77" s="168">
        <f>D76/((((Quantitative!C30/Quantitative!C93) - (Quantitative!B30/Quantitative!B93))/(Quantitative!B30/Quantitative!B93))*100)</f>
        <v>0.21224621835540275</v>
      </c>
      <c r="E77" s="168">
        <f>E76/((((Quantitative!D30/Quantitative!D93) - (Quantitative!C30/Quantitative!C93))/(Quantitative!C30/Quantitative!C93))*100)</f>
        <v>-3.6077226974557082</v>
      </c>
      <c r="F77" s="168">
        <f>F76/((((Quantitative!E30/Quantitative!E93) - (Quantitative!D30/Quantitative!D93))/(Quantitative!D30/Quantitative!D93))*100)</f>
        <v>-0.9518632883589655</v>
      </c>
      <c r="G77" s="168">
        <f>G76/((((Quantitative!F30/Quantitative!F93) - (Quantitative!E30/Quantitative!E93))/(Quantitative!E30/Quantitative!E93))*100)</f>
        <v>1.2532144402541634</v>
      </c>
      <c r="H77" s="168">
        <f>H76/((((Quantitative!G30/Quantitative!G93) - (Quantitative!F30/Quantitative!F93))/(Quantitative!F30/Quantitative!F93))*100)</f>
        <v>1.291518152047171</v>
      </c>
      <c r="I77" s="168">
        <f>I76/((((Quantitative!H30/Quantitative!H93) - (Quantitative!G30/Quantitative!G93))/(Quantitative!G30/Quantitative!G93))*100)</f>
        <v>1.0941581160129819</v>
      </c>
      <c r="J77" s="168">
        <f>J76/((((Quantitative!I30/Quantitative!I93) - (Quantitative!H30/Quantitative!H93))/(Quantitative!H30/Quantitative!H93))*100)</f>
        <v>0.49051744776331685</v>
      </c>
      <c r="K77" s="168">
        <f>K76/((((Quantitative!J30/Quantitative!J93) - (Quantitative!I30/Quantitative!I93))/(Quantitative!I30/Quantitative!I93))*100)</f>
        <v>0.62175220170374235</v>
      </c>
      <c r="L77" s="168">
        <f>L76/((((Quantitative!K30/Quantitative!K93) - (Quantitative!J30/Quantitative!J93))/(Quantitative!J30/Quantitative!J93))*100)</f>
        <v>2.1772229331826907</v>
      </c>
    </row>
    <row r="78" spans="1:13">
      <c r="A78" s="158" t="s">
        <v>291</v>
      </c>
      <c r="C78" s="169">
        <f>C37/C42</f>
        <v>4.850345786531018</v>
      </c>
      <c r="D78" s="169">
        <f t="shared" ref="D78:L78" si="20">D37/D42</f>
        <v>4.1529075637461803</v>
      </c>
      <c r="E78" s="169">
        <f t="shared" si="20"/>
        <v>4.3805682489266751</v>
      </c>
      <c r="F78" s="169">
        <f t="shared" si="20"/>
        <v>9.9120813830031551</v>
      </c>
      <c r="G78" s="169">
        <f t="shared" si="20"/>
        <v>9.9660570290161754</v>
      </c>
      <c r="H78" s="169">
        <f t="shared" si="20"/>
        <v>13.230916555707253</v>
      </c>
      <c r="I78" s="169">
        <f t="shared" si="20"/>
        <v>10.040295212575831</v>
      </c>
      <c r="J78" s="169">
        <f t="shared" si="20"/>
        <v>12.183708510504347</v>
      </c>
      <c r="K78" s="169">
        <f t="shared" si="20"/>
        <v>21.32813174848086</v>
      </c>
      <c r="L78" s="169">
        <f t="shared" si="20"/>
        <v>19.443603150133292</v>
      </c>
    </row>
    <row r="79" spans="1:13">
      <c r="A79" s="161" t="s">
        <v>292</v>
      </c>
      <c r="B79" s="159"/>
      <c r="C79" s="159">
        <f>C37/C62</f>
        <v>34.27689191350575</v>
      </c>
      <c r="D79" s="159">
        <f t="shared" ref="D79:L79" si="21">D37/D62</f>
        <v>49.719769772770476</v>
      </c>
      <c r="E79" s="159">
        <f t="shared" si="21"/>
        <v>14.636330918105196</v>
      </c>
      <c r="F79" s="159">
        <f t="shared" si="21"/>
        <v>16.692856679055637</v>
      </c>
      <c r="G79" s="159">
        <f t="shared" si="21"/>
        <v>18.259506078251867</v>
      </c>
      <c r="H79" s="159">
        <f t="shared" si="21"/>
        <v>32.662137309550936</v>
      </c>
      <c r="I79" s="159">
        <f t="shared" si="21"/>
        <v>23.668756660269846</v>
      </c>
      <c r="J79" s="159">
        <f t="shared" si="21"/>
        <v>17.006157975948316</v>
      </c>
      <c r="K79" s="159">
        <f t="shared" si="21"/>
        <v>51.286763008945719</v>
      </c>
      <c r="L79" s="159">
        <f t="shared" si="21"/>
        <v>37.727267072360398</v>
      </c>
    </row>
    <row r="80" spans="1:13">
      <c r="A80" s="161" t="s">
        <v>293</v>
      </c>
      <c r="B80" s="159"/>
      <c r="C80" s="159"/>
      <c r="D80" s="159">
        <f t="shared" ref="D80:L80" si="22">D37/D63</f>
        <v>-1401.2540472120613</v>
      </c>
      <c r="E80" s="159">
        <f t="shared" si="22"/>
        <v>20.050814610691681</v>
      </c>
      <c r="F80" s="159">
        <f t="shared" si="22"/>
        <v>20.656685852608611</v>
      </c>
      <c r="G80" s="159">
        <f t="shared" si="22"/>
        <v>25.296296609645665</v>
      </c>
      <c r="H80" s="159">
        <f t="shared" si="22"/>
        <v>345.41194004166636</v>
      </c>
      <c r="I80" s="159">
        <f t="shared" si="22"/>
        <v>68.76149203417711</v>
      </c>
      <c r="J80" s="159">
        <f t="shared" si="22"/>
        <v>21.398640657288531</v>
      </c>
      <c r="K80" s="159">
        <f t="shared" si="22"/>
        <v>56.621122544667728</v>
      </c>
      <c r="L80" s="159">
        <f t="shared" si="22"/>
        <v>50.859116587678734</v>
      </c>
    </row>
    <row r="81" spans="1:12">
      <c r="A81" s="161" t="s">
        <v>294</v>
      </c>
      <c r="B81" s="159"/>
      <c r="C81" s="159">
        <f>C37/C26</f>
        <v>1.3559328676413753</v>
      </c>
      <c r="D81" s="159">
        <f t="shared" ref="D81:L81" si="23">D37/D26</f>
        <v>1.2146623837138657</v>
      </c>
      <c r="E81" s="159">
        <f t="shared" si="23"/>
        <v>1.1605752002499832</v>
      </c>
      <c r="F81" s="159">
        <f t="shared" si="23"/>
        <v>1.1540203933688071</v>
      </c>
      <c r="G81" s="159">
        <f t="shared" si="23"/>
        <v>1.0649130434317819</v>
      </c>
      <c r="H81" s="159">
        <f t="shared" si="23"/>
        <v>1.3832615653262139</v>
      </c>
      <c r="I81" s="159">
        <f t="shared" si="23"/>
        <v>1.1464962984815219</v>
      </c>
      <c r="J81" s="159">
        <f t="shared" si="23"/>
        <v>1.6568587225143838</v>
      </c>
      <c r="K81" s="159">
        <f t="shared" si="23"/>
        <v>3.6830608154972344</v>
      </c>
      <c r="L81" s="159">
        <f t="shared" si="23"/>
        <v>4.1662382562362383</v>
      </c>
    </row>
    <row r="82" spans="1:12">
      <c r="A82" s="161" t="s">
        <v>295</v>
      </c>
      <c r="B82" s="159"/>
      <c r="C82" s="159">
        <f>(C37-C45+C8)/C29</f>
        <v>19.848865834535903</v>
      </c>
      <c r="D82" s="159">
        <f t="shared" ref="D82:L82" si="24">(D37-D45+D8)/D29</f>
        <v>11.354416186584247</v>
      </c>
      <c r="E82" s="159">
        <f t="shared" si="24"/>
        <v>12.86970498446092</v>
      </c>
      <c r="F82" s="159">
        <f t="shared" si="24"/>
        <v>21.161061522835155</v>
      </c>
      <c r="G82" s="159">
        <f t="shared" si="24"/>
        <v>14.604106766030652</v>
      </c>
      <c r="H82" s="159">
        <f t="shared" si="24"/>
        <v>19.176473962665828</v>
      </c>
      <c r="I82" s="159">
        <f t="shared" si="24"/>
        <v>14.723977749789235</v>
      </c>
      <c r="J82" s="159">
        <f t="shared" si="24"/>
        <v>17.198390909655874</v>
      </c>
      <c r="K82" s="159">
        <f t="shared" si="24"/>
        <v>26.586328483353149</v>
      </c>
      <c r="L82" s="159">
        <f t="shared" si="24"/>
        <v>27.168127438501276</v>
      </c>
    </row>
    <row r="83" spans="1:12">
      <c r="A83" s="155" t="s">
        <v>296</v>
      </c>
      <c r="B83" s="170"/>
      <c r="C83" s="170">
        <f>C36/C37</f>
        <v>1.2015064886834084E-2</v>
      </c>
      <c r="D83" s="170">
        <f t="shared" ref="D83:L83" si="25">D36/D37</f>
        <v>1.3699463426793979E-2</v>
      </c>
      <c r="E83" s="170">
        <f t="shared" si="25"/>
        <v>2.6456595730090196E-2</v>
      </c>
      <c r="F83" s="170">
        <f t="shared" si="25"/>
        <v>1.5207519442433452E-2</v>
      </c>
      <c r="G83" s="170">
        <f t="shared" si="25"/>
        <v>1.7262227073644824E-2</v>
      </c>
      <c r="H83" s="170">
        <f t="shared" si="25"/>
        <v>1.4755968046692223E-2</v>
      </c>
      <c r="I83" s="170">
        <f t="shared" si="25"/>
        <v>1.5790278511912073E-2</v>
      </c>
      <c r="J83" s="170">
        <f t="shared" si="25"/>
        <v>1.3770693416993985E-2</v>
      </c>
      <c r="K83" s="170">
        <f t="shared" si="25"/>
        <v>7.2600396887858723E-3</v>
      </c>
      <c r="L83" s="170">
        <f t="shared" si="25"/>
        <v>7.2464326074599163E-3</v>
      </c>
    </row>
    <row r="84" spans="1:12">
      <c r="A84" s="171" t="s">
        <v>297</v>
      </c>
      <c r="B84" s="172"/>
      <c r="C84" s="173">
        <f>C37+C8-C45</f>
        <v>3025.9595964750001</v>
      </c>
      <c r="D84" s="173">
        <f t="shared" ref="D84:L84" si="26">D37+D8-D45</f>
        <v>3076.4790657550002</v>
      </c>
      <c r="E84" s="173">
        <f t="shared" si="26"/>
        <v>3627.5837439700003</v>
      </c>
      <c r="F84" s="173">
        <f t="shared" si="26"/>
        <v>3521.4122480150004</v>
      </c>
      <c r="G84" s="173">
        <f t="shared" si="26"/>
        <v>4094.9915371949996</v>
      </c>
      <c r="H84" s="173">
        <f t="shared" si="26"/>
        <v>6477.0458456299993</v>
      </c>
      <c r="I84" s="173">
        <f t="shared" si="26"/>
        <v>6287.1384991600007</v>
      </c>
      <c r="J84" s="173">
        <f t="shared" si="26"/>
        <v>10515.784137799999</v>
      </c>
      <c r="K84" s="173">
        <f t="shared" si="26"/>
        <v>26615.307581399997</v>
      </c>
      <c r="L84" s="173">
        <f t="shared" si="26"/>
        <v>33136.965036740003</v>
      </c>
    </row>
    <row r="85" spans="1:12">
      <c r="A85" s="287"/>
      <c r="B85" s="287"/>
      <c r="C85" s="287"/>
      <c r="D85" s="287"/>
      <c r="E85" s="287"/>
      <c r="F85" s="287"/>
      <c r="G85" s="287"/>
      <c r="H85" s="287"/>
      <c r="I85" s="287"/>
      <c r="J85" s="287"/>
      <c r="K85" s="287"/>
      <c r="L85" s="141" t="s">
        <v>298</v>
      </c>
    </row>
    <row r="86" spans="1:12">
      <c r="A86" s="155" t="s">
        <v>299</v>
      </c>
      <c r="B86" s="159"/>
      <c r="C86" s="159">
        <f t="shared" ref="C86:K86" si="27">C52/C60</f>
        <v>8.8638161455514355E-2</v>
      </c>
      <c r="D86" s="159">
        <f t="shared" si="27"/>
        <v>0.18697959779909434</v>
      </c>
      <c r="E86" s="159">
        <f t="shared" si="27"/>
        <v>0.11089531947951053</v>
      </c>
      <c r="F86" s="159">
        <f t="shared" si="27"/>
        <v>3.2355159816000824E-2</v>
      </c>
      <c r="G86" s="159">
        <f t="shared" si="27"/>
        <v>1.4840303980443238E-2</v>
      </c>
      <c r="H86" s="159">
        <f t="shared" si="27"/>
        <v>3.9374535677645296E-2</v>
      </c>
      <c r="I86" s="159">
        <f t="shared" si="27"/>
        <v>-1.7630795904500778E-3</v>
      </c>
      <c r="J86" s="159">
        <f t="shared" si="27"/>
        <v>-8.4028329185562592E-2</v>
      </c>
      <c r="K86" s="159">
        <f t="shared" si="27"/>
        <v>1.9973663757867797E-3</v>
      </c>
      <c r="L86" s="155">
        <v>1.2</v>
      </c>
    </row>
    <row r="87" spans="1:12">
      <c r="A87" s="155" t="s">
        <v>300</v>
      </c>
      <c r="B87" s="159"/>
      <c r="C87" s="159">
        <f t="shared" ref="C87:K87" si="28">C70/C60</f>
        <v>7.4753320288105329E-2</v>
      </c>
      <c r="D87" s="159">
        <f t="shared" si="28"/>
        <v>0.12010842219733479</v>
      </c>
      <c r="E87" s="159">
        <f t="shared" si="28"/>
        <v>6.5907943289959262E-2</v>
      </c>
      <c r="F87" s="159">
        <f t="shared" si="28"/>
        <v>4.1991450842343556E-2</v>
      </c>
      <c r="G87" s="159">
        <f t="shared" si="28"/>
        <v>4.4939416485093475E-2</v>
      </c>
      <c r="H87" s="159">
        <f t="shared" si="28"/>
        <v>5.0241152816593845E-2</v>
      </c>
      <c r="I87" s="159">
        <f t="shared" si="28"/>
        <v>7.7440781612426984E-2</v>
      </c>
      <c r="J87" s="159">
        <f t="shared" si="28"/>
        <v>0.12039370959920311</v>
      </c>
      <c r="K87" s="159">
        <f t="shared" si="28"/>
        <v>0.1733722068079587</v>
      </c>
      <c r="L87" s="155">
        <v>1.4</v>
      </c>
    </row>
    <row r="88" spans="1:12">
      <c r="A88" s="155" t="s">
        <v>301</v>
      </c>
      <c r="B88" s="159"/>
      <c r="C88" s="159">
        <f t="shared" ref="C88:K88" si="29">C31/C60</f>
        <v>0.132374370290187</v>
      </c>
      <c r="D88" s="159">
        <f t="shared" si="29"/>
        <v>0.19628800051938769</v>
      </c>
      <c r="E88" s="159">
        <f t="shared" si="29"/>
        <v>0.1929772771411925</v>
      </c>
      <c r="F88" s="159">
        <f t="shared" si="29"/>
        <v>9.5305358754012123E-2</v>
      </c>
      <c r="G88" s="159">
        <f t="shared" si="29"/>
        <v>0.15664691502364905</v>
      </c>
      <c r="H88" s="159">
        <f t="shared" si="29"/>
        <v>0.17124798056626661</v>
      </c>
      <c r="I88" s="159">
        <f t="shared" si="29"/>
        <v>0.21667720999976561</v>
      </c>
      <c r="J88" s="159">
        <f t="shared" si="29"/>
        <v>0.29206345822830715</v>
      </c>
      <c r="K88" s="159">
        <f t="shared" si="29"/>
        <v>0.35590974803384234</v>
      </c>
      <c r="L88" s="155">
        <v>3.3</v>
      </c>
    </row>
    <row r="89" spans="1:12">
      <c r="A89" s="155" t="s">
        <v>302</v>
      </c>
      <c r="B89" s="159"/>
      <c r="C89" s="159">
        <f>C37/C59</f>
        <v>8.6202509003728984</v>
      </c>
      <c r="D89" s="159">
        <f t="shared" ref="D89:L89" si="30">D37/D59</f>
        <v>6.5884617572154243</v>
      </c>
      <c r="E89" s="159">
        <f t="shared" si="30"/>
        <v>7.8060853320006052</v>
      </c>
      <c r="F89" s="159">
        <f t="shared" si="30"/>
        <v>4.1087341625589744</v>
      </c>
      <c r="G89" s="159">
        <f t="shared" si="30"/>
        <v>4.2670071316575902</v>
      </c>
      <c r="H89" s="159">
        <f t="shared" si="30"/>
        <v>5.8509548169441654</v>
      </c>
      <c r="I89" s="159">
        <f t="shared" si="30"/>
        <v>6.0394728934625386</v>
      </c>
      <c r="J89" s="159">
        <f t="shared" si="30"/>
        <v>10.257913108748784</v>
      </c>
      <c r="K89" s="159">
        <f t="shared" si="30"/>
        <v>21.244299065494182</v>
      </c>
      <c r="L89" s="159">
        <f t="shared" si="30"/>
        <v>23.769180271868493</v>
      </c>
    </row>
    <row r="90" spans="1:12">
      <c r="A90" s="155" t="s">
        <v>303</v>
      </c>
      <c r="B90" s="159"/>
      <c r="C90" s="159">
        <f t="shared" ref="C90:K90" si="31">C26/C60</f>
        <v>2.2891148673966444</v>
      </c>
      <c r="D90" s="159">
        <f t="shared" si="31"/>
        <v>2.0971092824333315</v>
      </c>
      <c r="E90" s="159">
        <f t="shared" si="31"/>
        <v>2.417719945620509</v>
      </c>
      <c r="F90" s="159">
        <f t="shared" si="31"/>
        <v>2.517016965196941</v>
      </c>
      <c r="G90" s="159">
        <f t="shared" si="31"/>
        <v>2.8056544613912955</v>
      </c>
      <c r="H90" s="159">
        <f t="shared" si="31"/>
        <v>2.9328604615511606</v>
      </c>
      <c r="I90" s="159">
        <f t="shared" si="31"/>
        <v>3.2892211991284177</v>
      </c>
      <c r="J90" s="159">
        <f t="shared" si="31"/>
        <v>3.361234419214393</v>
      </c>
      <c r="K90" s="159">
        <f t="shared" si="31"/>
        <v>2.8897341006012232</v>
      </c>
      <c r="L90" s="155">
        <v>1</v>
      </c>
    </row>
    <row r="91" spans="1:12">
      <c r="A91" s="158"/>
      <c r="B91" s="159"/>
      <c r="C91" s="159"/>
      <c r="D91" s="159"/>
      <c r="E91" s="159"/>
      <c r="F91" s="159"/>
      <c r="G91" s="159"/>
      <c r="H91" s="159"/>
      <c r="I91" s="159"/>
      <c r="J91" s="159"/>
      <c r="K91" s="159"/>
      <c r="L91" s="159"/>
    </row>
    <row r="92" spans="1:12">
      <c r="A92" s="141"/>
      <c r="B92" s="141"/>
      <c r="C92" s="141"/>
      <c r="D92" s="141"/>
      <c r="E92" s="141"/>
      <c r="F92" s="141"/>
      <c r="G92" s="141"/>
      <c r="H92" s="141"/>
      <c r="I92" s="141"/>
      <c r="J92" s="141"/>
      <c r="K92" s="141"/>
      <c r="L92" s="141"/>
    </row>
    <row r="93" spans="1:12">
      <c r="A93" s="141"/>
      <c r="B93" s="141"/>
      <c r="C93" s="141"/>
      <c r="D93" s="141"/>
      <c r="E93" s="141"/>
      <c r="F93" s="141"/>
      <c r="G93" s="141"/>
      <c r="H93" s="141"/>
      <c r="I93" s="141"/>
      <c r="J93" s="141"/>
      <c r="K93" s="141"/>
      <c r="L93" s="141"/>
    </row>
    <row r="94" spans="1:12">
      <c r="A94" s="141"/>
      <c r="B94" s="141"/>
      <c r="C94" s="141"/>
      <c r="D94" s="141"/>
      <c r="E94" s="141"/>
      <c r="F94" s="141"/>
      <c r="G94" s="141"/>
      <c r="H94" s="141"/>
      <c r="I94" s="141"/>
      <c r="J94" s="141"/>
      <c r="K94" s="141"/>
      <c r="L94" s="141"/>
    </row>
    <row r="95" spans="1:12">
      <c r="A95" s="141"/>
      <c r="B95" s="141"/>
      <c r="C95" s="141"/>
      <c r="D95" s="141"/>
      <c r="E95" s="141"/>
      <c r="F95" s="141"/>
      <c r="G95" s="141"/>
      <c r="H95" s="141"/>
      <c r="I95" s="141"/>
      <c r="J95" s="141"/>
      <c r="K95" s="141"/>
      <c r="L95" s="141"/>
    </row>
    <row r="96" spans="1:12">
      <c r="A96" s="141"/>
      <c r="B96" s="141"/>
      <c r="C96" s="141"/>
      <c r="D96" s="141"/>
      <c r="E96" s="141"/>
      <c r="F96" s="141"/>
      <c r="G96" s="141"/>
      <c r="H96" s="141"/>
      <c r="I96" s="141"/>
      <c r="J96" s="141"/>
      <c r="K96" s="141"/>
      <c r="L96" s="141"/>
    </row>
    <row r="97" spans="1:12">
      <c r="A97" s="141"/>
      <c r="B97" s="141"/>
      <c r="C97" s="141"/>
      <c r="D97" s="141"/>
      <c r="E97" s="141"/>
      <c r="F97" s="141"/>
      <c r="G97" s="141"/>
      <c r="H97" s="141"/>
      <c r="I97" s="141"/>
      <c r="J97" s="141"/>
      <c r="K97" s="141"/>
      <c r="L97" s="141"/>
    </row>
    <row r="98" spans="1:12">
      <c r="A98" s="141"/>
      <c r="B98" s="141"/>
      <c r="C98" s="141"/>
      <c r="D98" s="141"/>
      <c r="E98" s="141"/>
      <c r="F98" s="141"/>
      <c r="G98" s="141"/>
      <c r="H98" s="141"/>
      <c r="I98" s="141"/>
      <c r="J98" s="141"/>
      <c r="K98" s="141"/>
      <c r="L98" s="141"/>
    </row>
    <row r="99" spans="1:12">
      <c r="A99" s="141"/>
      <c r="B99" s="141"/>
      <c r="C99" s="141"/>
      <c r="D99" s="141"/>
      <c r="E99" s="141"/>
      <c r="F99" s="141"/>
      <c r="G99" s="141"/>
      <c r="H99" s="141"/>
      <c r="I99" s="141"/>
      <c r="J99" s="141"/>
      <c r="K99" s="141"/>
      <c r="L99" s="141"/>
    </row>
    <row r="100" spans="1:12">
      <c r="A100" s="141"/>
      <c r="B100" s="141"/>
      <c r="C100" s="141"/>
      <c r="D100" s="141"/>
      <c r="E100" s="141"/>
      <c r="F100" s="141"/>
      <c r="G100" s="141"/>
      <c r="H100" s="141"/>
      <c r="I100" s="141"/>
      <c r="J100" s="141"/>
      <c r="K100" s="141"/>
      <c r="L100" s="141"/>
    </row>
    <row r="101" spans="1:12">
      <c r="A101" s="141"/>
      <c r="B101" s="141"/>
      <c r="C101" s="141"/>
      <c r="D101" s="141"/>
      <c r="E101" s="141"/>
      <c r="F101" s="141"/>
      <c r="G101" s="141"/>
      <c r="H101" s="141"/>
      <c r="I101" s="141"/>
      <c r="J101" s="141"/>
      <c r="K101" s="141"/>
      <c r="L101" s="141"/>
    </row>
    <row r="102" spans="1:12">
      <c r="A102" s="141"/>
      <c r="B102" s="141"/>
      <c r="C102" s="141"/>
      <c r="D102" s="141"/>
      <c r="E102" s="141"/>
      <c r="F102" s="141"/>
      <c r="G102" s="141"/>
      <c r="H102" s="141"/>
      <c r="I102" s="141"/>
      <c r="J102" s="141"/>
      <c r="K102" s="141"/>
      <c r="L102" s="141"/>
    </row>
    <row r="103" spans="1:12">
      <c r="A103" s="141"/>
      <c r="B103" s="141"/>
      <c r="C103" s="141"/>
      <c r="D103" s="141"/>
      <c r="E103" s="141"/>
      <c r="F103" s="141"/>
      <c r="G103" s="141"/>
      <c r="H103" s="141"/>
      <c r="I103" s="141"/>
      <c r="J103" s="141"/>
      <c r="K103" s="141"/>
      <c r="L103" s="141"/>
    </row>
    <row r="104" spans="1:12">
      <c r="A104" s="141"/>
      <c r="B104" s="141"/>
      <c r="C104" s="141"/>
      <c r="D104" s="141"/>
      <c r="E104" s="141"/>
      <c r="F104" s="141"/>
      <c r="G104" s="141"/>
      <c r="H104" s="141"/>
      <c r="I104" s="141"/>
      <c r="J104" s="141"/>
      <c r="K104" s="141"/>
      <c r="L104" s="141"/>
    </row>
    <row r="105" spans="1:12">
      <c r="A105" s="141"/>
      <c r="B105" s="141"/>
      <c r="C105" s="141"/>
      <c r="D105" s="141"/>
      <c r="E105" s="141"/>
      <c r="F105" s="141"/>
      <c r="G105" s="141"/>
      <c r="H105" s="141"/>
      <c r="I105" s="141"/>
      <c r="J105" s="141"/>
      <c r="K105" s="141"/>
      <c r="L105" s="141"/>
    </row>
    <row r="106" spans="1:12">
      <c r="A106" s="141"/>
      <c r="B106" s="141"/>
      <c r="C106" s="141"/>
      <c r="D106" s="141"/>
      <c r="E106" s="141"/>
      <c r="F106" s="141"/>
      <c r="G106" s="141"/>
      <c r="H106" s="141"/>
      <c r="I106" s="141"/>
      <c r="J106" s="141"/>
      <c r="K106" s="141"/>
      <c r="L106" s="141"/>
    </row>
    <row r="107" spans="1:12">
      <c r="A107" s="141"/>
      <c r="B107" s="141"/>
      <c r="C107" s="141"/>
      <c r="D107" s="141"/>
      <c r="E107" s="141"/>
      <c r="F107" s="141"/>
      <c r="G107" s="141"/>
      <c r="H107" s="141"/>
      <c r="I107" s="141"/>
      <c r="J107" s="141"/>
      <c r="K107" s="141"/>
      <c r="L107" s="141"/>
    </row>
    <row r="108" spans="1:12">
      <c r="A108" s="141"/>
      <c r="B108" s="141"/>
      <c r="C108" s="141"/>
      <c r="D108" s="141"/>
      <c r="E108" s="141"/>
      <c r="F108" s="141"/>
      <c r="G108" s="141"/>
      <c r="H108" s="141"/>
      <c r="I108" s="141"/>
      <c r="J108" s="141"/>
      <c r="K108" s="141"/>
      <c r="L108" s="141"/>
    </row>
    <row r="109" spans="1:12">
      <c r="A109" s="141"/>
      <c r="B109" s="141"/>
      <c r="C109" s="141"/>
      <c r="D109" s="141"/>
      <c r="E109" s="141"/>
      <c r="F109" s="141"/>
      <c r="G109" s="141"/>
      <c r="H109" s="141"/>
      <c r="I109" s="141"/>
      <c r="J109" s="141"/>
      <c r="K109" s="141"/>
      <c r="L109" s="141"/>
    </row>
    <row r="110" spans="1:12">
      <c r="A110" s="141"/>
      <c r="B110" s="141"/>
      <c r="C110" s="141"/>
      <c r="D110" s="141"/>
      <c r="E110" s="141"/>
      <c r="F110" s="141"/>
      <c r="G110" s="141"/>
      <c r="H110" s="141"/>
      <c r="I110" s="141"/>
      <c r="J110" s="141"/>
      <c r="K110" s="141"/>
      <c r="L110" s="141"/>
    </row>
    <row r="111" spans="1:12">
      <c r="A111" s="141"/>
      <c r="B111" s="141"/>
      <c r="C111" s="141"/>
      <c r="D111" s="141"/>
      <c r="E111" s="141"/>
      <c r="F111" s="141"/>
      <c r="G111" s="141"/>
      <c r="H111" s="141"/>
      <c r="I111" s="141"/>
      <c r="J111" s="141"/>
      <c r="K111" s="141"/>
      <c r="L111" s="141"/>
    </row>
    <row r="112" spans="1:12">
      <c r="A112" s="141"/>
      <c r="B112" s="141"/>
      <c r="C112" s="141"/>
      <c r="D112" s="141"/>
      <c r="E112" s="141"/>
      <c r="F112" s="141"/>
      <c r="G112" s="141"/>
      <c r="H112" s="141"/>
      <c r="I112" s="141"/>
      <c r="J112" s="141"/>
      <c r="K112" s="141"/>
      <c r="L112" s="141"/>
    </row>
    <row r="113" spans="1:12">
      <c r="A113" s="141"/>
      <c r="B113" s="141"/>
      <c r="C113" s="141"/>
      <c r="D113" s="141"/>
      <c r="E113" s="141"/>
      <c r="F113" s="141"/>
      <c r="G113" s="141"/>
      <c r="H113" s="141"/>
      <c r="I113" s="141"/>
      <c r="J113" s="141"/>
      <c r="K113" s="141"/>
      <c r="L113" s="141"/>
    </row>
    <row r="114" spans="1:12">
      <c r="A114" s="141"/>
      <c r="B114" s="141"/>
      <c r="C114" s="141"/>
      <c r="D114" s="141"/>
      <c r="E114" s="141"/>
      <c r="F114" s="141"/>
      <c r="G114" s="141"/>
      <c r="H114" s="141"/>
      <c r="I114" s="141"/>
      <c r="J114" s="141"/>
      <c r="K114" s="141"/>
      <c r="L114" s="141"/>
    </row>
    <row r="115" spans="1:12">
      <c r="A115" s="141"/>
      <c r="B115" s="141"/>
      <c r="C115" s="141"/>
      <c r="D115" s="141"/>
      <c r="E115" s="141"/>
      <c r="F115" s="141"/>
      <c r="G115" s="141"/>
      <c r="H115" s="141"/>
      <c r="I115" s="141"/>
      <c r="J115" s="141"/>
      <c r="K115" s="141"/>
      <c r="L115" s="141"/>
    </row>
    <row r="116" spans="1:12">
      <c r="A116" s="141"/>
      <c r="B116" s="141"/>
      <c r="C116" s="141"/>
      <c r="D116" s="141"/>
      <c r="E116" s="141"/>
      <c r="F116" s="141"/>
      <c r="G116" s="141"/>
      <c r="H116" s="141"/>
      <c r="I116" s="141"/>
      <c r="J116" s="141"/>
      <c r="K116" s="141"/>
      <c r="L116" s="141"/>
    </row>
    <row r="117" spans="1:12">
      <c r="A117" s="141"/>
      <c r="B117" s="141"/>
      <c r="C117" s="141"/>
      <c r="D117" s="141"/>
      <c r="E117" s="141"/>
      <c r="F117" s="141"/>
      <c r="G117" s="141"/>
      <c r="H117" s="141"/>
      <c r="I117" s="141"/>
      <c r="J117" s="141"/>
      <c r="K117" s="141"/>
      <c r="L117" s="141"/>
    </row>
    <row r="118" spans="1:12">
      <c r="A118" s="141"/>
      <c r="B118" s="141"/>
      <c r="C118" s="141"/>
      <c r="D118" s="141"/>
      <c r="E118" s="141"/>
      <c r="F118" s="141"/>
      <c r="G118" s="141"/>
      <c r="H118" s="141"/>
      <c r="I118" s="141"/>
      <c r="J118" s="141"/>
      <c r="K118" s="141"/>
      <c r="L118" s="141"/>
    </row>
    <row r="119" spans="1:12">
      <c r="A119" s="141"/>
      <c r="B119" s="141"/>
      <c r="C119" s="141"/>
      <c r="D119" s="141"/>
      <c r="E119" s="141"/>
      <c r="F119" s="141"/>
      <c r="G119" s="141"/>
      <c r="H119" s="141"/>
      <c r="I119" s="141"/>
      <c r="J119" s="141"/>
      <c r="K119" s="141"/>
      <c r="L119" s="141"/>
    </row>
    <row r="120" spans="1:12">
      <c r="A120" s="141"/>
      <c r="B120" s="141"/>
      <c r="C120" s="141"/>
      <c r="D120" s="141"/>
      <c r="E120" s="141"/>
      <c r="F120" s="141"/>
      <c r="G120" s="141"/>
      <c r="H120" s="141"/>
      <c r="I120" s="141"/>
      <c r="J120" s="141"/>
      <c r="K120" s="141"/>
      <c r="L120" s="141"/>
    </row>
    <row r="121" spans="1:12">
      <c r="A121" s="141"/>
      <c r="B121" s="141"/>
      <c r="C121" s="141"/>
      <c r="D121" s="141"/>
      <c r="E121" s="141"/>
      <c r="F121" s="141"/>
      <c r="G121" s="141"/>
      <c r="H121" s="141"/>
      <c r="I121" s="141"/>
      <c r="J121" s="141"/>
      <c r="K121" s="141"/>
      <c r="L121" s="141"/>
    </row>
    <row r="122" spans="1:12">
      <c r="A122" s="141"/>
      <c r="B122" s="141"/>
      <c r="C122" s="141"/>
      <c r="D122" s="141"/>
      <c r="E122" s="141"/>
      <c r="F122" s="141"/>
      <c r="G122" s="141"/>
      <c r="H122" s="141"/>
      <c r="I122" s="141"/>
      <c r="J122" s="141"/>
      <c r="K122" s="141"/>
      <c r="L122" s="141"/>
    </row>
    <row r="123" spans="1:12">
      <c r="A123" s="141"/>
      <c r="B123" s="141"/>
      <c r="C123" s="141"/>
      <c r="D123" s="141"/>
      <c r="E123" s="141"/>
      <c r="F123" s="141"/>
      <c r="G123" s="141"/>
      <c r="H123" s="141"/>
      <c r="I123" s="141"/>
      <c r="J123" s="141"/>
      <c r="K123" s="141"/>
      <c r="L123" s="141"/>
    </row>
    <row r="124" spans="1:12">
      <c r="A124" s="141"/>
      <c r="B124" s="141"/>
      <c r="C124" s="141"/>
      <c r="D124" s="141"/>
      <c r="E124" s="141"/>
      <c r="F124" s="141"/>
      <c r="G124" s="141"/>
      <c r="H124" s="141"/>
      <c r="I124" s="141"/>
      <c r="J124" s="141"/>
      <c r="K124" s="141"/>
      <c r="L124" s="141"/>
    </row>
    <row r="125" spans="1:12">
      <c r="A125" s="141"/>
      <c r="B125" s="141"/>
      <c r="C125" s="141"/>
      <c r="D125" s="141"/>
      <c r="E125" s="141"/>
      <c r="F125" s="141"/>
      <c r="G125" s="141"/>
      <c r="H125" s="141"/>
      <c r="I125" s="141"/>
      <c r="J125" s="141"/>
      <c r="K125" s="141"/>
      <c r="L125" s="141"/>
    </row>
  </sheetData>
  <mergeCells count="7">
    <mergeCell ref="A68:K68"/>
    <mergeCell ref="A85:K85"/>
    <mergeCell ref="A3:J3"/>
    <mergeCell ref="A12:K12"/>
    <mergeCell ref="A13:J13"/>
    <mergeCell ref="C38:K38"/>
    <mergeCell ref="A61:K61"/>
  </mergeCells>
  <pageMargins left="0.7" right="0.7" top="0.75" bottom="0.75" header="0.3" footer="0.3"/>
  <pageSetup orientation="portrait" r:id="rId1"/>
  <ignoredErrors>
    <ignoredError sqref="C32:L34 C47:L47" formula="1"/>
    <ignoredError sqref="C73:L73 B39"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Dashboard</vt:lpstr>
      <vt:lpstr>Scorecard</vt:lpstr>
      <vt:lpstr>Analysis</vt:lpstr>
      <vt:lpstr>Valuation</vt:lpstr>
      <vt:lpstr>Dupont</vt:lpstr>
      <vt:lpstr>Piotroski</vt:lpstr>
      <vt:lpstr>Altman</vt:lpstr>
      <vt:lpstr>MICAP</vt:lpstr>
      <vt:lpstr>Polished Data</vt:lpstr>
      <vt:lpstr>Quantitative</vt:lpstr>
      <vt:lpstr>Qualitative</vt:lpstr>
      <vt:lpstr>dividend</vt:lpstr>
      <vt:lpstr>UPDATE</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Bothra</dc:creator>
  <cp:lastModifiedBy>HP</cp:lastModifiedBy>
  <cp:lastPrinted>2015-03-07T00:34:42Z</cp:lastPrinted>
  <dcterms:created xsi:type="dcterms:W3CDTF">2014-03-30T00:53:10Z</dcterms:created>
  <dcterms:modified xsi:type="dcterms:W3CDTF">2016-10-04T06:18:16Z</dcterms:modified>
</cp:coreProperties>
</file>