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820" activeTab="0"/>
  </bookViews>
  <sheets>
    <sheet name="Black-Scholes" sheetId="1" r:id="rId1"/>
  </sheets>
  <definedNames>
    <definedName name="DividendYield">'Black-Scholes'!$C$9</definedName>
    <definedName name="ExercisePrice">'Black-Scholes'!#REF!</definedName>
    <definedName name="N_dash_d1">'Black-Scholes'!$C$16</definedName>
    <definedName name="Nd1">'Black-Scholes'!$C$14</definedName>
    <definedName name="Nd2">'Black-Scholes'!$C$15</definedName>
    <definedName name="RiskFreeRate">'Black-Scholes'!$C$8</definedName>
    <definedName name="sigma">'Black-Scholes'!$C$7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'Black-Scholes'!#REF!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SpotPrice">'Black-Scholes'!$C$3</definedName>
    <definedName name="StrikePrice">'Black-Scholes'!$C$4</definedName>
    <definedName name="TimeToMaturity">'Black-Scholes'!$C$6</definedName>
    <definedName name="vd1">'Black-Scholes'!#REF!</definedName>
    <definedName name="vd2">'Black-Scholes'!#REF!</definedName>
  </definedNames>
  <calcPr fullCalcOnLoad="1"/>
</workbook>
</file>

<file path=xl/sharedStrings.xml><?xml version="1.0" encoding="utf-8"?>
<sst xmlns="http://schemas.openxmlformats.org/spreadsheetml/2006/main" count="32" uniqueCount="29">
  <si>
    <t>Strike Price</t>
  </si>
  <si>
    <t>d1</t>
  </si>
  <si>
    <t>d2</t>
  </si>
  <si>
    <t>nd1</t>
  </si>
  <si>
    <t>nd2</t>
  </si>
  <si>
    <t>n_dash_d1</t>
  </si>
  <si>
    <t>Parameters</t>
  </si>
  <si>
    <t>Volatility</t>
  </si>
  <si>
    <t>Dividend Yield</t>
  </si>
  <si>
    <t>Expiry Time</t>
  </si>
  <si>
    <t>Risk-Free Rate</t>
  </si>
  <si>
    <t>Spot Price</t>
  </si>
  <si>
    <t>Call</t>
  </si>
  <si>
    <t>Put</t>
  </si>
  <si>
    <t>Expiry Date</t>
  </si>
  <si>
    <t>Collar</t>
  </si>
  <si>
    <t>Put Only</t>
  </si>
  <si>
    <t>Unhedged</t>
  </si>
  <si>
    <t>Option Price</t>
  </si>
  <si>
    <t>Nifty at Expiry</t>
  </si>
  <si>
    <t>Hedging with Index Options (Black-Scholes)</t>
  </si>
  <si>
    <t>Portfolio Value</t>
  </si>
  <si>
    <t>Lot Size</t>
  </si>
  <si>
    <t># Of Lots</t>
  </si>
  <si>
    <t>Nifty Change %</t>
  </si>
  <si>
    <t>Hedging Cost</t>
  </si>
  <si>
    <t>Periodic</t>
  </si>
  <si>
    <t>Annualized</t>
  </si>
  <si>
    <t>Current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</si>
</sst>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0"/>
    <numFmt numFmtId="182" formatCode="0.000000"/>
    <numFmt numFmtId="183" formatCode="0.0000"/>
    <numFmt numFmtId="184" formatCode="0.000"/>
    <numFmt numFmtId="185" formatCode="0.0"/>
    <numFmt numFmtId="186" formatCode="0.0%"/>
    <numFmt numFmtId="187" formatCode="0.000%"/>
    <numFmt numFmtId="188" formatCode="0.0000%"/>
    <numFmt numFmtId="189" formatCode="_-* #,##0.0000_-;\-* #,##0.0000_-;_-* &quot;-&quot;????_-;_-@_-"/>
    <numFmt numFmtId="190" formatCode="0.0000000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_);_(@_)"/>
    <numFmt numFmtId="194" formatCode="[$-409]dddd\,\ mmmm\ dd\,\ yyyy"/>
    <numFmt numFmtId="195" formatCode="[$-409]d\-mmm\-yy;@"/>
    <numFmt numFmtId="196" formatCode="0.00000000000%"/>
    <numFmt numFmtId="197" formatCode="0.0000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42" applyFont="1" applyAlignment="1">
      <alignment/>
    </xf>
    <xf numFmtId="0" fontId="0" fillId="0" borderId="0" xfId="0" applyFont="1" applyAlignment="1">
      <alignment/>
    </xf>
    <xf numFmtId="0" fontId="3" fillId="0" borderId="0" xfId="53" applyBorder="1" applyAlignment="1" applyProtection="1">
      <alignment/>
      <protection/>
    </xf>
    <xf numFmtId="0" fontId="2" fillId="2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2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2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92" fontId="0" fillId="0" borderId="11" xfId="42" applyNumberFormat="1" applyFill="1" applyBorder="1" applyAlignment="1">
      <alignment/>
    </xf>
    <xf numFmtId="192" fontId="0" fillId="20" borderId="11" xfId="42" applyNumberFormat="1" applyFill="1" applyBorder="1" applyAlignment="1">
      <alignment/>
    </xf>
    <xf numFmtId="0" fontId="0" fillId="0" borderId="12" xfId="0" applyBorder="1" applyAlignment="1">
      <alignment/>
    </xf>
    <xf numFmtId="192" fontId="0" fillId="0" borderId="13" xfId="0" applyNumberFormat="1" applyBorder="1" applyAlignment="1">
      <alignment/>
    </xf>
    <xf numFmtId="192" fontId="0" fillId="0" borderId="14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92" fontId="0" fillId="0" borderId="11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0" fillId="0" borderId="16" xfId="0" applyNumberFormat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18" xfId="0" applyNumberFormat="1" applyBorder="1" applyAlignment="1">
      <alignment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92" fontId="0" fillId="22" borderId="11" xfId="42" applyNumberFormat="1" applyFill="1" applyBorder="1" applyAlignment="1">
      <alignment/>
    </xf>
    <xf numFmtId="186" fontId="0" fillId="22" borderId="11" xfId="59" applyNumberFormat="1" applyFill="1" applyBorder="1" applyAlignment="1">
      <alignment/>
    </xf>
    <xf numFmtId="0" fontId="0" fillId="0" borderId="21" xfId="0" applyFill="1" applyBorder="1" applyAlignment="1">
      <alignment/>
    </xf>
    <xf numFmtId="192" fontId="0" fillId="0" borderId="18" xfId="42" applyNumberFormat="1" applyBorder="1" applyAlignment="1">
      <alignment/>
    </xf>
    <xf numFmtId="192" fontId="0" fillId="0" borderId="19" xfId="42" applyNumberFormat="1" applyBorder="1" applyAlignment="1">
      <alignment/>
    </xf>
    <xf numFmtId="192" fontId="0" fillId="0" borderId="20" xfId="42" applyNumberFormat="1" applyBorder="1" applyAlignment="1">
      <alignment/>
    </xf>
    <xf numFmtId="192" fontId="0" fillId="0" borderId="13" xfId="42" applyNumberFormat="1" applyBorder="1" applyAlignment="1">
      <alignment/>
    </xf>
    <xf numFmtId="186" fontId="0" fillId="20" borderId="11" xfId="0" applyNumberFormat="1" applyFill="1" applyBorder="1" applyAlignment="1">
      <alignment/>
    </xf>
    <xf numFmtId="0" fontId="22" fillId="0" borderId="0" xfId="0" applyFont="1" applyBorder="1" applyAlignment="1">
      <alignment/>
    </xf>
    <xf numFmtId="195" fontId="0" fillId="20" borderId="11" xfId="0" applyNumberFormat="1" applyFill="1" applyBorder="1" applyAlignment="1">
      <alignment/>
    </xf>
    <xf numFmtId="10" fontId="0" fillId="22" borderId="11" xfId="59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6" fontId="1" fillId="0" borderId="11" xfId="59" applyNumberFormat="1" applyFont="1" applyBorder="1" applyAlignment="1">
      <alignment/>
    </xf>
    <xf numFmtId="192" fontId="0" fillId="0" borderId="21" xfId="0" applyNumberFormat="1" applyBorder="1" applyAlignment="1">
      <alignment/>
    </xf>
    <xf numFmtId="192" fontId="0" fillId="0" borderId="22" xfId="0" applyNumberFormat="1" applyBorder="1" applyAlignment="1">
      <alignment/>
    </xf>
    <xf numFmtId="192" fontId="0" fillId="0" borderId="12" xfId="0" applyNumberFormat="1" applyBorder="1" applyAlignment="1">
      <alignment/>
    </xf>
    <xf numFmtId="192" fontId="0" fillId="20" borderId="13" xfId="42" applyNumberFormat="1" applyFill="1" applyBorder="1" applyAlignment="1">
      <alignment/>
    </xf>
    <xf numFmtId="9" fontId="0" fillId="0" borderId="19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0" borderId="20" xfId="0" applyNumberFormat="1" applyBorder="1" applyAlignment="1">
      <alignment/>
    </xf>
    <xf numFmtId="192" fontId="0" fillId="0" borderId="15" xfId="42" applyNumberFormat="1" applyBorder="1" applyAlignment="1">
      <alignment/>
    </xf>
    <xf numFmtId="192" fontId="0" fillId="0" borderId="16" xfId="42" applyNumberFormat="1" applyBorder="1" applyAlignment="1">
      <alignment/>
    </xf>
    <xf numFmtId="192" fontId="0" fillId="0" borderId="14" xfId="42" applyNumberFormat="1" applyBorder="1" applyAlignment="1">
      <alignment/>
    </xf>
    <xf numFmtId="192" fontId="0" fillId="0" borderId="17" xfId="42" applyNumberFormat="1" applyBorder="1" applyAlignment="1">
      <alignment/>
    </xf>
    <xf numFmtId="192" fontId="0" fillId="0" borderId="21" xfId="42" applyNumberFormat="1" applyFont="1" applyBorder="1" applyAlignment="1">
      <alignment/>
    </xf>
    <xf numFmtId="192" fontId="0" fillId="0" borderId="22" xfId="42" applyNumberFormat="1" applyFont="1" applyBorder="1" applyAlignment="1">
      <alignment/>
    </xf>
    <xf numFmtId="192" fontId="0" fillId="0" borderId="12" xfId="42" applyNumberFormat="1" applyFont="1" applyBorder="1" applyAlignment="1">
      <alignment/>
    </xf>
    <xf numFmtId="192" fontId="0" fillId="0" borderId="11" xfId="42" applyNumberFormat="1" applyFont="1" applyBorder="1" applyAlignment="1">
      <alignment/>
    </xf>
    <xf numFmtId="0" fontId="24" fillId="0" borderId="0" xfId="0" applyFont="1" applyFill="1" applyBorder="1" applyAlignment="1">
      <alignment horizontal="center"/>
    </xf>
    <xf numFmtId="192" fontId="24" fillId="0" borderId="0" xfId="0" applyNumberFormat="1" applyFont="1" applyBorder="1" applyAlignment="1">
      <alignment/>
    </xf>
    <xf numFmtId="184" fontId="0" fillId="0" borderId="11" xfId="0" applyNumberFormat="1" applyBorder="1" applyAlignment="1">
      <alignment horizontal="right"/>
    </xf>
    <xf numFmtId="0" fontId="0" fillId="0" borderId="23" xfId="0" applyBorder="1" applyAlignment="1">
      <alignment/>
    </xf>
    <xf numFmtId="9" fontId="0" fillId="20" borderId="13" xfId="0" applyNumberFormat="1" applyFill="1" applyBorder="1" applyAlignment="1">
      <alignment horizontal="center"/>
    </xf>
    <xf numFmtId="9" fontId="0" fillId="20" borderId="14" xfId="0" applyNumberFormat="1" applyFill="1" applyBorder="1" applyAlignment="1">
      <alignment horizontal="center"/>
    </xf>
    <xf numFmtId="10" fontId="0" fillId="20" borderId="13" xfId="0" applyNumberFormat="1" applyFill="1" applyBorder="1" applyAlignment="1">
      <alignment horizontal="center"/>
    </xf>
    <xf numFmtId="10" fontId="0" fillId="20" borderId="14" xfId="0" applyNumberFormat="1" applyFill="1" applyBorder="1" applyAlignment="1">
      <alignment horizontal="center"/>
    </xf>
    <xf numFmtId="195" fontId="0" fillId="0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Put Only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7"/>
          <c:w val="0.97425"/>
          <c:h val="0.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'Black-Scholes'!$J$3</c:f>
              <c:strCache>
                <c:ptCount val="1"/>
                <c:pt idx="0">
                  <c:v>Unhedged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'Black-Scholes'!$J$4:$J$14</c:f>
              <c:numCache/>
            </c:numRef>
          </c:yVal>
          <c:smooth val="0"/>
        </c:ser>
        <c:ser>
          <c:idx val="1"/>
          <c:order val="1"/>
          <c:tx>
            <c:strRef>
              <c:f>'Black-Scholes'!$K$3</c:f>
              <c:strCache>
                <c:ptCount val="1"/>
                <c:pt idx="0">
                  <c:v>Put 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'Black-Scholes'!$K$4:$K$14</c:f>
              <c:numCache>
                <c:ptCount val="11"/>
                <c:pt idx="0">
                  <c:v>9404.80434815829</c:v>
                </c:pt>
                <c:pt idx="1">
                  <c:v>9404.80434815829</c:v>
                </c:pt>
                <c:pt idx="2">
                  <c:v>9404.80434815829</c:v>
                </c:pt>
                <c:pt idx="3">
                  <c:v>9404.80434815829</c:v>
                </c:pt>
                <c:pt idx="4">
                  <c:v>9458.95434815829</c:v>
                </c:pt>
                <c:pt idx="5">
                  <c:v>9961.80434815829</c:v>
                </c:pt>
                <c:pt idx="6">
                  <c:v>10464.65434815829</c:v>
                </c:pt>
                <c:pt idx="7">
                  <c:v>10967.50434815829</c:v>
                </c:pt>
                <c:pt idx="8">
                  <c:v>11470.35434815829</c:v>
                </c:pt>
                <c:pt idx="9">
                  <c:v>11973.20434815829</c:v>
                </c:pt>
                <c:pt idx="10">
                  <c:v>12476.05434815829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'Black-Scholes'!$M$3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'Black-Scholes'!$M$4:$M$14</c:f>
              <c:numCache/>
            </c:numRef>
          </c:yVal>
          <c:smooth val="0"/>
        </c:ser>
        <c:axId val="61323370"/>
        <c:axId val="15039419"/>
      </c:scatterChart>
      <c:valAx>
        <c:axId val="61323370"/>
        <c:scaling>
          <c:orientation val="minMax"/>
          <c:min val="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Nifty at Expiry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039419"/>
        <c:crosses val="autoZero"/>
        <c:crossBetween val="midCat"/>
        <c:dispUnits/>
      </c:valAx>
      <c:valAx>
        <c:axId val="15039419"/>
        <c:scaling>
          <c:orientation val="minMax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Portfolio Value at Expiry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3233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"/>
          <c:y val="0.77325"/>
          <c:w val="0.59825"/>
          <c:h val="0.0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Collar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75"/>
          <c:w val="0.96925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'Black-Scholes'!$J$3</c:f>
              <c:strCache>
                <c:ptCount val="1"/>
                <c:pt idx="0">
                  <c:v>Unhedged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'Black-Scholes'!$J$4:$J$14</c:f>
              <c:numCache/>
            </c:numRef>
          </c:yVal>
          <c:smooth val="0"/>
        </c:ser>
        <c:ser>
          <c:idx val="1"/>
          <c:order val="1"/>
          <c:tx>
            <c:strRef>
              <c:f>'Black-Scholes'!$L$3</c:f>
              <c:strCache>
                <c:ptCount val="1"/>
                <c:pt idx="0">
                  <c:v>Collar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'Black-Scholes'!$L$4:$L$14</c:f>
              <c:numCache>
                <c:ptCount val="11"/>
                <c:pt idx="0">
                  <c:v>9460.135010997757</c:v>
                </c:pt>
                <c:pt idx="1">
                  <c:v>9460.135010997757</c:v>
                </c:pt>
                <c:pt idx="2">
                  <c:v>9460.135010997757</c:v>
                </c:pt>
                <c:pt idx="3">
                  <c:v>9460.135010997757</c:v>
                </c:pt>
                <c:pt idx="4">
                  <c:v>9514.285010997757</c:v>
                </c:pt>
                <c:pt idx="5">
                  <c:v>10017.135010997757</c:v>
                </c:pt>
                <c:pt idx="6">
                  <c:v>10519.985010997758</c:v>
                </c:pt>
                <c:pt idx="7">
                  <c:v>10960.135010997757</c:v>
                </c:pt>
                <c:pt idx="8">
                  <c:v>10960.135010997757</c:v>
                </c:pt>
                <c:pt idx="9">
                  <c:v>10960.135010997757</c:v>
                </c:pt>
                <c:pt idx="10">
                  <c:v>10960.135010997757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'Black-Scholes'!$M$3</c:f>
              <c:strCache>
                <c:ptCount val="1"/>
                <c:pt idx="0">
                  <c:v>Current</c:v>
                </c:pt>
              </c:strCache>
            </c:strRef>
          </c:tx>
          <c:spPr>
            <a:ln w="3175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'Black-Scholes'!$G$4:$G$14</c:f>
              <c:numCache/>
            </c:numRef>
          </c:xVal>
          <c:yVal>
            <c:numRef>
              <c:f>'Black-Scholes'!$M$4:$M$14</c:f>
              <c:numCache/>
            </c:numRef>
          </c:yVal>
          <c:smooth val="0"/>
        </c:ser>
        <c:axId val="1137044"/>
        <c:axId val="10233397"/>
      </c:scatterChart>
      <c:valAx>
        <c:axId val="1137044"/>
        <c:scaling>
          <c:orientation val="minMax"/>
          <c:min val="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Nifty at Expiry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233397"/>
        <c:crosses val="autoZero"/>
        <c:crossBetween val="midCat"/>
        <c:dispUnits/>
      </c:valAx>
      <c:valAx>
        <c:axId val="10233397"/>
        <c:scaling>
          <c:orientation val="minMax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Portfolio Value at Expiry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37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"/>
          <c:y val="0.77075"/>
          <c:w val="0.59525"/>
          <c:h val="0.04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95250</xdr:rowOff>
    </xdr:from>
    <xdr:to>
      <xdr:col>5</xdr:col>
      <xdr:colOff>714375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171450" y="3409950"/>
        <a:ext cx="4686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20</xdr:row>
      <xdr:rowOff>85725</xdr:rowOff>
    </xdr:from>
    <xdr:to>
      <xdr:col>12</xdr:col>
      <xdr:colOff>266700</xdr:colOff>
      <xdr:row>40</xdr:row>
      <xdr:rowOff>152400</xdr:rowOff>
    </xdr:to>
    <xdr:graphicFrame>
      <xdr:nvGraphicFramePr>
        <xdr:cNvPr id="2" name="Chart 5"/>
        <xdr:cNvGraphicFramePr/>
      </xdr:nvGraphicFramePr>
      <xdr:xfrm>
        <a:off x="4895850" y="3400425"/>
        <a:ext cx="47053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G19"/>
  <sheetViews>
    <sheetView showGridLines="0" tabSelected="1" zoomScale="120" zoomScaleNormal="120" zoomScalePageLayoutView="0" workbookViewId="0" topLeftCell="A1">
      <selection activeCell="E7" sqref="E7"/>
    </sheetView>
  </sheetViews>
  <sheetFormatPr defaultColWidth="9.140625" defaultRowHeight="12.75"/>
  <cols>
    <col min="1" max="1" width="13.421875" style="0" customWidth="1"/>
    <col min="2" max="2" width="13.7109375" style="0" bestFit="1" customWidth="1"/>
    <col min="3" max="3" width="11.8515625" style="0" bestFit="1" customWidth="1"/>
    <col min="4" max="4" width="13.421875" style="0" bestFit="1" customWidth="1"/>
    <col min="5" max="5" width="9.7109375" style="0" bestFit="1" customWidth="1"/>
    <col min="6" max="6" width="11.7109375" style="0" customWidth="1"/>
    <col min="7" max="7" width="12.00390625" style="0" customWidth="1"/>
    <col min="8" max="8" width="12.57421875" style="0" customWidth="1"/>
    <col min="9" max="9" width="12.00390625" style="0" customWidth="1"/>
    <col min="12" max="12" width="11.28125" style="0" bestFit="1" customWidth="1"/>
    <col min="13" max="13" width="9.57421875" style="0" bestFit="1" customWidth="1"/>
  </cols>
  <sheetData>
    <row r="1" spans="1:10" ht="18.75" thickBot="1">
      <c r="A1" s="35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2:241" ht="12.75">
      <c r="B2" s="5" t="s">
        <v>6</v>
      </c>
      <c r="C2" s="7" t="s">
        <v>12</v>
      </c>
      <c r="D2" s="7" t="s">
        <v>13</v>
      </c>
      <c r="H2" s="1"/>
      <c r="I2" s="1"/>
      <c r="J2" s="43" t="s">
        <v>21</v>
      </c>
      <c r="K2" s="64"/>
      <c r="L2" s="4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</row>
    <row r="3" spans="2:13" ht="12.75">
      <c r="B3" s="11" t="s">
        <v>11</v>
      </c>
      <c r="C3" s="13">
        <v>10057</v>
      </c>
      <c r="D3" s="12">
        <f>SpotPrice</f>
        <v>10057</v>
      </c>
      <c r="F3" s="6" t="s">
        <v>24</v>
      </c>
      <c r="G3" s="42" t="s">
        <v>19</v>
      </c>
      <c r="H3" s="29" t="s">
        <v>12</v>
      </c>
      <c r="I3" s="25" t="s">
        <v>13</v>
      </c>
      <c r="J3" s="17" t="s">
        <v>17</v>
      </c>
      <c r="K3" s="17" t="s">
        <v>16</v>
      </c>
      <c r="L3" s="17" t="s">
        <v>15</v>
      </c>
      <c r="M3" s="61" t="s">
        <v>28</v>
      </c>
    </row>
    <row r="4" spans="2:13" ht="12.75">
      <c r="B4" s="11" t="s">
        <v>0</v>
      </c>
      <c r="C4" s="9">
        <v>11000</v>
      </c>
      <c r="D4" s="9">
        <v>9500</v>
      </c>
      <c r="F4" s="50">
        <v>-0.25</v>
      </c>
      <c r="G4" s="57">
        <f aca="true" t="shared" si="0" ref="G4:G14">SpotPrice*(1+F4)</f>
        <v>7542.75</v>
      </c>
      <c r="H4" s="53">
        <f aca="true" t="shared" si="1" ref="H4:H14">IF(G4&lt;StrikePrice,0,G4-StrikePrice)</f>
        <v>0</v>
      </c>
      <c r="I4" s="30">
        <f aca="true" t="shared" si="2" ref="I4:I14">IF(G4&gt;D$4,0,D$4-G4)</f>
        <v>1957.25</v>
      </c>
      <c r="J4" s="22">
        <f aca="true" t="shared" si="3" ref="J4:J14">G4</f>
        <v>7542.75</v>
      </c>
      <c r="K4" s="46">
        <f aca="true" t="shared" si="4" ref="K4:K14">J4+(I4-D$10)</f>
        <v>9404.80434815829</v>
      </c>
      <c r="L4" s="19">
        <f aca="true" t="shared" si="5" ref="L4:L14">G4+(I4-D$10)+(C$10-H4)</f>
        <v>9460.135010997757</v>
      </c>
      <c r="M4" s="62">
        <f aca="true" t="shared" si="6" ref="M4:M14">SpotPrice</f>
        <v>10057</v>
      </c>
    </row>
    <row r="5" spans="2:13" ht="12.75">
      <c r="B5" s="25" t="s">
        <v>14</v>
      </c>
      <c r="C5" s="36">
        <v>43097</v>
      </c>
      <c r="D5" s="69">
        <f>C5</f>
        <v>43097</v>
      </c>
      <c r="F5" s="50">
        <v>-0.2</v>
      </c>
      <c r="G5" s="58">
        <f t="shared" si="0"/>
        <v>8045.6</v>
      </c>
      <c r="H5" s="54">
        <f t="shared" si="1"/>
        <v>0</v>
      </c>
      <c r="I5" s="31">
        <f t="shared" si="2"/>
        <v>1454.3999999999996</v>
      </c>
      <c r="J5" s="23">
        <f t="shared" si="3"/>
        <v>8045.6</v>
      </c>
      <c r="K5" s="47">
        <f t="shared" si="4"/>
        <v>9404.80434815829</v>
      </c>
      <c r="L5" s="20">
        <f t="shared" si="5"/>
        <v>9460.135010997757</v>
      </c>
      <c r="M5" s="62">
        <f t="shared" si="6"/>
        <v>10057</v>
      </c>
    </row>
    <row r="6" spans="2:13" ht="12.75">
      <c r="B6" s="11" t="s">
        <v>9</v>
      </c>
      <c r="C6" s="10">
        <f ca="1">NETWORKDAYS(TODAY(),C5)/250</f>
        <v>0.416</v>
      </c>
      <c r="D6" s="10">
        <f ca="1">NETWORKDAYS(TODAY(),D5)/250</f>
        <v>0.416</v>
      </c>
      <c r="F6" s="50">
        <v>-0.15</v>
      </c>
      <c r="G6" s="58">
        <f t="shared" si="0"/>
        <v>8548.449999999999</v>
      </c>
      <c r="H6" s="54">
        <f t="shared" si="1"/>
        <v>0</v>
      </c>
      <c r="I6" s="31">
        <f t="shared" si="2"/>
        <v>951.5500000000011</v>
      </c>
      <c r="J6" s="23">
        <f t="shared" si="3"/>
        <v>8548.449999999999</v>
      </c>
      <c r="K6" s="47">
        <f t="shared" si="4"/>
        <v>9404.80434815829</v>
      </c>
      <c r="L6" s="20">
        <f t="shared" si="5"/>
        <v>9460.135010997757</v>
      </c>
      <c r="M6" s="62">
        <f t="shared" si="6"/>
        <v>10057</v>
      </c>
    </row>
    <row r="7" spans="2:13" ht="12.75">
      <c r="B7" s="11" t="s">
        <v>7</v>
      </c>
      <c r="C7" s="34">
        <v>0.105</v>
      </c>
      <c r="D7" s="34">
        <v>0.14</v>
      </c>
      <c r="F7" s="50">
        <v>-0.1</v>
      </c>
      <c r="G7" s="58">
        <f t="shared" si="0"/>
        <v>9051.300000000001</v>
      </c>
      <c r="H7" s="54">
        <f t="shared" si="1"/>
        <v>0</v>
      </c>
      <c r="I7" s="31">
        <f t="shared" si="2"/>
        <v>448.6999999999989</v>
      </c>
      <c r="J7" s="23">
        <f t="shared" si="3"/>
        <v>9051.300000000001</v>
      </c>
      <c r="K7" s="47">
        <f t="shared" si="4"/>
        <v>9404.80434815829</v>
      </c>
      <c r="L7" s="20">
        <f t="shared" si="5"/>
        <v>9460.135010997757</v>
      </c>
      <c r="M7" s="62">
        <f t="shared" si="6"/>
        <v>10057</v>
      </c>
    </row>
    <row r="8" spans="2:13" ht="12.75">
      <c r="B8" s="11" t="s">
        <v>10</v>
      </c>
      <c r="C8" s="65">
        <v>0.06</v>
      </c>
      <c r="D8" s="66"/>
      <c r="F8" s="50">
        <v>-0.05</v>
      </c>
      <c r="G8" s="58">
        <f t="shared" si="0"/>
        <v>9554.15</v>
      </c>
      <c r="H8" s="54">
        <f t="shared" si="1"/>
        <v>0</v>
      </c>
      <c r="I8" s="31">
        <f t="shared" si="2"/>
        <v>0</v>
      </c>
      <c r="J8" s="23">
        <f t="shared" si="3"/>
        <v>9554.15</v>
      </c>
      <c r="K8" s="47">
        <f t="shared" si="4"/>
        <v>9458.95434815829</v>
      </c>
      <c r="L8" s="20">
        <f t="shared" si="5"/>
        <v>9514.285010997757</v>
      </c>
      <c r="M8" s="62">
        <f t="shared" si="6"/>
        <v>10057</v>
      </c>
    </row>
    <row r="9" spans="2:13" ht="12.75">
      <c r="B9" s="11" t="s">
        <v>8</v>
      </c>
      <c r="C9" s="67">
        <v>0.012</v>
      </c>
      <c r="D9" s="68"/>
      <c r="F9" s="51">
        <v>0</v>
      </c>
      <c r="G9" s="60">
        <f t="shared" si="0"/>
        <v>10057</v>
      </c>
      <c r="H9" s="55">
        <f t="shared" si="1"/>
        <v>0</v>
      </c>
      <c r="I9" s="33">
        <f t="shared" si="2"/>
        <v>0</v>
      </c>
      <c r="J9" s="15">
        <f t="shared" si="3"/>
        <v>10057</v>
      </c>
      <c r="K9" s="18">
        <f t="shared" si="4"/>
        <v>9961.80434815829</v>
      </c>
      <c r="L9" s="16">
        <f t="shared" si="5"/>
        <v>10017.135010997757</v>
      </c>
      <c r="M9" s="62">
        <f t="shared" si="6"/>
        <v>10057</v>
      </c>
    </row>
    <row r="10" spans="2:240" ht="12.75">
      <c r="B10" s="26" t="s">
        <v>18</v>
      </c>
      <c r="C10" s="27">
        <f>EXP(-C$9*C6)*(C3*C14)-(C4*EXP(-C$8*C6)*C15)</f>
        <v>55.33066283946732</v>
      </c>
      <c r="D10" s="27">
        <f>EXP(-C$8*D6)*D4*NORMSDIST(-D13)-EXP(-C$9*D6)*D3*NORMSDIST(-D12)</f>
        <v>95.19565184171029</v>
      </c>
      <c r="F10" s="50">
        <v>0.05</v>
      </c>
      <c r="G10" s="58">
        <f t="shared" si="0"/>
        <v>10559.85</v>
      </c>
      <c r="H10" s="54">
        <f t="shared" si="1"/>
        <v>0</v>
      </c>
      <c r="I10" s="31">
        <f t="shared" si="2"/>
        <v>0</v>
      </c>
      <c r="J10" s="23">
        <f t="shared" si="3"/>
        <v>10559.85</v>
      </c>
      <c r="K10" s="47">
        <f t="shared" si="4"/>
        <v>10464.65434815829</v>
      </c>
      <c r="L10" s="20">
        <f t="shared" si="5"/>
        <v>10519.985010997758</v>
      </c>
      <c r="M10" s="62">
        <f t="shared" si="6"/>
        <v>10057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</row>
    <row r="11" spans="6:13" s="1" customFormat="1" ht="12.75">
      <c r="F11" s="50">
        <v>0.1</v>
      </c>
      <c r="G11" s="58">
        <f t="shared" si="0"/>
        <v>11062.7</v>
      </c>
      <c r="H11" s="54">
        <f t="shared" si="1"/>
        <v>62.70000000000073</v>
      </c>
      <c r="I11" s="31">
        <f t="shared" si="2"/>
        <v>0</v>
      </c>
      <c r="J11" s="23">
        <f t="shared" si="3"/>
        <v>11062.7</v>
      </c>
      <c r="K11" s="47">
        <f t="shared" si="4"/>
        <v>10967.50434815829</v>
      </c>
      <c r="L11" s="20">
        <f t="shared" si="5"/>
        <v>10960.135010997757</v>
      </c>
      <c r="M11" s="62">
        <f t="shared" si="6"/>
        <v>10057</v>
      </c>
    </row>
    <row r="12" spans="2:13" ht="12.75">
      <c r="B12" s="8" t="s">
        <v>1</v>
      </c>
      <c r="C12" s="63">
        <f>(LN(C3/C4)+((C$8-C$9+(0.5*(C7^2)))*C6))/(C7*C6^0.5)</f>
        <v>-0.99471668511224</v>
      </c>
      <c r="D12" s="63">
        <f>(LN(D3/D4)+((C$8-C$9+(0.5*(D7^2)))*D6))/(D7*D6^0.5)</f>
        <v>0.89727957222461</v>
      </c>
      <c r="F12" s="50">
        <v>0.15</v>
      </c>
      <c r="G12" s="58">
        <f t="shared" si="0"/>
        <v>11565.55</v>
      </c>
      <c r="H12" s="54">
        <f t="shared" si="1"/>
        <v>565.5499999999993</v>
      </c>
      <c r="I12" s="31">
        <f t="shared" si="2"/>
        <v>0</v>
      </c>
      <c r="J12" s="23">
        <f t="shared" si="3"/>
        <v>11565.55</v>
      </c>
      <c r="K12" s="47">
        <f t="shared" si="4"/>
        <v>11470.35434815829</v>
      </c>
      <c r="L12" s="20">
        <f t="shared" si="5"/>
        <v>10960.135010997757</v>
      </c>
      <c r="M12" s="62">
        <f t="shared" si="6"/>
        <v>10057</v>
      </c>
    </row>
    <row r="13" spans="2:13" ht="12.75">
      <c r="B13" s="8" t="s">
        <v>2</v>
      </c>
      <c r="C13" s="63">
        <f>C12-C7*C6^0.5</f>
        <v>-1.0624396501979478</v>
      </c>
      <c r="D13" s="63">
        <f>D12-D7*D6^0.5</f>
        <v>0.8069822854436662</v>
      </c>
      <c r="F13" s="50">
        <v>0.2</v>
      </c>
      <c r="G13" s="58">
        <f t="shared" si="0"/>
        <v>12068.4</v>
      </c>
      <c r="H13" s="54">
        <f t="shared" si="1"/>
        <v>1068.3999999999996</v>
      </c>
      <c r="I13" s="31">
        <f t="shared" si="2"/>
        <v>0</v>
      </c>
      <c r="J13" s="23">
        <f t="shared" si="3"/>
        <v>12068.4</v>
      </c>
      <c r="K13" s="47">
        <f t="shared" si="4"/>
        <v>11973.20434815829</v>
      </c>
      <c r="L13" s="20">
        <f t="shared" si="5"/>
        <v>10960.135010997757</v>
      </c>
      <c r="M13" s="62">
        <f t="shared" si="6"/>
        <v>10057</v>
      </c>
    </row>
    <row r="14" spans="2:13" ht="12.75">
      <c r="B14" s="8" t="s">
        <v>3</v>
      </c>
      <c r="C14" s="63">
        <f>NORMSDIST(C12)</f>
        <v>0.15993703856175467</v>
      </c>
      <c r="D14" s="63">
        <f>NORMSDIST(D12)</f>
        <v>0.8152151229686685</v>
      </c>
      <c r="F14" s="52">
        <v>0.25</v>
      </c>
      <c r="G14" s="59">
        <f t="shared" si="0"/>
        <v>12571.25</v>
      </c>
      <c r="H14" s="56">
        <f t="shared" si="1"/>
        <v>1571.25</v>
      </c>
      <c r="I14" s="32">
        <f t="shared" si="2"/>
        <v>0</v>
      </c>
      <c r="J14" s="24">
        <f t="shared" si="3"/>
        <v>12571.25</v>
      </c>
      <c r="K14" s="48">
        <f t="shared" si="4"/>
        <v>12476.05434815829</v>
      </c>
      <c r="L14" s="21">
        <f t="shared" si="5"/>
        <v>10960.135010997757</v>
      </c>
      <c r="M14" s="62">
        <f t="shared" si="6"/>
        <v>10057</v>
      </c>
    </row>
    <row r="15" spans="2:6" ht="12.75">
      <c r="B15" s="8" t="s">
        <v>4</v>
      </c>
      <c r="C15" s="63">
        <f>NORMSDIST(C13)</f>
        <v>0.1440180708150638</v>
      </c>
      <c r="D15" s="63">
        <f>NORMSDIST(D13)</f>
        <v>0.7901616554130898</v>
      </c>
      <c r="F15" s="3"/>
    </row>
    <row r="16" spans="2:12" ht="12.75">
      <c r="B16" s="8" t="s">
        <v>5</v>
      </c>
      <c r="C16" s="63">
        <f>1/(2*PI())^0.5*(EXP(-(C12^2)/2))</f>
        <v>0.24324912013982908</v>
      </c>
      <c r="D16" s="63">
        <f>1/(2*PI())^0.5*(EXP(-(D12^2)/2))</f>
        <v>0.26673654019589454</v>
      </c>
      <c r="F16" s="3"/>
      <c r="L16" s="2"/>
    </row>
    <row r="17" spans="6:12" ht="12.75">
      <c r="F17" s="39" t="s">
        <v>21</v>
      </c>
      <c r="G17" s="49">
        <v>10000000</v>
      </c>
      <c r="H17" s="42"/>
      <c r="K17" s="43" t="s">
        <v>25</v>
      </c>
      <c r="L17" s="44"/>
    </row>
    <row r="18" spans="6:12" ht="12.75">
      <c r="F18" s="6" t="s">
        <v>22</v>
      </c>
      <c r="G18" s="40">
        <v>75</v>
      </c>
      <c r="H18" s="14"/>
      <c r="J18" t="s">
        <v>26</v>
      </c>
      <c r="K18" s="37">
        <f>D10/SpotPrice</f>
        <v>0.009465611200329153</v>
      </c>
      <c r="L18" s="28">
        <f>(D10-C10)/SpotPrice</f>
        <v>0.003963904643754894</v>
      </c>
    </row>
    <row r="19" spans="6:12" ht="12.75">
      <c r="F19" s="6" t="s">
        <v>23</v>
      </c>
      <c r="G19" s="38">
        <f>G17/(StrikePrice*G18)</f>
        <v>12.121212121212121</v>
      </c>
      <c r="H19" s="41">
        <f>G17/(D4*G18)</f>
        <v>14.035087719298245</v>
      </c>
      <c r="J19" t="s">
        <v>27</v>
      </c>
      <c r="K19" s="45">
        <f ca="1">(1+K18)^(365/(D5-TODAY()))-1</f>
        <v>0.024338302708733384</v>
      </c>
      <c r="L19" s="45">
        <f ca="1">(1+L18)^(365/(D5-TODAY()))-1</f>
        <v>0.01014881221161823</v>
      </c>
    </row>
  </sheetData>
  <sheetProtection/>
  <mergeCells count="2">
    <mergeCell ref="C8:D8"/>
    <mergeCell ref="C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 Khan</dc:creator>
  <cp:keywords/>
  <dc:description/>
  <cp:lastModifiedBy>Yogesh Sane</cp:lastModifiedBy>
  <dcterms:created xsi:type="dcterms:W3CDTF">2006-11-23T12:16:52Z</dcterms:created>
  <dcterms:modified xsi:type="dcterms:W3CDTF">2017-08-07T18:25:49Z</dcterms:modified>
  <cp:category/>
  <cp:version/>
  <cp:contentType/>
  <cp:contentStatus/>
</cp:coreProperties>
</file>