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Ex1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6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alakrishna Shenoy\Google Drive\MPOWERU 2017\TEMPLATES FOR STUDENTS\"/>
    </mc:Choice>
  </mc:AlternateContent>
  <bookViews>
    <workbookView xWindow="0" yWindow="0" windowWidth="20490" windowHeight="7530" tabRatio="836" activeTab="1" xr2:uid="{00000000-000D-0000-FFFF-FFFF00000000}"/>
  </bookViews>
  <sheets>
    <sheet name="INTRODUCTION" sheetId="11" r:id="rId1"/>
    <sheet name="Funda @ glance" sheetId="8" r:id="rId2"/>
    <sheet name="Additional Graphs" sheetId="7" r:id="rId3"/>
    <sheet name="FIVEX" sheetId="10" r:id="rId4"/>
    <sheet name="Profit &amp; Loss" sheetId="1" r:id="rId5"/>
    <sheet name="Quarters" sheetId="3" r:id="rId6"/>
    <sheet name="Balance Sheet" sheetId="2" r:id="rId7"/>
    <sheet name="Cash Flow" sheetId="4" r:id="rId8"/>
    <sheet name="Customization" sheetId="5" r:id="rId9"/>
    <sheet name="Data Sheet" sheetId="6" r:id="rId10"/>
  </sheets>
  <definedNames>
    <definedName name="_xlchart.v1.0" hidden="1">'Balance Sheet'!$A$28</definedName>
    <definedName name="_xlchart.v1.1" hidden="1">'Balance Sheet'!$B$27:$K$27</definedName>
    <definedName name="_xlchart.v1.2" hidden="1">'Balance Sheet'!$B$28:$K$28</definedName>
    <definedName name="UPDATE">'Data Sheet'!$E$1</definedName>
  </definedNames>
  <calcPr calcId="171027"/>
  <fileRecoveryPr autoRecover="0"/>
</workbook>
</file>

<file path=xl/calcChain.xml><?xml version="1.0" encoding="utf-8"?>
<calcChain xmlns="http://schemas.openxmlformats.org/spreadsheetml/2006/main">
  <c r="K33" i="2" l="1"/>
  <c r="J33" i="2"/>
  <c r="I33" i="2"/>
  <c r="H33" i="2"/>
  <c r="G33" i="2"/>
  <c r="F33" i="2"/>
  <c r="E33" i="2"/>
  <c r="D33" i="2"/>
  <c r="C33" i="2"/>
  <c r="B33" i="2"/>
  <c r="K32" i="2"/>
  <c r="J32" i="2"/>
  <c r="I32" i="2"/>
  <c r="H32" i="2"/>
  <c r="G32" i="2"/>
  <c r="F32" i="2"/>
  <c r="E32" i="2"/>
  <c r="D32" i="2"/>
  <c r="C32" i="2"/>
  <c r="B32" i="2"/>
  <c r="K27" i="2"/>
  <c r="J27" i="2"/>
  <c r="I27" i="2"/>
  <c r="H27" i="2"/>
  <c r="G27" i="2"/>
  <c r="F27" i="2"/>
  <c r="E27" i="2"/>
  <c r="D27" i="2"/>
  <c r="C27" i="2"/>
  <c r="B27" i="2"/>
  <c r="B9" i="10" l="1"/>
  <c r="B1" i="10"/>
  <c r="B3" i="10"/>
  <c r="K34" i="1" l="1"/>
  <c r="J34" i="1"/>
  <c r="I34" i="1"/>
  <c r="H34" i="1"/>
  <c r="G34" i="1"/>
  <c r="F34" i="1"/>
  <c r="E34" i="1"/>
  <c r="D34" i="1"/>
  <c r="C34" i="1"/>
  <c r="B34" i="1"/>
  <c r="K29" i="2" l="1"/>
  <c r="J29" i="2"/>
  <c r="I29" i="2"/>
  <c r="H29" i="2"/>
  <c r="G29" i="2"/>
  <c r="F29" i="2"/>
  <c r="E29" i="2"/>
  <c r="D29" i="2"/>
  <c r="C29" i="2"/>
  <c r="B29" i="2"/>
  <c r="B28" i="2" s="1"/>
  <c r="K28" i="2" l="1"/>
  <c r="J28" i="2"/>
  <c r="I28" i="2"/>
  <c r="H28" i="2"/>
  <c r="G28" i="2"/>
  <c r="F28" i="2"/>
  <c r="E28" i="2"/>
  <c r="D28" i="2"/>
  <c r="C28" i="2"/>
  <c r="C3" i="10" l="1"/>
  <c r="C81" i="10"/>
  <c r="B80" i="10"/>
  <c r="B81" i="10" s="1"/>
  <c r="B78" i="10"/>
  <c r="D33" i="10"/>
  <c r="D32" i="10"/>
  <c r="D31" i="10"/>
  <c r="D30" i="10"/>
  <c r="B15" i="10"/>
  <c r="E2" i="10"/>
  <c r="C7" i="3" l="1"/>
  <c r="D7" i="3"/>
  <c r="E7" i="3"/>
  <c r="F7" i="3"/>
  <c r="G7" i="3"/>
  <c r="H7" i="3"/>
  <c r="I7" i="3"/>
  <c r="J7" i="3"/>
  <c r="K7" i="3"/>
  <c r="B7" i="3"/>
  <c r="C6" i="1"/>
  <c r="D6" i="1"/>
  <c r="E6" i="1"/>
  <c r="F6" i="1"/>
  <c r="G6" i="1"/>
  <c r="H6" i="1"/>
  <c r="I6" i="1"/>
  <c r="J6" i="1"/>
  <c r="K6" i="1"/>
  <c r="B6" i="1"/>
  <c r="K93" i="6"/>
  <c r="C93" i="6"/>
  <c r="D93" i="6"/>
  <c r="E93" i="6"/>
  <c r="F93" i="6"/>
  <c r="G93" i="6"/>
  <c r="H93" i="6"/>
  <c r="I93" i="6"/>
  <c r="J93" i="6"/>
  <c r="B93" i="6"/>
  <c r="B6" i="6" l="1"/>
  <c r="C18" i="2"/>
  <c r="D18" i="2"/>
  <c r="E18" i="2"/>
  <c r="F18" i="2"/>
  <c r="G18" i="2"/>
  <c r="H18" i="2"/>
  <c r="I18" i="2"/>
  <c r="J18" i="2"/>
  <c r="K18" i="2"/>
  <c r="C19" i="2"/>
  <c r="D19" i="2"/>
  <c r="E19" i="2"/>
  <c r="F19" i="2"/>
  <c r="G19" i="2"/>
  <c r="H19" i="2"/>
  <c r="I19" i="2"/>
  <c r="J19" i="2"/>
  <c r="K19" i="2"/>
  <c r="B18" i="2"/>
  <c r="C5" i="2"/>
  <c r="D5" i="2"/>
  <c r="E5" i="2"/>
  <c r="F5" i="2"/>
  <c r="G5" i="2"/>
  <c r="H5" i="2"/>
  <c r="I5" i="2"/>
  <c r="J5" i="2"/>
  <c r="K5" i="2"/>
  <c r="C6" i="2"/>
  <c r="D6" i="2"/>
  <c r="E6" i="2"/>
  <c r="F6" i="2"/>
  <c r="G6" i="2"/>
  <c r="H6" i="2"/>
  <c r="I6" i="2"/>
  <c r="J6" i="2"/>
  <c r="K6" i="2"/>
  <c r="C7" i="2"/>
  <c r="D7" i="2"/>
  <c r="E7" i="2"/>
  <c r="F7" i="2"/>
  <c r="G7" i="2"/>
  <c r="H7" i="2"/>
  <c r="I7" i="2"/>
  <c r="J7" i="2"/>
  <c r="K7" i="2"/>
  <c r="C8" i="2"/>
  <c r="D8" i="2"/>
  <c r="E8" i="2"/>
  <c r="F8" i="2"/>
  <c r="G8" i="2"/>
  <c r="H8" i="2"/>
  <c r="I8" i="2"/>
  <c r="J8" i="2"/>
  <c r="K8" i="2"/>
  <c r="C9" i="2"/>
  <c r="D9" i="2"/>
  <c r="E9" i="2"/>
  <c r="F9" i="2"/>
  <c r="G9" i="2"/>
  <c r="H9" i="2"/>
  <c r="I9" i="2"/>
  <c r="J9" i="2"/>
  <c r="K9" i="2"/>
  <c r="C11" i="2"/>
  <c r="D11" i="2"/>
  <c r="E11" i="2"/>
  <c r="F11" i="2"/>
  <c r="G11" i="2"/>
  <c r="H11" i="2"/>
  <c r="I11" i="2"/>
  <c r="J11" i="2"/>
  <c r="K11" i="2"/>
  <c r="C12" i="2"/>
  <c r="D12" i="2"/>
  <c r="E12" i="2"/>
  <c r="F12" i="2"/>
  <c r="G12" i="2"/>
  <c r="H12" i="2"/>
  <c r="I12" i="2"/>
  <c r="J12" i="2"/>
  <c r="K12" i="2"/>
  <c r="C13" i="2"/>
  <c r="D13" i="2"/>
  <c r="E13" i="2"/>
  <c r="F13" i="2"/>
  <c r="G13" i="2"/>
  <c r="H13" i="2"/>
  <c r="I13" i="2"/>
  <c r="J13" i="2"/>
  <c r="K13" i="2"/>
  <c r="C14" i="2"/>
  <c r="D14" i="2"/>
  <c r="E14" i="2"/>
  <c r="F14" i="2"/>
  <c r="G14" i="2"/>
  <c r="H14" i="2"/>
  <c r="I14" i="2"/>
  <c r="J14" i="2"/>
  <c r="K14" i="2"/>
  <c r="C15" i="2"/>
  <c r="D15" i="2"/>
  <c r="E15" i="2"/>
  <c r="F15" i="2"/>
  <c r="G15" i="2"/>
  <c r="H15" i="2"/>
  <c r="I15" i="2"/>
  <c r="J15" i="2"/>
  <c r="K15" i="2"/>
  <c r="B15" i="2"/>
  <c r="B6" i="2"/>
  <c r="B5" i="2"/>
  <c r="C4" i="4"/>
  <c r="D4" i="4"/>
  <c r="E4" i="4"/>
  <c r="F4" i="4"/>
  <c r="G4" i="4"/>
  <c r="H4" i="4"/>
  <c r="I4" i="4"/>
  <c r="J4" i="4"/>
  <c r="K4" i="4"/>
  <c r="C5" i="4"/>
  <c r="D5" i="4"/>
  <c r="E5" i="4"/>
  <c r="F5" i="4"/>
  <c r="G5" i="4"/>
  <c r="H5" i="4"/>
  <c r="I5" i="4"/>
  <c r="J5" i="4"/>
  <c r="K5" i="4"/>
  <c r="C6" i="4"/>
  <c r="D6" i="4"/>
  <c r="E6" i="4"/>
  <c r="F6" i="4"/>
  <c r="G6" i="4"/>
  <c r="H6" i="4"/>
  <c r="I6" i="4"/>
  <c r="J6" i="4"/>
  <c r="K6" i="4"/>
  <c r="C7" i="4"/>
  <c r="D7" i="4"/>
  <c r="E7" i="4"/>
  <c r="F7" i="4"/>
  <c r="G7" i="4"/>
  <c r="H7" i="4"/>
  <c r="I7" i="4"/>
  <c r="J7" i="4"/>
  <c r="K7" i="4"/>
  <c r="C4" i="3"/>
  <c r="D4" i="3"/>
  <c r="E4" i="3"/>
  <c r="F4" i="3"/>
  <c r="G4" i="3"/>
  <c r="H4" i="3"/>
  <c r="I4" i="3"/>
  <c r="J4" i="3"/>
  <c r="K4" i="3"/>
  <c r="C6" i="3"/>
  <c r="D6" i="3"/>
  <c r="E6" i="3"/>
  <c r="F6" i="3"/>
  <c r="G6" i="3"/>
  <c r="H6" i="3"/>
  <c r="I6" i="3"/>
  <c r="J6" i="3"/>
  <c r="K6" i="3"/>
  <c r="C8" i="3"/>
  <c r="D8" i="3"/>
  <c r="E8" i="3"/>
  <c r="F8" i="3"/>
  <c r="G8" i="3"/>
  <c r="H8" i="3"/>
  <c r="I8" i="3"/>
  <c r="J8" i="3"/>
  <c r="K8" i="3"/>
  <c r="C9" i="3"/>
  <c r="D9" i="3"/>
  <c r="E9" i="3"/>
  <c r="F9" i="3"/>
  <c r="G9" i="3"/>
  <c r="H9" i="3"/>
  <c r="I9" i="3"/>
  <c r="J9" i="3"/>
  <c r="K9" i="3"/>
  <c r="C10" i="3"/>
  <c r="D10" i="3"/>
  <c r="E10" i="3"/>
  <c r="F10" i="3"/>
  <c r="G10" i="3"/>
  <c r="H10" i="3"/>
  <c r="I10" i="3"/>
  <c r="J10" i="3"/>
  <c r="K10" i="3"/>
  <c r="C11" i="3"/>
  <c r="D11" i="3"/>
  <c r="E11" i="3"/>
  <c r="F11" i="3"/>
  <c r="G11" i="3"/>
  <c r="H11" i="3"/>
  <c r="I11" i="3"/>
  <c r="J11" i="3"/>
  <c r="K11" i="3"/>
  <c r="C12" i="3"/>
  <c r="D12" i="3"/>
  <c r="E12" i="3"/>
  <c r="F12" i="3"/>
  <c r="G12" i="3"/>
  <c r="H12" i="3"/>
  <c r="I12" i="3"/>
  <c r="J12" i="3"/>
  <c r="K12" i="3"/>
  <c r="C13" i="3"/>
  <c r="D13" i="3"/>
  <c r="E13" i="3"/>
  <c r="F13" i="3"/>
  <c r="G13" i="3"/>
  <c r="H13" i="3"/>
  <c r="I13" i="3"/>
  <c r="J13" i="3"/>
  <c r="K13" i="3"/>
  <c r="B6" i="3"/>
  <c r="C22" i="1"/>
  <c r="D22" i="1"/>
  <c r="E22" i="1"/>
  <c r="F22" i="1"/>
  <c r="G22" i="1"/>
  <c r="H22" i="1"/>
  <c r="I22" i="1"/>
  <c r="J22" i="1"/>
  <c r="K22" i="1"/>
  <c r="B22" i="1"/>
  <c r="C4" i="1"/>
  <c r="D4" i="1"/>
  <c r="E4" i="1"/>
  <c r="F4" i="1"/>
  <c r="G4" i="1"/>
  <c r="H4" i="1"/>
  <c r="I4" i="1"/>
  <c r="J4" i="1"/>
  <c r="K4" i="1"/>
  <c r="C8" i="1"/>
  <c r="D8" i="1"/>
  <c r="E8" i="1"/>
  <c r="F8" i="1"/>
  <c r="G8" i="1"/>
  <c r="H8" i="1"/>
  <c r="I8" i="1"/>
  <c r="J8" i="1"/>
  <c r="K8" i="1"/>
  <c r="C9" i="1"/>
  <c r="D9" i="1"/>
  <c r="E9" i="1"/>
  <c r="F9" i="1"/>
  <c r="G9" i="1"/>
  <c r="H9" i="1"/>
  <c r="I9" i="1"/>
  <c r="J9" i="1"/>
  <c r="K9" i="1"/>
  <c r="C10" i="1"/>
  <c r="D10" i="1"/>
  <c r="E10" i="1"/>
  <c r="F10" i="1"/>
  <c r="G10" i="1"/>
  <c r="H10" i="1"/>
  <c r="I10" i="1"/>
  <c r="J10" i="1"/>
  <c r="K10" i="1"/>
  <c r="C11" i="1"/>
  <c r="D11" i="1"/>
  <c r="E11" i="1"/>
  <c r="F11" i="1"/>
  <c r="G11" i="1"/>
  <c r="H11" i="1"/>
  <c r="I11" i="1"/>
  <c r="J11" i="1"/>
  <c r="K11" i="1"/>
  <c r="C12" i="1"/>
  <c r="D12" i="1"/>
  <c r="E12" i="1"/>
  <c r="F12" i="1"/>
  <c r="G12" i="1"/>
  <c r="H12" i="1"/>
  <c r="I12" i="1"/>
  <c r="J12" i="1"/>
  <c r="K12" i="1"/>
  <c r="C13" i="1"/>
  <c r="D13" i="1"/>
  <c r="E13" i="1"/>
  <c r="F13" i="1"/>
  <c r="F15" i="1" s="1"/>
  <c r="G13" i="1"/>
  <c r="H13" i="1"/>
  <c r="H15" i="1" s="1"/>
  <c r="I13" i="1"/>
  <c r="J13" i="1"/>
  <c r="K13" i="1"/>
  <c r="C18" i="1"/>
  <c r="D18" i="1"/>
  <c r="E18" i="1"/>
  <c r="F18" i="1"/>
  <c r="G18" i="1"/>
  <c r="H18" i="1"/>
  <c r="I18" i="1"/>
  <c r="J18" i="1"/>
  <c r="K18" i="1"/>
  <c r="B18" i="1"/>
  <c r="B19" i="1" s="1"/>
  <c r="C19" i="1" s="1"/>
  <c r="D19" i="1" s="1"/>
  <c r="E19" i="1" s="1"/>
  <c r="F19" i="1" s="1"/>
  <c r="G19" i="1" s="1"/>
  <c r="H19" i="1" s="1"/>
  <c r="I19" i="1" s="1"/>
  <c r="J19" i="1" s="1"/>
  <c r="K19" i="1" s="1"/>
  <c r="L19" i="1" s="1"/>
  <c r="B8" i="1"/>
  <c r="B4" i="1"/>
  <c r="B5" i="1" s="1"/>
  <c r="C5" i="1" s="1"/>
  <c r="D5" i="1" s="1"/>
  <c r="E5" i="1" s="1"/>
  <c r="F5" i="1" s="1"/>
  <c r="G5" i="1" s="1"/>
  <c r="H5" i="1" s="1"/>
  <c r="I5" i="1" s="1"/>
  <c r="J5" i="1" s="1"/>
  <c r="K5" i="1" s="1"/>
  <c r="L5" i="1" s="1"/>
  <c r="A1" i="1"/>
  <c r="E1" i="6"/>
  <c r="J4" i="2" l="1"/>
  <c r="F4" i="2"/>
  <c r="D15" i="1"/>
  <c r="D36" i="1"/>
  <c r="K15" i="1"/>
  <c r="K36" i="1"/>
  <c r="C15" i="1"/>
  <c r="C36" i="1"/>
  <c r="F36" i="1"/>
  <c r="H36" i="1"/>
  <c r="G15" i="1"/>
  <c r="G17" i="1" s="1"/>
  <c r="G36" i="1"/>
  <c r="J15" i="1"/>
  <c r="J17" i="1" s="1"/>
  <c r="J36" i="1"/>
  <c r="I15" i="1"/>
  <c r="I36" i="1"/>
  <c r="E15" i="1"/>
  <c r="E36" i="1"/>
  <c r="I4" i="2"/>
  <c r="E4" i="2"/>
  <c r="H4" i="2"/>
  <c r="D4" i="2"/>
  <c r="B4" i="2"/>
  <c r="K4" i="2"/>
  <c r="G4" i="2"/>
  <c r="C4" i="2"/>
  <c r="I17" i="1"/>
  <c r="J24" i="2"/>
  <c r="F17" i="1"/>
  <c r="I24" i="2"/>
  <c r="E24" i="2"/>
  <c r="E17" i="1"/>
  <c r="C17" i="1"/>
  <c r="D17" i="1"/>
  <c r="E1" i="2"/>
  <c r="E1" i="4"/>
  <c r="H17" i="2"/>
  <c r="D17" i="2"/>
  <c r="K24" i="2"/>
  <c r="G17" i="2"/>
  <c r="F24" i="2"/>
  <c r="C24" i="2"/>
  <c r="I17" i="2"/>
  <c r="E17" i="2"/>
  <c r="K17" i="2"/>
  <c r="C17" i="2"/>
  <c r="G24" i="2"/>
  <c r="J17" i="2"/>
  <c r="F17" i="2"/>
  <c r="E7" i="1"/>
  <c r="H24" i="2"/>
  <c r="D24" i="2"/>
  <c r="I7" i="1"/>
  <c r="J7" i="1"/>
  <c r="F7" i="1"/>
  <c r="K7" i="1"/>
  <c r="G7" i="1"/>
  <c r="C7" i="1"/>
  <c r="H7" i="1"/>
  <c r="D7" i="1"/>
  <c r="B7" i="1"/>
  <c r="B35" i="1" s="1"/>
  <c r="H1" i="1"/>
  <c r="K30" i="1" l="1"/>
  <c r="J30" i="1"/>
  <c r="K17" i="1"/>
  <c r="K23" i="1"/>
  <c r="K35" i="1"/>
  <c r="H23" i="1"/>
  <c r="H35" i="1"/>
  <c r="C23" i="1"/>
  <c r="C35" i="1"/>
  <c r="J23" i="1"/>
  <c r="J35" i="1"/>
  <c r="E23" i="1"/>
  <c r="E35" i="1"/>
  <c r="D23" i="1"/>
  <c r="D35" i="1"/>
  <c r="F23" i="1"/>
  <c r="F35" i="1"/>
  <c r="G23" i="1"/>
  <c r="G35" i="1"/>
  <c r="I23" i="1"/>
  <c r="I35" i="1"/>
  <c r="C25" i="2"/>
  <c r="I25" i="2"/>
  <c r="F25" i="2"/>
  <c r="K25" i="2"/>
  <c r="J25" i="2"/>
  <c r="H25" i="2"/>
  <c r="D25" i="2"/>
  <c r="E25" i="2"/>
  <c r="G25" i="2"/>
  <c r="C3" i="4"/>
  <c r="D3" i="4"/>
  <c r="E3" i="4"/>
  <c r="F3" i="4"/>
  <c r="G3" i="4"/>
  <c r="H3" i="4"/>
  <c r="I3" i="4"/>
  <c r="J3" i="4"/>
  <c r="K3" i="4"/>
  <c r="C3" i="2"/>
  <c r="D3" i="2"/>
  <c r="E3" i="2"/>
  <c r="F3" i="2"/>
  <c r="G3" i="2"/>
  <c r="H3" i="2"/>
  <c r="I3" i="2"/>
  <c r="J3" i="2"/>
  <c r="K3" i="2"/>
  <c r="C3" i="3"/>
  <c r="D3" i="3"/>
  <c r="E3" i="3"/>
  <c r="F3" i="3"/>
  <c r="G3" i="3"/>
  <c r="H3" i="3"/>
  <c r="I3" i="3"/>
  <c r="J3" i="3"/>
  <c r="K3" i="3"/>
  <c r="C3" i="1"/>
  <c r="D3" i="1"/>
  <c r="E3" i="1"/>
  <c r="F3" i="1"/>
  <c r="G3" i="1"/>
  <c r="H3" i="1"/>
  <c r="I3" i="1"/>
  <c r="J3" i="1"/>
  <c r="K3" i="1"/>
  <c r="B7" i="4" l="1"/>
  <c r="B6" i="4"/>
  <c r="B5" i="4"/>
  <c r="B4" i="4"/>
  <c r="B3" i="4"/>
  <c r="K22" i="2"/>
  <c r="J22" i="2"/>
  <c r="I22" i="2"/>
  <c r="H22" i="2"/>
  <c r="G22" i="2"/>
  <c r="F22" i="2"/>
  <c r="E22" i="2"/>
  <c r="D22" i="2"/>
  <c r="C22" i="2"/>
  <c r="B19" i="2"/>
  <c r="B22" i="2" s="1"/>
  <c r="B14" i="2"/>
  <c r="B13" i="2"/>
  <c r="B12" i="2"/>
  <c r="B11" i="2"/>
  <c r="B9" i="2"/>
  <c r="B8" i="2"/>
  <c r="B7" i="2"/>
  <c r="B3" i="2"/>
  <c r="J16" i="3"/>
  <c r="H16" i="3"/>
  <c r="F16" i="3"/>
  <c r="D16" i="3"/>
  <c r="B13" i="3"/>
  <c r="B14" i="3" s="1"/>
  <c r="C14" i="3" s="1"/>
  <c r="D14" i="3" s="1"/>
  <c r="E14" i="3" s="1"/>
  <c r="F14" i="3" s="1"/>
  <c r="G14" i="3" s="1"/>
  <c r="H14" i="3" s="1"/>
  <c r="I14" i="3" s="1"/>
  <c r="J14" i="3" s="1"/>
  <c r="K14" i="3" s="1"/>
  <c r="B12" i="3"/>
  <c r="B11" i="3"/>
  <c r="B10" i="3"/>
  <c r="B9" i="3"/>
  <c r="B8" i="3"/>
  <c r="B4" i="3"/>
  <c r="B5" i="3" s="1"/>
  <c r="C5" i="3" s="1"/>
  <c r="D5" i="3" s="1"/>
  <c r="E5" i="3" s="1"/>
  <c r="F5" i="3" s="1"/>
  <c r="G5" i="3" s="1"/>
  <c r="H5" i="3" s="1"/>
  <c r="I5" i="3" s="1"/>
  <c r="J5" i="3" s="1"/>
  <c r="K5" i="3" s="1"/>
  <c r="B3" i="3"/>
  <c r="L18" i="1"/>
  <c r="B13" i="1"/>
  <c r="B12" i="1"/>
  <c r="B11" i="1"/>
  <c r="B10" i="1"/>
  <c r="B9" i="1"/>
  <c r="B21" i="2"/>
  <c r="B3" i="1"/>
  <c r="B14" i="1" l="1"/>
  <c r="C14" i="1" s="1"/>
  <c r="D14" i="1" s="1"/>
  <c r="E14" i="1" s="1"/>
  <c r="F14" i="1" s="1"/>
  <c r="G14" i="1" s="1"/>
  <c r="H14" i="1" s="1"/>
  <c r="I14" i="1" s="1"/>
  <c r="J14" i="1" s="1"/>
  <c r="K14" i="1" s="1"/>
  <c r="L14" i="1" s="1"/>
  <c r="B36" i="1"/>
  <c r="L31" i="1"/>
  <c r="B15" i="1"/>
  <c r="B24" i="2"/>
  <c r="B17" i="2"/>
  <c r="B25" i="2" s="1"/>
  <c r="B16" i="3"/>
  <c r="E16" i="3"/>
  <c r="I16" i="3"/>
  <c r="C16" i="3"/>
  <c r="G16" i="3"/>
  <c r="K16" i="3"/>
  <c r="K27" i="1"/>
  <c r="G21" i="2"/>
  <c r="I21" i="2"/>
  <c r="K21" i="2"/>
  <c r="D21" i="2"/>
  <c r="F21" i="2"/>
  <c r="H21" i="2"/>
  <c r="J21" i="2"/>
  <c r="C21" i="2"/>
  <c r="E21" i="2"/>
  <c r="L13" i="1"/>
  <c r="K28" i="1"/>
  <c r="L12" i="1"/>
  <c r="L11" i="1"/>
  <c r="L10" i="1"/>
  <c r="M10" i="1" s="1"/>
  <c r="L9" i="1"/>
  <c r="M9" i="1" s="1"/>
  <c r="L8" i="1"/>
  <c r="L7" i="1"/>
  <c r="L4" i="1"/>
  <c r="L27" i="1" s="1"/>
  <c r="A1" i="3"/>
  <c r="A1" i="2"/>
  <c r="A1" i="4" s="1"/>
  <c r="H27" i="1"/>
  <c r="I28" i="1"/>
  <c r="I27" i="1"/>
  <c r="J28" i="1"/>
  <c r="J27" i="1"/>
  <c r="B23" i="1"/>
  <c r="L35" i="1" l="1"/>
  <c r="L15" i="1"/>
  <c r="L17" i="1" s="1"/>
  <c r="L36" i="1"/>
  <c r="K17" i="3"/>
  <c r="G17" i="3"/>
  <c r="C17" i="3"/>
  <c r="J17" i="3"/>
  <c r="F17" i="3"/>
  <c r="B17" i="3"/>
  <c r="I17" i="3"/>
  <c r="E17" i="3"/>
  <c r="H17" i="3"/>
  <c r="D17" i="3"/>
  <c r="H24" i="1"/>
  <c r="D24" i="1"/>
  <c r="K24" i="1"/>
  <c r="G24" i="1"/>
  <c r="C24" i="1"/>
  <c r="J24" i="1"/>
  <c r="F24" i="1"/>
  <c r="B24" i="1"/>
  <c r="I24" i="1"/>
  <c r="E24" i="1"/>
  <c r="H28" i="1"/>
  <c r="B17" i="1"/>
  <c r="B16" i="1"/>
  <c r="C16" i="1" s="1"/>
  <c r="D16" i="1" s="1"/>
  <c r="E16" i="1" s="1"/>
  <c r="F16" i="1" s="1"/>
  <c r="G16" i="1" s="1"/>
  <c r="H16" i="1" s="1"/>
  <c r="I16" i="1" s="1"/>
  <c r="J16" i="1" s="1"/>
  <c r="K16" i="1" s="1"/>
  <c r="L16" i="1" s="1"/>
  <c r="L23" i="1"/>
  <c r="L28" i="1" s="1"/>
  <c r="L6" i="1"/>
  <c r="N12" i="1"/>
  <c r="M12" i="1"/>
  <c r="M27" i="1"/>
  <c r="M4" i="1" s="1"/>
  <c r="N27" i="1"/>
  <c r="N4" i="1" s="1"/>
  <c r="K29" i="1"/>
  <c r="N10" i="1"/>
  <c r="N9" i="1"/>
  <c r="L29" i="1" l="1"/>
  <c r="M29" i="1" s="1"/>
  <c r="F10" i="10"/>
  <c r="D10" i="10" s="1"/>
  <c r="J31" i="1"/>
  <c r="L24" i="1"/>
  <c r="N24" i="1" s="1"/>
  <c r="N28" i="1"/>
  <c r="N7" i="1" s="1"/>
  <c r="M28" i="1"/>
  <c r="M7" i="1" s="1"/>
  <c r="M24" i="1" l="1"/>
  <c r="M11" i="1"/>
  <c r="M13" i="1" s="1"/>
  <c r="M15" i="1" s="1"/>
  <c r="N11" i="1"/>
  <c r="N13" i="1" s="1"/>
  <c r="N15" i="1" s="1"/>
  <c r="N6" i="1"/>
  <c r="M6" i="1"/>
  <c r="M17" i="1"/>
  <c r="M18" i="1" l="1"/>
  <c r="J29" i="1" l="1"/>
  <c r="I29" i="1"/>
  <c r="K31" i="1"/>
  <c r="H17" i="1"/>
  <c r="H29" i="1"/>
  <c r="N29" i="1" l="1"/>
  <c r="N17" i="1" s="1"/>
  <c r="N18" i="1" s="1"/>
</calcChain>
</file>

<file path=xl/sharedStrings.xml><?xml version="1.0" encoding="utf-8"?>
<sst xmlns="http://schemas.openxmlformats.org/spreadsheetml/2006/main" count="298" uniqueCount="217">
  <si>
    <t>COMPANY NAME</t>
  </si>
  <si>
    <t>SCREENER.IN</t>
  </si>
  <si>
    <t>Narration</t>
  </si>
  <si>
    <t>Trailing</t>
  </si>
  <si>
    <t>Best Case</t>
  </si>
  <si>
    <t>Worst Case</t>
  </si>
  <si>
    <t>Sales</t>
  </si>
  <si>
    <t>Expenses</t>
  </si>
  <si>
    <t>Operating Profit</t>
  </si>
  <si>
    <t>Other Income</t>
  </si>
  <si>
    <t>Depreciation</t>
  </si>
  <si>
    <t>Interest</t>
  </si>
  <si>
    <t>Profit before tax</t>
  </si>
  <si>
    <t>Tax</t>
  </si>
  <si>
    <t>Net profit</t>
  </si>
  <si>
    <t>RATIOS:</t>
  </si>
  <si>
    <t>Price to earning</t>
  </si>
  <si>
    <t>Dividend Payout</t>
  </si>
  <si>
    <t>OPM</t>
  </si>
  <si>
    <t>TRENDS:</t>
  </si>
  <si>
    <t>BEST</t>
  </si>
  <si>
    <t>WORST</t>
  </si>
  <si>
    <t>Sales Growth</t>
  </si>
  <si>
    <t>Price to Earning</t>
  </si>
  <si>
    <t>Equity Share Capital</t>
  </si>
  <si>
    <t>Reserves</t>
  </si>
  <si>
    <t>Total</t>
  </si>
  <si>
    <t>Net Block</t>
  </si>
  <si>
    <t>Capital Work in Progress</t>
  </si>
  <si>
    <t>Investments</t>
  </si>
  <si>
    <t>Working Capital</t>
  </si>
  <si>
    <t>Face Value</t>
  </si>
  <si>
    <t>Cash from Operating Activity</t>
  </si>
  <si>
    <t>Cash from Investing Activity</t>
  </si>
  <si>
    <t>Cash from Financing Activity</t>
  </si>
  <si>
    <t>Net Cash Flow</t>
  </si>
  <si>
    <t>PLEASE DO NOT MAKE ANY CHANGES TO THIS SHEET</t>
  </si>
  <si>
    <t>PROFIT &amp; LOSS</t>
  </si>
  <si>
    <t>Report Date</t>
  </si>
  <si>
    <t>Quarters</t>
  </si>
  <si>
    <t>BALANCE SHEET</t>
  </si>
  <si>
    <t>CASH FLOW:</t>
  </si>
  <si>
    <t>Number of shares</t>
  </si>
  <si>
    <t>Current Price</t>
  </si>
  <si>
    <t>Debtors</t>
  </si>
  <si>
    <t>Inventory</t>
  </si>
  <si>
    <t>Debtor Days</t>
  </si>
  <si>
    <t>Inventory Turnover</t>
  </si>
  <si>
    <t>You can customize this workbook as you want.</t>
  </si>
  <si>
    <t>Please don't edit the "Data Sheet" only.</t>
  </si>
  <si>
    <t>After customization, you can upload this back on Screener.</t>
  </si>
  <si>
    <t>Upload on:</t>
  </si>
  <si>
    <t>Download your customized workbooks now onwards.</t>
  </si>
  <si>
    <t>Now whenever you will "Export to excel" from Screener, it will export your customized file.</t>
  </si>
  <si>
    <t>TESTING:</t>
  </si>
  <si>
    <t>This is a testing feature currently.</t>
  </si>
  <si>
    <t>You can report any formula errors on the worksheet at:</t>
  </si>
  <si>
    <t>How to use it?</t>
  </si>
  <si>
    <t>EPS</t>
  </si>
  <si>
    <t>Price</t>
  </si>
  <si>
    <t>Return on Equity</t>
  </si>
  <si>
    <t>Return on Capital Emp</t>
  </si>
  <si>
    <t>LATEST VERSION</t>
  </si>
  <si>
    <t>CURRENT VERSION</t>
  </si>
  <si>
    <t>AKSHARCHEM (INDIA) LTD</t>
  </si>
  <si>
    <t>META</t>
  </si>
  <si>
    <t>10 YEARS</t>
  </si>
  <si>
    <t>7 YEARS</t>
  </si>
  <si>
    <t>5 YEARS</t>
  </si>
  <si>
    <t>3 YEARS</t>
  </si>
  <si>
    <t>Dividend Amount</t>
  </si>
  <si>
    <t>Borrowings</t>
  </si>
  <si>
    <t>Other Liabilities</t>
  </si>
  <si>
    <t>Other Assets</t>
  </si>
  <si>
    <t>No. of Equity Shares</t>
  </si>
  <si>
    <t>New Bonus Shares</t>
  </si>
  <si>
    <t>DERIVED:</t>
  </si>
  <si>
    <t>PRICE:</t>
  </si>
  <si>
    <t>Receivables</t>
  </si>
  <si>
    <t>Market Capitalization</t>
  </si>
  <si>
    <t>Raw Material Cost</t>
  </si>
  <si>
    <t>Change in Inventory</t>
  </si>
  <si>
    <t>Power and Fuel</t>
  </si>
  <si>
    <t>Other Mfr. Exp</t>
  </si>
  <si>
    <t>Employee Cost</t>
  </si>
  <si>
    <t>Selling and admin</t>
  </si>
  <si>
    <t>Other Expenses</t>
  </si>
  <si>
    <t>Cash &amp; Bank</t>
  </si>
  <si>
    <t>Face value</t>
  </si>
  <si>
    <t>Adjusted Equity Shares in Cr</t>
  </si>
  <si>
    <t>You can add custom formating, add conditional formating, add your own formulas… do ANYTHING.</t>
  </si>
  <si>
    <t xml:space="preserve"> https://www.screener.in/excel/</t>
  </si>
  <si>
    <t xml:space="preserve"> screener.feedback@dalal-street.in</t>
  </si>
  <si>
    <t>Sales Reference</t>
  </si>
  <si>
    <t>Net profit Reference</t>
  </si>
  <si>
    <t>EPS Reference</t>
  </si>
  <si>
    <t>Price Reference</t>
  </si>
  <si>
    <t>OPM Reference</t>
  </si>
  <si>
    <t>Sales projection</t>
  </si>
  <si>
    <t>NetProfit Projection</t>
  </si>
  <si>
    <t>EPS Projection</t>
  </si>
  <si>
    <t>Stock Price Projection</t>
  </si>
  <si>
    <t>FAIR VALUE</t>
  </si>
  <si>
    <t>CMP</t>
  </si>
  <si>
    <t>DESIGNED BY MPOWERU ACADEMY</t>
  </si>
  <si>
    <t>NAME OF COMPANY</t>
  </si>
  <si>
    <t>YR OF INC.</t>
  </si>
  <si>
    <t>COMPANY DATA</t>
  </si>
  <si>
    <t>SECTOR</t>
  </si>
  <si>
    <t>YEARS</t>
  </si>
  <si>
    <t>MARKET CAP</t>
  </si>
  <si>
    <t xml:space="preserve">DATE </t>
  </si>
  <si>
    <t>Comments</t>
  </si>
  <si>
    <t>ROCE 3YR AVERAGE</t>
  </si>
  <si>
    <t>EARNING YIELD</t>
  </si>
  <si>
    <t>PE RATIO</t>
  </si>
  <si>
    <t>BOOK VALUE</t>
  </si>
  <si>
    <t>PB RATIO</t>
  </si>
  <si>
    <t>DEBT TO EQUITY RATIO</t>
  </si>
  <si>
    <t>INTEREST COVERAGE</t>
  </si>
  <si>
    <t>PEG RATIO</t>
  </si>
  <si>
    <t>PEG METHOD</t>
  </si>
  <si>
    <t>FAIR VALUE ESTIMATE</t>
  </si>
  <si>
    <t>FVE</t>
  </si>
  <si>
    <t>FINANCIAL CHECKLIST</t>
  </si>
  <si>
    <t>PASS/FAIL</t>
  </si>
  <si>
    <t>COMMENTS</t>
  </si>
  <si>
    <t>INFORMATION ABOUT SECTOR &amp; COMPANY</t>
  </si>
  <si>
    <t>ROCE 3 YR AVEARGE</t>
  </si>
  <si>
    <t>EARNINGS YIELD</t>
  </si>
  <si>
    <t>PRICE TO BOOK</t>
  </si>
  <si>
    <t>DEBT TO EQUITY</t>
  </si>
  <si>
    <t>FAIR VALUE PEG</t>
  </si>
  <si>
    <t>FAIR VALUE EPSG</t>
  </si>
  <si>
    <t>SECTOR INFORMATION</t>
  </si>
  <si>
    <t>PEER GROUP SIZE</t>
  </si>
  <si>
    <t>MEASURE</t>
  </si>
  <si>
    <t>RANK</t>
  </si>
  <si>
    <t>QUARTILE</t>
  </si>
  <si>
    <t>%</t>
  </si>
  <si>
    <t>GROWTH</t>
  </si>
  <si>
    <t>SIZE</t>
  </si>
  <si>
    <t>EFFICIENCY</t>
  </si>
  <si>
    <t>CORP. GOVERNANCE</t>
  </si>
  <si>
    <t>PART OF INDEX</t>
  </si>
  <si>
    <t>SHARE HOLDING</t>
  </si>
  <si>
    <t>Change in Last Qtr</t>
  </si>
  <si>
    <t>Promoter Pledge</t>
  </si>
  <si>
    <t>Promoter Pledge - Change in Last Qtr</t>
  </si>
  <si>
    <t>PROMOTERS</t>
  </si>
  <si>
    <t>FII</t>
  </si>
  <si>
    <t>MFs</t>
  </si>
  <si>
    <t>INSURANCE</t>
  </si>
  <si>
    <t>OTHER DII</t>
  </si>
  <si>
    <t>NON INSTITUTIONAL</t>
  </si>
  <si>
    <t>VALUE PROPOSITION</t>
  </si>
  <si>
    <t>TECHNICALS</t>
  </si>
  <si>
    <t>RECOS</t>
  </si>
  <si>
    <t>ENTRY (TECHNICALS)</t>
  </si>
  <si>
    <t>COMMENT</t>
  </si>
  <si>
    <t>Date</t>
  </si>
  <si>
    <t>Entry</t>
  </si>
  <si>
    <t>Target</t>
  </si>
  <si>
    <t>Recommended by</t>
  </si>
  <si>
    <t>20 EMA</t>
  </si>
  <si>
    <t>100 EMA</t>
  </si>
  <si>
    <t>200 EMA</t>
  </si>
  <si>
    <t>RSI</t>
  </si>
  <si>
    <t>ADX</t>
  </si>
  <si>
    <t>SUPPORT</t>
  </si>
  <si>
    <t>690-720</t>
  </si>
  <si>
    <t>POSITIVE X</t>
  </si>
  <si>
    <t>NEGATIVE X</t>
  </si>
  <si>
    <t>X-FACTORS</t>
  </si>
  <si>
    <t>OVERALL SUMMARY</t>
  </si>
  <si>
    <t>RISK MGMT</t>
  </si>
  <si>
    <t>CATEGORY</t>
  </si>
  <si>
    <t>DATA POINT</t>
  </si>
  <si>
    <t>RISK MODEL</t>
  </si>
  <si>
    <t>ACTUAL</t>
  </si>
  <si>
    <t>ATR</t>
  </si>
  <si>
    <t>STOP LOSS (TREND TRADING)</t>
  </si>
  <si>
    <t>RISK APPETITE (INR)</t>
  </si>
  <si>
    <t>NO. OF SHARES TO BUY</t>
  </si>
  <si>
    <t>CAPITAL NEEDED</t>
  </si>
  <si>
    <t>Sources used in this analysis</t>
  </si>
  <si>
    <t>Public domain sites like the companies website, Stock exchange sites, financial websites like moneycontrol.com, screener.in, marketsmojo.com etc</t>
  </si>
  <si>
    <t>Equity+ Reserves</t>
  </si>
  <si>
    <t>Protected Sheet</t>
  </si>
  <si>
    <t>Operating Margin</t>
  </si>
  <si>
    <t>Net Profit Margin</t>
  </si>
  <si>
    <t xml:space="preserve">  </t>
  </si>
  <si>
    <t>The Tab Funda @ glance has 9 graphs that depicts various fundamental data</t>
  </si>
  <si>
    <t>The additional graph tab has a few more graphs including quarterly graph</t>
  </si>
  <si>
    <t>The FIVEX template is an organised way to collect fundamental data and was created by MPOWERU ACADEMY, Bangalore</t>
  </si>
  <si>
    <t>Happy Investing</t>
  </si>
  <si>
    <t>MPOWERU ACADEMY</t>
  </si>
  <si>
    <t>mpoweru.academy@gmail.com</t>
  </si>
  <si>
    <t>Once downloaded, click on Enable edit and press ok for any message regarding protected sheet.</t>
  </si>
  <si>
    <t>FUNDAMENTALS IN FIVE MINUTES</t>
  </si>
  <si>
    <t>Understand a Company's Cash Flow, Balance Sheet and PNL Data Visually and in a glance*</t>
  </si>
  <si>
    <t>*Any errors and ommissions excepted</t>
  </si>
  <si>
    <t>Disclaimers</t>
  </si>
  <si>
    <t>Perform your own research and seek advise from your financial advisor before investing.</t>
  </si>
  <si>
    <t xml:space="preserve">Stock market investments are subject market risk. </t>
  </si>
  <si>
    <t>To Join Face Book Group</t>
  </si>
  <si>
    <t>https://www.facebook.com/groups/1325014780894821/</t>
  </si>
  <si>
    <t>To Know about Training</t>
  </si>
  <si>
    <t>https://tradingyoga.blogspot.com/2017/09/mpoweru-academy-training-courses.html</t>
  </si>
  <si>
    <t>For Feedback or queries</t>
  </si>
  <si>
    <t>About Financial Freedome</t>
  </si>
  <si>
    <t>https://tradingyoga.blogspot.com/2017/08/stocks-ticket-to-financial-freedom.html</t>
  </si>
  <si>
    <t>The other tabs on the right of Fivex Tab are data downloaded from screener.in along with some working and ratio calculations</t>
  </si>
  <si>
    <t>Dream Come True</t>
  </si>
  <si>
    <t>Become an expert with just a click of the button.</t>
  </si>
  <si>
    <t>HOW TO USE</t>
  </si>
  <si>
    <t>ABOUT THE 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</si>
</sst>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  <numFmt numFmtId="166" formatCode="[$-409]mmm\-yy;@"/>
    <numFmt numFmtId="167" formatCode="0.00_ ;[Red]\-0.00\ "/>
    <numFmt numFmtId="168" formatCode="_ * #,##0_ ;_ * \-#,##0_ ;_ * &quot;-&quot;??_ ;_ @_ 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7"/>
      <name val="Calibri"/>
      <family val="2"/>
      <scheme val="minor"/>
    </font>
    <font>
      <sz val="16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.5"/>
      <color rgb="FF333333"/>
      <name val="Arial"/>
      <family val="2"/>
    </font>
    <font>
      <b/>
      <sz val="11.5"/>
      <color rgb="FF333333"/>
      <name val="Arial"/>
      <family val="2"/>
    </font>
    <font>
      <b/>
      <sz val="12"/>
      <color theme="0"/>
      <name val="Calibri"/>
      <family val="2"/>
      <scheme val="minor"/>
    </font>
    <font>
      <sz val="4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9"/>
      </patternFill>
    </fill>
    <fill>
      <patternFill patternType="solid">
        <fgColor rgb="FF0275D8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9" fontId="3" fillId="0" borderId="0" applyFont="0" applyFill="0" applyBorder="0" applyAlignment="0" applyProtection="0"/>
  </cellStyleXfs>
  <cellXfs count="109">
    <xf numFmtId="0" fontId="0" fillId="0" borderId="0" xfId="0"/>
    <xf numFmtId="43" fontId="1" fillId="0" borderId="0" xfId="1" applyFont="1" applyBorder="1"/>
    <xf numFmtId="0" fontId="1" fillId="0" borderId="0" xfId="0" applyFont="1" applyFill="1" applyBorder="1"/>
    <xf numFmtId="0" fontId="1" fillId="0" borderId="0" xfId="0" applyFont="1" applyFill="1" applyBorder="1" applyAlignment="1"/>
    <xf numFmtId="43" fontId="0" fillId="0" borderId="0" xfId="1" applyFont="1" applyBorder="1"/>
    <xf numFmtId="0" fontId="0" fillId="0" borderId="0" xfId="0" applyFont="1" applyBorder="1"/>
    <xf numFmtId="10" fontId="0" fillId="0" borderId="0" xfId="0" applyNumberFormat="1" applyFont="1" applyBorder="1"/>
    <xf numFmtId="0" fontId="1" fillId="0" borderId="0" xfId="0" applyFont="1" applyBorder="1"/>
    <xf numFmtId="43" fontId="3" fillId="0" borderId="0" xfId="1" applyFont="1" applyBorder="1"/>
    <xf numFmtId="9" fontId="3" fillId="0" borderId="0" xfId="1" applyNumberFormat="1" applyFont="1" applyBorder="1"/>
    <xf numFmtId="0" fontId="0" fillId="0" borderId="0" xfId="0" applyBorder="1"/>
    <xf numFmtId="43" fontId="2" fillId="2" borderId="0" xfId="3" applyNumberFormat="1" applyFont="1" applyBorder="1"/>
    <xf numFmtId="43" fontId="2" fillId="3" borderId="0" xfId="4" applyNumberFormat="1" applyFont="1" applyBorder="1"/>
    <xf numFmtId="9" fontId="1" fillId="0" borderId="0" xfId="6" applyFont="1" applyBorder="1"/>
    <xf numFmtId="0" fontId="2" fillId="5" borderId="0" xfId="0" applyFont="1" applyFill="1" applyBorder="1"/>
    <xf numFmtId="166" fontId="2" fillId="5" borderId="0" xfId="0" applyNumberFormat="1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0" fillId="0" borderId="0" xfId="0" applyFill="1" applyBorder="1"/>
    <xf numFmtId="43" fontId="0" fillId="0" borderId="0" xfId="1" applyNumberFormat="1" applyFont="1" applyBorder="1" applyAlignment="1">
      <alignment horizontal="center"/>
    </xf>
    <xf numFmtId="43" fontId="1" fillId="0" borderId="0" xfId="1" applyNumberFormat="1" applyFont="1" applyBorder="1" applyAlignment="1">
      <alignment horizontal="center"/>
    </xf>
    <xf numFmtId="43" fontId="0" fillId="0" borderId="0" xfId="1" applyNumberFormat="1" applyFont="1" applyBorder="1"/>
    <xf numFmtId="10" fontId="1" fillId="0" borderId="0" xfId="0" applyNumberFormat="1" applyFont="1" applyBorder="1"/>
    <xf numFmtId="166" fontId="2" fillId="5" borderId="0" xfId="1" applyNumberFormat="1" applyFont="1" applyFill="1" applyBorder="1"/>
    <xf numFmtId="166" fontId="9" fillId="0" borderId="0" xfId="1" applyNumberFormat="1" applyFont="1" applyFill="1" applyBorder="1"/>
    <xf numFmtId="0" fontId="7" fillId="0" borderId="0" xfId="0" applyFont="1" applyBorder="1"/>
    <xf numFmtId="0" fontId="0" fillId="0" borderId="0" xfId="0" applyBorder="1" applyAlignment="1">
      <alignment horizontal="left"/>
    </xf>
    <xf numFmtId="0" fontId="6" fillId="0" borderId="0" xfId="2" applyFont="1" applyBorder="1" applyAlignment="1" applyProtection="1">
      <alignment horizontal="left"/>
    </xf>
    <xf numFmtId="0" fontId="6" fillId="0" borderId="0" xfId="2" applyFont="1" applyBorder="1" applyAlignment="1" applyProtection="1"/>
    <xf numFmtId="0" fontId="0" fillId="0" borderId="0" xfId="0" applyFont="1" applyFill="1" applyBorder="1"/>
    <xf numFmtId="0" fontId="9" fillId="0" borderId="0" xfId="0" applyFont="1" applyFill="1" applyBorder="1"/>
    <xf numFmtId="165" fontId="0" fillId="0" borderId="0" xfId="1" applyNumberFormat="1" applyFont="1" applyBorder="1"/>
    <xf numFmtId="43" fontId="10" fillId="2" borderId="0" xfId="3" applyNumberFormat="1" applyFont="1" applyBorder="1"/>
    <xf numFmtId="43" fontId="10" fillId="3" borderId="0" xfId="4" applyNumberFormat="1" applyFont="1" applyBorder="1"/>
    <xf numFmtId="0" fontId="10" fillId="6" borderId="0" xfId="0" applyFont="1" applyFill="1" applyBorder="1"/>
    <xf numFmtId="43" fontId="1" fillId="6" borderId="0" xfId="1" applyFont="1" applyFill="1" applyBorder="1"/>
    <xf numFmtId="43" fontId="10" fillId="6" borderId="0" xfId="1" applyFont="1" applyFill="1" applyBorder="1"/>
    <xf numFmtId="0" fontId="1" fillId="6" borderId="0" xfId="0" applyFont="1" applyFill="1" applyBorder="1"/>
    <xf numFmtId="43" fontId="3" fillId="6" borderId="0" xfId="1" applyFont="1" applyFill="1" applyBorder="1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9" fontId="0" fillId="0" borderId="0" xfId="0" applyNumberFormat="1" applyFont="1" applyBorder="1" applyAlignment="1">
      <alignment horizontal="center"/>
    </xf>
    <xf numFmtId="164" fontId="0" fillId="0" borderId="0" xfId="0" applyNumberFormat="1" applyFont="1" applyBorder="1"/>
    <xf numFmtId="10" fontId="0" fillId="6" borderId="0" xfId="0" applyNumberFormat="1" applyFont="1" applyFill="1" applyBorder="1"/>
    <xf numFmtId="167" fontId="0" fillId="0" borderId="0" xfId="0" applyNumberFormat="1" applyFont="1" applyBorder="1"/>
    <xf numFmtId="43" fontId="0" fillId="0" borderId="0" xfId="0" applyNumberFormat="1" applyFont="1" applyBorder="1"/>
    <xf numFmtId="0" fontId="11" fillId="0" borderId="0" xfId="0" applyFont="1"/>
    <xf numFmtId="0" fontId="0" fillId="0" borderId="0" xfId="0" applyAlignment="1">
      <alignment wrapText="1"/>
    </xf>
    <xf numFmtId="168" fontId="0" fillId="7" borderId="0" xfId="1" applyNumberFormat="1" applyFont="1" applyFill="1"/>
    <xf numFmtId="15" fontId="0" fillId="0" borderId="0" xfId="0" applyNumberFormat="1"/>
    <xf numFmtId="0" fontId="15" fillId="0" borderId="0" xfId="0" applyFont="1" applyAlignment="1">
      <alignment vertical="top" wrapText="1"/>
    </xf>
    <xf numFmtId="43" fontId="0" fillId="0" borderId="0" xfId="1" applyFont="1" applyAlignment="1">
      <alignment wrapText="1"/>
    </xf>
    <xf numFmtId="9" fontId="0" fillId="0" borderId="0" xfId="6" applyFont="1" applyAlignment="1">
      <alignment wrapText="1"/>
    </xf>
    <xf numFmtId="0" fontId="0" fillId="9" borderId="0" xfId="0" applyFill="1"/>
    <xf numFmtId="0" fontId="14" fillId="8" borderId="0" xfId="0" applyFont="1" applyFill="1" applyAlignment="1">
      <alignment horizontal="center" vertical="center" textRotation="90" wrapText="1"/>
    </xf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6" fillId="0" borderId="0" xfId="0" applyFont="1" applyAlignment="1">
      <alignment wrapText="1"/>
    </xf>
    <xf numFmtId="9" fontId="0" fillId="0" borderId="0" xfId="6" applyFont="1" applyAlignment="1">
      <alignment horizontal="center"/>
    </xf>
    <xf numFmtId="0" fontId="0" fillId="0" borderId="0" xfId="0" applyAlignment="1">
      <alignment horizontal="center" wrapText="1"/>
    </xf>
    <xf numFmtId="0" fontId="13" fillId="0" borderId="0" xfId="0" applyFont="1" applyAlignment="1">
      <alignment horizontal="center"/>
    </xf>
    <xf numFmtId="0" fontId="17" fillId="0" borderId="0" xfId="0" applyFont="1" applyAlignment="1">
      <alignment wrapText="1"/>
    </xf>
    <xf numFmtId="0" fontId="1" fillId="0" borderId="0" xfId="0" applyFont="1" applyAlignment="1">
      <alignment wrapText="1"/>
    </xf>
    <xf numFmtId="167" fontId="0" fillId="0" borderId="0" xfId="0" applyNumberFormat="1"/>
    <xf numFmtId="10" fontId="0" fillId="0" borderId="1" xfId="6" applyNumberFormat="1" applyFont="1" applyBorder="1" applyAlignment="1">
      <alignment wrapText="1"/>
    </xf>
    <xf numFmtId="0" fontId="1" fillId="11" borderId="1" xfId="0" applyFont="1" applyFill="1" applyBorder="1" applyAlignment="1">
      <alignment horizontal="center"/>
    </xf>
    <xf numFmtId="0" fontId="0" fillId="12" borderId="1" xfId="0" applyFill="1" applyBorder="1"/>
    <xf numFmtId="0" fontId="0" fillId="11" borderId="1" xfId="0" applyFill="1" applyBorder="1" applyAlignment="1">
      <alignment horizontal="center"/>
    </xf>
    <xf numFmtId="0" fontId="13" fillId="11" borderId="1" xfId="0" applyFont="1" applyFill="1" applyBorder="1" applyAlignment="1">
      <alignment horizontal="center"/>
    </xf>
    <xf numFmtId="15" fontId="0" fillId="12" borderId="1" xfId="0" applyNumberFormat="1" applyFill="1" applyBorder="1"/>
    <xf numFmtId="0" fontId="18" fillId="10" borderId="1" xfId="0" applyFont="1" applyFill="1" applyBorder="1" applyAlignment="1">
      <alignment horizontal="center" wrapText="1"/>
    </xf>
    <xf numFmtId="43" fontId="18" fillId="10" borderId="1" xfId="1" applyFont="1" applyFill="1" applyBorder="1" applyAlignment="1">
      <alignment horizontal="center" wrapText="1"/>
    </xf>
    <xf numFmtId="0" fontId="0" fillId="7" borderId="1" xfId="0" applyFill="1" applyBorder="1" applyAlignment="1">
      <alignment wrapText="1"/>
    </xf>
    <xf numFmtId="43" fontId="0" fillId="7" borderId="1" xfId="1" applyFont="1" applyFill="1" applyBorder="1" applyAlignment="1">
      <alignment wrapText="1"/>
    </xf>
    <xf numFmtId="43" fontId="0" fillId="13" borderId="1" xfId="1" applyFont="1" applyFill="1" applyBorder="1" applyAlignment="1">
      <alignment wrapText="1"/>
    </xf>
    <xf numFmtId="168" fontId="0" fillId="7" borderId="1" xfId="1" applyNumberFormat="1" applyFont="1" applyFill="1" applyBorder="1" applyAlignment="1">
      <alignment wrapText="1"/>
    </xf>
    <xf numFmtId="0" fontId="0" fillId="0" borderId="0" xfId="0" applyAlignment="1">
      <alignment vertical="top" wrapText="1"/>
    </xf>
    <xf numFmtId="43" fontId="0" fillId="9" borderId="0" xfId="0" applyNumberFormat="1" applyFill="1"/>
    <xf numFmtId="0" fontId="0" fillId="7" borderId="0" xfId="0" applyFill="1"/>
    <xf numFmtId="168" fontId="0" fillId="0" borderId="0" xfId="1" applyNumberFormat="1" applyFont="1" applyFill="1"/>
    <xf numFmtId="15" fontId="0" fillId="7" borderId="0" xfId="0" applyNumberFormat="1" applyFill="1"/>
    <xf numFmtId="0" fontId="19" fillId="0" borderId="0" xfId="0" applyFont="1"/>
    <xf numFmtId="9" fontId="0" fillId="0" borderId="0" xfId="6" applyFont="1" applyBorder="1"/>
    <xf numFmtId="0" fontId="4" fillId="0" borderId="0" xfId="2" applyAlignment="1" applyProtection="1"/>
    <xf numFmtId="0" fontId="1" fillId="0" borderId="0" xfId="0" applyFont="1" applyFill="1" applyAlignment="1">
      <alignment horizontal="center"/>
    </xf>
    <xf numFmtId="0" fontId="0" fillId="0" borderId="0" xfId="0" applyFill="1"/>
    <xf numFmtId="0" fontId="2" fillId="10" borderId="0" xfId="0" applyFont="1" applyFill="1"/>
    <xf numFmtId="0" fontId="18" fillId="10" borderId="0" xfId="0" applyFont="1" applyFill="1" applyAlignment="1">
      <alignment wrapText="1"/>
    </xf>
    <xf numFmtId="0" fontId="22" fillId="0" borderId="0" xfId="0" applyFont="1" applyFill="1" applyAlignment="1">
      <alignment horizontal="left" vertical="top"/>
    </xf>
    <xf numFmtId="0" fontId="22" fillId="0" borderId="0" xfId="0" applyFont="1"/>
    <xf numFmtId="0" fontId="20" fillId="7" borderId="0" xfId="0" applyFont="1" applyFill="1" applyAlignment="1">
      <alignment horizontal="center"/>
    </xf>
    <xf numFmtId="0" fontId="21" fillId="10" borderId="0" xfId="0" applyFont="1" applyFill="1" applyAlignment="1">
      <alignment horizontal="center" vertical="center" wrapText="1"/>
    </xf>
    <xf numFmtId="0" fontId="21" fillId="10" borderId="0" xfId="0" applyFont="1" applyFill="1" applyAlignment="1">
      <alignment horizontal="left" vertical="center" wrapText="1"/>
    </xf>
    <xf numFmtId="0" fontId="21" fillId="0" borderId="0" xfId="0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 textRotation="90"/>
    </xf>
    <xf numFmtId="0" fontId="19" fillId="0" borderId="0" xfId="0" applyFont="1" applyAlignment="1">
      <alignment horizontal="center" vertical="center" textRotation="90"/>
    </xf>
    <xf numFmtId="0" fontId="14" fillId="8" borderId="0" xfId="0" applyFont="1" applyFill="1" applyAlignment="1">
      <alignment horizontal="center" vertical="center" textRotation="90" wrapText="1"/>
    </xf>
    <xf numFmtId="0" fontId="18" fillId="10" borderId="1" xfId="0" applyFont="1" applyFill="1" applyBorder="1" applyAlignment="1">
      <alignment horizontal="center"/>
    </xf>
    <xf numFmtId="0" fontId="0" fillId="0" borderId="0" xfId="0" applyAlignment="1">
      <alignment horizontal="left" vertical="top" wrapText="1"/>
    </xf>
    <xf numFmtId="43" fontId="1" fillId="0" borderId="0" xfId="0" applyNumberFormat="1" applyFont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43" fontId="0" fillId="0" borderId="0" xfId="1" applyFont="1" applyAlignment="1">
      <alignment vertical="top" wrapText="1"/>
    </xf>
    <xf numFmtId="43" fontId="4" fillId="0" borderId="0" xfId="2" applyNumberFormat="1" applyBorder="1" applyAlignment="1" applyProtection="1">
      <alignment horizontal="center"/>
    </xf>
    <xf numFmtId="43" fontId="2" fillId="4" borderId="0" xfId="5" applyNumberFormat="1" applyFont="1" applyBorder="1" applyAlignment="1">
      <alignment horizontal="center"/>
    </xf>
  </cellXfs>
  <cellStyles count="7">
    <cellStyle name="60% - Accent1" xfId="3" builtinId="32"/>
    <cellStyle name="60% - Accent3" xfId="4" builtinId="40"/>
    <cellStyle name="Accent6" xfId="5" builtinId="49"/>
    <cellStyle name="Comma" xfId="1" builtinId="3"/>
    <cellStyle name="Hyperlink" xfId="2" builtinId="8"/>
    <cellStyle name="Normal" xfId="0" builtinId="0"/>
    <cellStyle name="Percent" xfId="6" builtinId="5"/>
  </cellStyles>
  <dxfs count="31"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[$-409]mmm\-yy;@"/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[$-409]mmm\-yy;@"/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[$-409]mmm\-yy;@"/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[$-409]mmm\-yy;@"/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[$-409]mmm\-yy;@"/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[$-409]mmm\-yy;@"/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[$-409]mmm\-yy;@"/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[$-409]mmm\-yy;@"/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[$-409]mmm\-yy;@"/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[$-409]mmm\-yy;@"/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rgb="FF0275D8"/>
        </patternFill>
      </fill>
      <border diagonalUp="0" diagonalDown="0" outline="0">
        <left style="thin">
          <color theme="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[$-409]mmm\-yy;@"/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[$-409]mmm\-yy;@"/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[$-409]mmm\-yy;@"/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[$-409]mmm\-yy;@"/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[$-409]mmm\-yy;@"/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[$-409]mmm\-yy;@"/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[$-409]mmm\-yy;@"/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[$-409]mmm\-yy;@"/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[$-409]mmm\-yy;@"/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[$-409]mmm\-yy;@"/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[$-409]mmm\-yy;@"/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rgb="FF0275D8"/>
        </patternFill>
      </fill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rgb="FF0275D8"/>
        </patternFill>
      </fill>
      <alignment horizontal="center" vertical="bottom" textRotation="0" wrapText="0" relativeIndent="0" justifyLastLine="0" shrinkToFit="0" readingOrder="0"/>
    </dxf>
  </dxfs>
  <tableStyles count="0" defaultTableStyle="TableStyleMedium9" defaultPivotStyle="PivotStyleLight16"/>
  <colors>
    <mruColors>
      <color rgb="FFD109C3"/>
      <color rgb="FF0275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10 Year Sales</a:t>
            </a:r>
            <a:r>
              <a:rPr lang="en-IN" baseline="0"/>
              <a:t> and Income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'Profit &amp; Loss'!$B$3</c:f>
              <c:strCache>
                <c:ptCount val="1"/>
                <c:pt idx="0">
                  <c:v>Mar-08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'Profit &amp; Loss'!$A$4:$A$19</c15:sqref>
                  </c15:fullRef>
                </c:ext>
              </c:extLst>
              <c:f>('Profit &amp; Loss'!$A$4,'Profit &amp; Loss'!$A$7:$A$8,'Profit &amp; Loss'!$A$11,'Profit &amp; Loss'!$A$13)</c:f>
              <c:strCache>
                <c:ptCount val="5"/>
                <c:pt idx="0">
                  <c:v>Sales</c:v>
                </c:pt>
                <c:pt idx="1">
                  <c:v>Operating Profit</c:v>
                </c:pt>
                <c:pt idx="2">
                  <c:v>Other Income</c:v>
                </c:pt>
                <c:pt idx="3">
                  <c:v>Profit before tax</c:v>
                </c:pt>
                <c:pt idx="4">
                  <c:v>Net profit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'Profit &amp; Loss'!$B$4:$B$19</c15:sqref>
                  </c15:fullRef>
                </c:ext>
              </c:extLst>
              <c:f>('Profit &amp; Loss'!$B$4,'Profit &amp; Loss'!$B$7:$B$8,'Profit &amp; Loss'!$B$11,'Profit &amp; Loss'!$B$13)</c:f>
              <c:numCache>
                <c:formatCode>_(* #,##0.00_);_(* \(#,##0.00\);_(* "-"??_);_(@_)</c:formatCode>
                <c:ptCount val="5"/>
                <c:pt idx="0">
                  <c:v>3535.8</c:v>
                </c:pt>
                <c:pt idx="1">
                  <c:v>3375.61</c:v>
                </c:pt>
                <c:pt idx="2">
                  <c:v>1.86</c:v>
                </c:pt>
                <c:pt idx="3">
                  <c:v>1312.43</c:v>
                </c:pt>
                <c:pt idx="4">
                  <c:v>860.15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51-4538-B251-4AFC51FF6C2F}"/>
            </c:ext>
          </c:extLst>
        </c:ser>
        <c:ser>
          <c:idx val="1"/>
          <c:order val="1"/>
          <c:tx>
            <c:strRef>
              <c:f>'Profit &amp; Loss'!$C$3</c:f>
              <c:strCache>
                <c:ptCount val="1"/>
                <c:pt idx="0">
                  <c:v>Mar-09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'Profit &amp; Loss'!$A$4:$A$19</c15:sqref>
                  </c15:fullRef>
                </c:ext>
              </c:extLst>
              <c:f>('Profit &amp; Loss'!$A$4,'Profit &amp; Loss'!$A$7:$A$8,'Profit &amp; Loss'!$A$11,'Profit &amp; Loss'!$A$13)</c:f>
              <c:strCache>
                <c:ptCount val="5"/>
                <c:pt idx="0">
                  <c:v>Sales</c:v>
                </c:pt>
                <c:pt idx="1">
                  <c:v>Operating Profit</c:v>
                </c:pt>
                <c:pt idx="2">
                  <c:v>Other Income</c:v>
                </c:pt>
                <c:pt idx="3">
                  <c:v>Profit before tax</c:v>
                </c:pt>
                <c:pt idx="4">
                  <c:v>Net profit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'Profit &amp; Loss'!$C$4:$C$19</c15:sqref>
                  </c15:fullRef>
                </c:ext>
              </c:extLst>
              <c:f>('Profit &amp; Loss'!$C$4,'Profit &amp; Loss'!$C$7:$C$8,'Profit &amp; Loss'!$C$11,'Profit &amp; Loss'!$C$13)</c:f>
              <c:numCache>
                <c:formatCode>_(* #,##0.00_);_(* \(#,##0.00\);_(* "-"??_);_(@_)</c:formatCode>
                <c:ptCount val="5"/>
                <c:pt idx="0">
                  <c:v>4882.17</c:v>
                </c:pt>
                <c:pt idx="1">
                  <c:v>4759.32</c:v>
                </c:pt>
                <c:pt idx="2">
                  <c:v>49.5</c:v>
                </c:pt>
                <c:pt idx="3">
                  <c:v>1920.11</c:v>
                </c:pt>
                <c:pt idx="4">
                  <c:v>1272.08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51-4538-B251-4AFC51FF6C2F}"/>
            </c:ext>
          </c:extLst>
        </c:ser>
        <c:ser>
          <c:idx val="2"/>
          <c:order val="2"/>
          <c:tx>
            <c:strRef>
              <c:f>'Profit &amp; Loss'!$D$3</c:f>
              <c:strCache>
                <c:ptCount val="1"/>
                <c:pt idx="0">
                  <c:v>Mar-10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'Profit &amp; Loss'!$A$4:$A$19</c15:sqref>
                  </c15:fullRef>
                </c:ext>
              </c:extLst>
              <c:f>('Profit &amp; Loss'!$A$4,'Profit &amp; Loss'!$A$7:$A$8,'Profit &amp; Loss'!$A$11,'Profit &amp; Loss'!$A$13)</c:f>
              <c:strCache>
                <c:ptCount val="5"/>
                <c:pt idx="0">
                  <c:v>Sales</c:v>
                </c:pt>
                <c:pt idx="1">
                  <c:v>Operating Profit</c:v>
                </c:pt>
                <c:pt idx="2">
                  <c:v>Other Income</c:v>
                </c:pt>
                <c:pt idx="3">
                  <c:v>Profit before tax</c:v>
                </c:pt>
                <c:pt idx="4">
                  <c:v>Net profit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'Profit &amp; Loss'!$D$4:$D$19</c15:sqref>
                  </c15:fullRef>
                </c:ext>
              </c:extLst>
              <c:f>('Profit &amp; Loss'!$D$4,'Profit &amp; Loss'!$D$7:$D$8,'Profit &amp; Loss'!$D$11,'Profit &amp; Loss'!$D$13)</c:f>
              <c:numCache>
                <c:formatCode>_(* #,##0.00_);_(* \(#,##0.00\);_(* "-"??_);_(@_)</c:formatCode>
                <c:ptCount val="5"/>
                <c:pt idx="0">
                  <c:v>6658.98</c:v>
                </c:pt>
                <c:pt idx="1">
                  <c:v>6498.8099999999995</c:v>
                </c:pt>
                <c:pt idx="2">
                  <c:v>48.62</c:v>
                </c:pt>
                <c:pt idx="3">
                  <c:v>2649.2</c:v>
                </c:pt>
                <c:pt idx="4">
                  <c:v>2001.42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51-4538-B251-4AFC51FF6C2F}"/>
            </c:ext>
          </c:extLst>
        </c:ser>
        <c:ser>
          <c:idx val="3"/>
          <c:order val="3"/>
          <c:tx>
            <c:strRef>
              <c:f>'Profit &amp; Loss'!$E$3</c:f>
              <c:strCache>
                <c:ptCount val="1"/>
                <c:pt idx="0">
                  <c:v>Mar-11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'Profit &amp; Loss'!$A$4:$A$19</c15:sqref>
                  </c15:fullRef>
                </c:ext>
              </c:extLst>
              <c:f>('Profit &amp; Loss'!$A$4,'Profit &amp; Loss'!$A$7:$A$8,'Profit &amp; Loss'!$A$11,'Profit &amp; Loss'!$A$13)</c:f>
              <c:strCache>
                <c:ptCount val="5"/>
                <c:pt idx="0">
                  <c:v>Sales</c:v>
                </c:pt>
                <c:pt idx="1">
                  <c:v>Operating Profit</c:v>
                </c:pt>
                <c:pt idx="2">
                  <c:v>Other Income</c:v>
                </c:pt>
                <c:pt idx="3">
                  <c:v>Profit before tax</c:v>
                </c:pt>
                <c:pt idx="4">
                  <c:v>Net profit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'Profit &amp; Loss'!$E$4:$E$19</c15:sqref>
                  </c15:fullRef>
                </c:ext>
              </c:extLst>
              <c:f>('Profit &amp; Loss'!$E$4,'Profit &amp; Loss'!$E$7:$E$8,'Profit &amp; Loss'!$E$11,'Profit &amp; Loss'!$E$13)</c:f>
              <c:numCache>
                <c:formatCode>_(* #,##0.00_);_(* \(#,##0.00\);_(* "-"??_);_(@_)</c:formatCode>
                <c:ptCount val="5"/>
                <c:pt idx="0">
                  <c:v>8377.85</c:v>
                </c:pt>
                <c:pt idx="1">
                  <c:v>8212.91</c:v>
                </c:pt>
                <c:pt idx="2">
                  <c:v>117.41</c:v>
                </c:pt>
                <c:pt idx="3">
                  <c:v>3476.28</c:v>
                </c:pt>
                <c:pt idx="4">
                  <c:v>2569.9299999999998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51-4538-B251-4AFC51FF6C2F}"/>
            </c:ext>
          </c:extLst>
        </c:ser>
        <c:ser>
          <c:idx val="4"/>
          <c:order val="4"/>
          <c:tx>
            <c:strRef>
              <c:f>'Profit &amp; Loss'!$F$3</c:f>
              <c:strCache>
                <c:ptCount val="1"/>
                <c:pt idx="0">
                  <c:v>Mar-12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'Profit &amp; Loss'!$A$4:$A$19</c15:sqref>
                  </c15:fullRef>
                </c:ext>
              </c:extLst>
              <c:f>('Profit &amp; Loss'!$A$4,'Profit &amp; Loss'!$A$7:$A$8,'Profit &amp; Loss'!$A$11,'Profit &amp; Loss'!$A$13)</c:f>
              <c:strCache>
                <c:ptCount val="5"/>
                <c:pt idx="0">
                  <c:v>Sales</c:v>
                </c:pt>
                <c:pt idx="1">
                  <c:v>Operating Profit</c:v>
                </c:pt>
                <c:pt idx="2">
                  <c:v>Other Income</c:v>
                </c:pt>
                <c:pt idx="3">
                  <c:v>Profit before tax</c:v>
                </c:pt>
                <c:pt idx="4">
                  <c:v>Net profit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'Profit &amp; Loss'!$F$4:$F$19</c15:sqref>
                  </c15:fullRef>
                </c:ext>
              </c:extLst>
              <c:f>('Profit &amp; Loss'!$F$4,'Profit &amp; Loss'!$F$7:$F$8,'Profit &amp; Loss'!$F$11,'Profit &amp; Loss'!$F$13)</c:f>
              <c:numCache>
                <c:formatCode>_(* #,##0.00_);_(* \(#,##0.00\);_(* "-"??_);_(@_)</c:formatCode>
                <c:ptCount val="5"/>
                <c:pt idx="0">
                  <c:v>10502.6</c:v>
                </c:pt>
                <c:pt idx="1">
                  <c:v>10168.460000000001</c:v>
                </c:pt>
                <c:pt idx="2">
                  <c:v>6.47</c:v>
                </c:pt>
                <c:pt idx="3">
                  <c:v>3792.86</c:v>
                </c:pt>
                <c:pt idx="4">
                  <c:v>2817.03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51-4538-B251-4AFC51FF6C2F}"/>
            </c:ext>
          </c:extLst>
        </c:ser>
        <c:ser>
          <c:idx val="5"/>
          <c:order val="5"/>
          <c:tx>
            <c:strRef>
              <c:f>'Profit &amp; Loss'!$G$3</c:f>
              <c:strCache>
                <c:ptCount val="1"/>
                <c:pt idx="0">
                  <c:v>Mar-13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'Profit &amp; Loss'!$A$4:$A$19</c15:sqref>
                  </c15:fullRef>
                </c:ext>
              </c:extLst>
              <c:f>('Profit &amp; Loss'!$A$4,'Profit &amp; Loss'!$A$7:$A$8,'Profit &amp; Loss'!$A$11,'Profit &amp; Loss'!$A$13)</c:f>
              <c:strCache>
                <c:ptCount val="5"/>
                <c:pt idx="0">
                  <c:v>Sales</c:v>
                </c:pt>
                <c:pt idx="1">
                  <c:v>Operating Profit</c:v>
                </c:pt>
                <c:pt idx="2">
                  <c:v>Other Income</c:v>
                </c:pt>
                <c:pt idx="3">
                  <c:v>Profit before tax</c:v>
                </c:pt>
                <c:pt idx="4">
                  <c:v>Net profit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'Profit &amp; Loss'!$G$4:$G$19</c15:sqref>
                  </c15:fullRef>
                </c:ext>
              </c:extLst>
              <c:f>('Profit &amp; Loss'!$G$4,'Profit &amp; Loss'!$G$7:$G$8,'Profit &amp; Loss'!$G$11,'Profit &amp; Loss'!$G$13)</c:f>
              <c:numCache>
                <c:formatCode>_(* #,##0.00_);_(* \(#,##0.00\);_(* "-"??_);_(@_)</c:formatCode>
                <c:ptCount val="5"/>
                <c:pt idx="0">
                  <c:v>13594.97</c:v>
                </c:pt>
                <c:pt idx="1">
                  <c:v>13247.759999999998</c:v>
                </c:pt>
                <c:pt idx="2">
                  <c:v>3.7</c:v>
                </c:pt>
                <c:pt idx="3">
                  <c:v>5163.95</c:v>
                </c:pt>
                <c:pt idx="4">
                  <c:v>3817.62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51-4538-B251-4AFC51FF6C2F}"/>
            </c:ext>
          </c:extLst>
        </c:ser>
        <c:ser>
          <c:idx val="6"/>
          <c:order val="6"/>
          <c:tx>
            <c:strRef>
              <c:f>'Profit &amp; Loss'!$H$3</c:f>
              <c:strCache>
                <c:ptCount val="1"/>
                <c:pt idx="0">
                  <c:v>Mar-14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'Profit &amp; Loss'!$A$4:$A$19</c15:sqref>
                  </c15:fullRef>
                </c:ext>
              </c:extLst>
              <c:f>('Profit &amp; Loss'!$A$4,'Profit &amp; Loss'!$A$7:$A$8,'Profit &amp; Loss'!$A$11,'Profit &amp; Loss'!$A$13)</c:f>
              <c:strCache>
                <c:ptCount val="5"/>
                <c:pt idx="0">
                  <c:v>Sales</c:v>
                </c:pt>
                <c:pt idx="1">
                  <c:v>Operating Profit</c:v>
                </c:pt>
                <c:pt idx="2">
                  <c:v>Other Income</c:v>
                </c:pt>
                <c:pt idx="3">
                  <c:v>Profit before tax</c:v>
                </c:pt>
                <c:pt idx="4">
                  <c:v>Net profit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'Profit &amp; Loss'!$H$4:$H$19</c15:sqref>
                  </c15:fullRef>
                </c:ext>
              </c:extLst>
              <c:f>('Profit &amp; Loss'!$H$4,'Profit &amp; Loss'!$H$7:$H$8,'Profit &amp; Loss'!$H$11,'Profit &amp; Loss'!$H$13)</c:f>
              <c:numCache>
                <c:formatCode>_(* #,##0.00_);_(* \(#,##0.00\);_(* "-"??_);_(@_)</c:formatCode>
                <c:ptCount val="5"/>
                <c:pt idx="0">
                  <c:v>17114.89</c:v>
                </c:pt>
                <c:pt idx="1">
                  <c:v>16567.489999999998</c:v>
                </c:pt>
                <c:pt idx="2">
                  <c:v>6.3</c:v>
                </c:pt>
                <c:pt idx="3">
                  <c:v>6531.12</c:v>
                </c:pt>
                <c:pt idx="4">
                  <c:v>4683.7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51-4538-B251-4AFC51FF6C2F}"/>
            </c:ext>
          </c:extLst>
        </c:ser>
        <c:ser>
          <c:idx val="7"/>
          <c:order val="7"/>
          <c:tx>
            <c:strRef>
              <c:f>'Profit &amp; Loss'!$I$3</c:f>
              <c:strCache>
                <c:ptCount val="1"/>
                <c:pt idx="0">
                  <c:v>Mar-15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'Profit &amp; Loss'!$A$4:$A$19</c15:sqref>
                  </c15:fullRef>
                </c:ext>
              </c:extLst>
              <c:f>('Profit &amp; Loss'!$A$4,'Profit &amp; Loss'!$A$7:$A$8,'Profit &amp; Loss'!$A$11,'Profit &amp; Loss'!$A$13)</c:f>
              <c:strCache>
                <c:ptCount val="5"/>
                <c:pt idx="0">
                  <c:v>Sales</c:v>
                </c:pt>
                <c:pt idx="1">
                  <c:v>Operating Profit</c:v>
                </c:pt>
                <c:pt idx="2">
                  <c:v>Other Income</c:v>
                </c:pt>
                <c:pt idx="3">
                  <c:v>Profit before tax</c:v>
                </c:pt>
                <c:pt idx="4">
                  <c:v>Net profit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'Profit &amp; Loss'!$I$4:$I$19</c15:sqref>
                  </c15:fullRef>
                </c:ext>
              </c:extLst>
              <c:f>('Profit &amp; Loss'!$I$4,'Profit &amp; Loss'!$I$7:$I$8,'Profit &amp; Loss'!$I$11,'Profit &amp; Loss'!$I$13)</c:f>
              <c:numCache>
                <c:formatCode>_(* #,##0.00_);_(* \(#,##0.00\);_(* "-"??_);_(@_)</c:formatCode>
                <c:ptCount val="5"/>
                <c:pt idx="0">
                  <c:v>20384.41</c:v>
                </c:pt>
                <c:pt idx="1">
                  <c:v>19274.77</c:v>
                </c:pt>
                <c:pt idx="2">
                  <c:v>3.64</c:v>
                </c:pt>
                <c:pt idx="3">
                  <c:v>7427.04</c:v>
                </c:pt>
                <c:pt idx="4">
                  <c:v>5259.87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51-4538-B251-4AFC51FF6C2F}"/>
            </c:ext>
          </c:extLst>
        </c:ser>
        <c:ser>
          <c:idx val="8"/>
          <c:order val="8"/>
          <c:tx>
            <c:strRef>
              <c:f>'Profit &amp; Loss'!$J$3</c:f>
              <c:strCache>
                <c:ptCount val="1"/>
                <c:pt idx="0">
                  <c:v>Mar-16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'Profit &amp; Loss'!$A$4:$A$19</c15:sqref>
                  </c15:fullRef>
                </c:ext>
              </c:extLst>
              <c:f>('Profit &amp; Loss'!$A$4,'Profit &amp; Loss'!$A$7:$A$8,'Profit &amp; Loss'!$A$11,'Profit &amp; Loss'!$A$13)</c:f>
              <c:strCache>
                <c:ptCount val="5"/>
                <c:pt idx="0">
                  <c:v>Sales</c:v>
                </c:pt>
                <c:pt idx="1">
                  <c:v>Operating Profit</c:v>
                </c:pt>
                <c:pt idx="2">
                  <c:v>Other Income</c:v>
                </c:pt>
                <c:pt idx="3">
                  <c:v>Profit before tax</c:v>
                </c:pt>
                <c:pt idx="4">
                  <c:v>Net profit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'Profit &amp; Loss'!$J$4:$J$19</c15:sqref>
                  </c15:fullRef>
                </c:ext>
              </c:extLst>
              <c:f>('Profit &amp; Loss'!$J$4,'Profit &amp; Loss'!$J$7:$J$8,'Profit &amp; Loss'!$J$11,'Profit &amp; Loss'!$J$13)</c:f>
              <c:numCache>
                <c:formatCode>_(* #,##0.00_);_(* \(#,##0.00\);_(* "-"??_);_(@_)</c:formatCode>
                <c:ptCount val="5"/>
                <c:pt idx="0">
                  <c:v>23751.89</c:v>
                </c:pt>
                <c:pt idx="1">
                  <c:v>22329.39</c:v>
                </c:pt>
                <c:pt idx="2">
                  <c:v>4.3899999999999997</c:v>
                </c:pt>
                <c:pt idx="3">
                  <c:v>8045.21</c:v>
                </c:pt>
                <c:pt idx="4">
                  <c:v>5627.66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51-4538-B251-4AFC51FF6C2F}"/>
            </c:ext>
          </c:extLst>
        </c:ser>
        <c:ser>
          <c:idx val="9"/>
          <c:order val="9"/>
          <c:tx>
            <c:strRef>
              <c:f>'Profit &amp; Loss'!$K$3</c:f>
              <c:strCache>
                <c:ptCount val="1"/>
                <c:pt idx="0">
                  <c:v>Mar-17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'Profit &amp; Loss'!$A$4:$A$19</c15:sqref>
                  </c15:fullRef>
                </c:ext>
              </c:extLst>
              <c:f>('Profit &amp; Loss'!$A$4,'Profit &amp; Loss'!$A$7:$A$8,'Profit &amp; Loss'!$A$11,'Profit &amp; Loss'!$A$13)</c:f>
              <c:strCache>
                <c:ptCount val="5"/>
                <c:pt idx="0">
                  <c:v>Sales</c:v>
                </c:pt>
                <c:pt idx="1">
                  <c:v>Operating Profit</c:v>
                </c:pt>
                <c:pt idx="2">
                  <c:v>Other Income</c:v>
                </c:pt>
                <c:pt idx="3">
                  <c:v>Profit before tax</c:v>
                </c:pt>
                <c:pt idx="4">
                  <c:v>Net profit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'Profit &amp; Loss'!$K$4:$K$19</c15:sqref>
                  </c15:fullRef>
                </c:ext>
              </c:extLst>
              <c:f>('Profit &amp; Loss'!$K$4,'Profit &amp; Loss'!$K$7:$K$8,'Profit &amp; Loss'!$K$11,'Profit &amp; Loss'!$K$13)</c:f>
              <c:numCache>
                <c:formatCode>_(* #,##0.00_);_(* \(#,##0.00\);_(* "-"??_);_(@_)</c:formatCode>
                <c:ptCount val="5"/>
                <c:pt idx="0">
                  <c:v>24077.86</c:v>
                </c:pt>
                <c:pt idx="1">
                  <c:v>22623.37</c:v>
                </c:pt>
                <c:pt idx="2">
                  <c:v>17.489999999999998</c:v>
                </c:pt>
                <c:pt idx="3">
                  <c:v>8860.7000000000007</c:v>
                </c:pt>
                <c:pt idx="4">
                  <c:v>6245.76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C51-4538-B251-4AFC51FF6C2F}"/>
            </c:ext>
          </c:extLst>
        </c:ser>
        <c:ser>
          <c:idx val="10"/>
          <c:order val="10"/>
          <c:tx>
            <c:strRef>
              <c:f>'Profit &amp; Loss'!$L$3</c:f>
              <c:strCache>
                <c:ptCount val="1"/>
                <c:pt idx="0">
                  <c:v>Trailing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'Profit &amp; Loss'!$A$4:$A$19</c15:sqref>
                  </c15:fullRef>
                </c:ext>
              </c:extLst>
              <c:f>('Profit &amp; Loss'!$A$4,'Profit &amp; Loss'!$A$7:$A$8,'Profit &amp; Loss'!$A$11,'Profit &amp; Loss'!$A$13)</c:f>
              <c:strCache>
                <c:ptCount val="5"/>
                <c:pt idx="0">
                  <c:v>Sales</c:v>
                </c:pt>
                <c:pt idx="1">
                  <c:v>Operating Profit</c:v>
                </c:pt>
                <c:pt idx="2">
                  <c:v>Other Income</c:v>
                </c:pt>
                <c:pt idx="3">
                  <c:v>Profit before tax</c:v>
                </c:pt>
                <c:pt idx="4">
                  <c:v>Net profit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'Profit &amp; Loss'!$L$4:$L$19</c15:sqref>
                  </c15:fullRef>
                </c:ext>
              </c:extLst>
              <c:f>('Profit &amp; Loss'!$L$4,'Profit &amp; Loss'!$L$7:$L$8,'Profit &amp; Loss'!$L$11,'Profit &amp; Loss'!$L$13)</c:f>
              <c:numCache>
                <c:formatCode>_(* #,##0.00_);_(* \(#,##0.00\);_(* "-"??_);_(@_)</c:formatCode>
                <c:ptCount val="5"/>
                <c:pt idx="0">
                  <c:v>22504.690000000002</c:v>
                </c:pt>
                <c:pt idx="1">
                  <c:v>20922.259999999998</c:v>
                </c:pt>
                <c:pt idx="2">
                  <c:v>722.26</c:v>
                </c:pt>
                <c:pt idx="3">
                  <c:v>8073.59</c:v>
                </c:pt>
                <c:pt idx="4">
                  <c:v>5589.43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51-4538-B251-4AFC51FF6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750424"/>
        <c:axId val="446753704"/>
      </c:barChart>
      <c:catAx>
        <c:axId val="44675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753704"/>
        <c:crosses val="autoZero"/>
        <c:auto val="1"/>
        <c:lblAlgn val="ctr"/>
        <c:lblOffset val="100"/>
        <c:noMultiLvlLbl val="0"/>
      </c:catAx>
      <c:valAx>
        <c:axId val="44675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75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SG"/>
              <a:t>Last 10 Years PE Ratio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'Profit &amp; Loss'!$A$17</c:f>
              <c:strCache>
                <c:ptCount val="1"/>
                <c:pt idx="0">
                  <c:v>Price to earning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'Profit &amp; Loss'!$B$3:$L$3</c:f>
              <c:strCache>
                <c:ptCount val="11"/>
                <c:pt idx="0">
                  <c:v>Mar-08</c:v>
                </c:pt>
                <c:pt idx="1">
                  <c:v>Mar-09</c:v>
                </c:pt>
                <c:pt idx="2">
                  <c:v>Mar-10</c:v>
                </c:pt>
                <c:pt idx="3">
                  <c:v>Mar-11</c:v>
                </c:pt>
                <c:pt idx="4">
                  <c:v>Mar-12</c:v>
                </c:pt>
                <c:pt idx="5">
                  <c:v>Mar-13</c:v>
                </c:pt>
                <c:pt idx="6">
                  <c:v>Mar-14</c:v>
                </c:pt>
                <c:pt idx="7">
                  <c:v>Mar-15</c:v>
                </c:pt>
                <c:pt idx="8">
                  <c:v>Mar-16</c:v>
                </c:pt>
                <c:pt idx="9">
                  <c:v>Mar-17</c:v>
                </c:pt>
                <c:pt idx="10">
                  <c:v>Trailing</c:v>
                </c:pt>
              </c:strCache>
            </c:strRef>
          </c:cat>
          <c:val>
            <c:numRef>
              <c:f>'Profit &amp; Loss'!$B$17:$L$17</c:f>
              <c:numCache>
                <c:formatCode>_(* #,##0.00_);_(* \(#,##0.00\);_(* "-"??_);_(@_)</c:formatCode>
                <c:ptCount val="11"/>
                <c:pt idx="0">
                  <c:v>12.012704810788817</c:v>
                </c:pt>
                <c:pt idx="1">
                  <c:v>7.4551233436576316</c:v>
                </c:pt>
                <c:pt idx="2">
                  <c:v>12.722276070989599</c:v>
                </c:pt>
                <c:pt idx="3">
                  <c:v>9.4729483627958739</c:v>
                </c:pt>
                <c:pt idx="4">
                  <c:v>7.6976814730407552</c:v>
                </c:pt>
                <c:pt idx="5">
                  <c:v>5.6040901645527841</c:v>
                </c:pt>
                <c:pt idx="6">
                  <c:v>5.0430256592010592</c:v>
                </c:pt>
                <c:pt idx="7">
                  <c:v>6.143047907647909</c:v>
                </c:pt>
                <c:pt idx="8">
                  <c:v>2.936587111517043</c:v>
                </c:pt>
                <c:pt idx="9">
                  <c:v>6.2522501047110355</c:v>
                </c:pt>
                <c:pt idx="10">
                  <c:v>5.8794259879808841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34-4C8E-A1A8-E27A37020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1376960"/>
        <c:axId val="521375648"/>
      </c:barChart>
      <c:catAx>
        <c:axId val="52137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375648"/>
        <c:crosses val="autoZero"/>
        <c:auto val="1"/>
        <c:lblAlgn val="ctr"/>
        <c:lblOffset val="100"/>
        <c:noMultiLvlLbl val="0"/>
      </c:catAx>
      <c:valAx>
        <c:axId val="52137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3769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SG" sz="1400" b="0"/>
              <a:t>10 Quarter</a:t>
            </a:r>
            <a:r>
              <a:rPr lang="en-SG" sz="1400" b="0" baseline="0"/>
              <a:t> sales and operating profit</a:t>
            </a:r>
            <a:endParaRPr lang="en-SG" sz="1400" b="0"/>
          </a:p>
        </c:rich>
      </c:tx>
      <c:layout>
        <c:manualLayout>
          <c:xMode val="edge"/>
          <c:yMode val="edge"/>
          <c:x val="0.25975990718125147"/>
          <c:y val="1.713325558163018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94514526728499"/>
          <c:y val="3.7944012128534044E-2"/>
          <c:w val="0.8583881934794334"/>
          <c:h val="0.623442478295372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Quarters!$A$4</c:f>
              <c:strCache>
                <c:ptCount val="1"/>
                <c:pt idx="0">
                  <c:v>Sales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Quarters!$B$3:$K$3</c:f>
              <c:numCache>
                <c:formatCode>[$-409]mmm\-yy;@</c:formatCode>
                <c:ptCount val="10"/>
                <c:pt idx="0">
                  <c:v>42185</c:v>
                </c:pt>
                <c:pt idx="1">
                  <c:v>42277</c:v>
                </c:pt>
                <c:pt idx="2">
                  <c:v>42369</c:v>
                </c:pt>
                <c:pt idx="3">
                  <c:v>42460</c:v>
                </c:pt>
                <c:pt idx="4">
                  <c:v>42551</c:v>
                </c:pt>
                <c:pt idx="5">
                  <c:v>42643</c:v>
                </c:pt>
                <c:pt idx="6">
                  <c:v>42735</c:v>
                </c:pt>
                <c:pt idx="7">
                  <c:v>42825</c:v>
                </c:pt>
                <c:pt idx="8">
                  <c:v>42916</c:v>
                </c:pt>
                <c:pt idx="9">
                  <c:v>43008</c:v>
                </c:pt>
              </c:numCache>
            </c:numRef>
          </c:cat>
          <c:val>
            <c:numRef>
              <c:f>Quarters!$B$4:$K$4</c:f>
              <c:numCache>
                <c:formatCode>_(* #,##0.00_);_(* \(#,##0.00\);_(* "-"??_);_(@_)</c:formatCode>
                <c:ptCount val="10"/>
                <c:pt idx="0">
                  <c:v>5662.89</c:v>
                </c:pt>
                <c:pt idx="1">
                  <c:v>5893.37</c:v>
                </c:pt>
                <c:pt idx="2">
                  <c:v>6017.95</c:v>
                </c:pt>
                <c:pt idx="3">
                  <c:v>6064.14</c:v>
                </c:pt>
                <c:pt idx="4">
                  <c:v>5953.65</c:v>
                </c:pt>
                <c:pt idx="5">
                  <c:v>5956.82</c:v>
                </c:pt>
                <c:pt idx="6">
                  <c:v>5646.35</c:v>
                </c:pt>
                <c:pt idx="7">
                  <c:v>5793.97</c:v>
                </c:pt>
                <c:pt idx="8">
                  <c:v>5571.56</c:v>
                </c:pt>
                <c:pt idx="9">
                  <c:v>5492.81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1-47B0-AB14-998AF40D3456}"/>
            </c:ext>
          </c:extLst>
        </c:ser>
        <c:ser>
          <c:idx val="3"/>
          <c:order val="3"/>
          <c:tx>
            <c:strRef>
              <c:f>Quarters!$A$7</c:f>
              <c:strCache>
                <c:ptCount val="1"/>
                <c:pt idx="0">
                  <c:v>Operating Profit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Quarters!$B$3:$K$3</c:f>
              <c:numCache>
                <c:formatCode>[$-409]mmm\-yy;@</c:formatCode>
                <c:ptCount val="10"/>
                <c:pt idx="0">
                  <c:v>42185</c:v>
                </c:pt>
                <c:pt idx="1">
                  <c:v>42277</c:v>
                </c:pt>
                <c:pt idx="2">
                  <c:v>42369</c:v>
                </c:pt>
                <c:pt idx="3">
                  <c:v>42460</c:v>
                </c:pt>
                <c:pt idx="4">
                  <c:v>42551</c:v>
                </c:pt>
                <c:pt idx="5">
                  <c:v>42643</c:v>
                </c:pt>
                <c:pt idx="6">
                  <c:v>42735</c:v>
                </c:pt>
                <c:pt idx="7">
                  <c:v>42825</c:v>
                </c:pt>
                <c:pt idx="8">
                  <c:v>42916</c:v>
                </c:pt>
                <c:pt idx="9">
                  <c:v>43008</c:v>
                </c:pt>
              </c:numCache>
            </c:numRef>
          </c:cat>
          <c:val>
            <c:numRef>
              <c:f>Quarters!$B$7:$K$7</c:f>
              <c:numCache>
                <c:formatCode>_(* #,##0.00_);_(* \(#,##0.00\);_(* "-"??_);_(@_)</c:formatCode>
                <c:ptCount val="10"/>
                <c:pt idx="0">
                  <c:v>5385.18</c:v>
                </c:pt>
                <c:pt idx="1">
                  <c:v>5755.45</c:v>
                </c:pt>
                <c:pt idx="2">
                  <c:v>5567.96</c:v>
                </c:pt>
                <c:pt idx="3">
                  <c:v>5507.26</c:v>
                </c:pt>
                <c:pt idx="4">
                  <c:v>5509.56</c:v>
                </c:pt>
                <c:pt idx="5">
                  <c:v>5722.25</c:v>
                </c:pt>
                <c:pt idx="6">
                  <c:v>5536.95</c:v>
                </c:pt>
                <c:pt idx="7">
                  <c:v>5125.8900000000003</c:v>
                </c:pt>
                <c:pt idx="8">
                  <c:v>5142.96</c:v>
                </c:pt>
                <c:pt idx="9">
                  <c:v>5116.46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91-47B0-AB14-998AF40D3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9"/>
        <c:axId val="421333608"/>
        <c:axId val="421338856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Quarters!$A$5</c15:sqref>
                        </c15:formulaRef>
                      </c:ext>
                    </c:extLst>
                    <c:strCache>
                      <c:ptCount val="1"/>
                      <c:pt idx="0">
                        <c:v>Sales Reference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Quarters!$B$3:$K$3</c15:sqref>
                        </c15:formulaRef>
                      </c:ext>
                    </c:extLst>
                    <c:numCache>
                      <c:formatCode>[$-409]mmm\-yy;@</c:formatCode>
                      <c:ptCount val="10"/>
                      <c:pt idx="0">
                        <c:v>42185</c:v>
                      </c:pt>
                      <c:pt idx="1">
                        <c:v>42277</c:v>
                      </c:pt>
                      <c:pt idx="2">
                        <c:v>42369</c:v>
                      </c:pt>
                      <c:pt idx="3">
                        <c:v>42460</c:v>
                      </c:pt>
                      <c:pt idx="4">
                        <c:v>42551</c:v>
                      </c:pt>
                      <c:pt idx="5">
                        <c:v>42643</c:v>
                      </c:pt>
                      <c:pt idx="6">
                        <c:v>42735</c:v>
                      </c:pt>
                      <c:pt idx="7">
                        <c:v>42825</c:v>
                      </c:pt>
                      <c:pt idx="8">
                        <c:v>42916</c:v>
                      </c:pt>
                      <c:pt idx="9">
                        <c:v>43008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Quarters!$B$5:$K$5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0"/>
                      <c:pt idx="0">
                        <c:v>5662.89</c:v>
                      </c:pt>
                      <c:pt idx="1">
                        <c:v>5946.0345000000007</c:v>
                      </c:pt>
                      <c:pt idx="2">
                        <c:v>6243.3362250000009</c:v>
                      </c:pt>
                      <c:pt idx="3">
                        <c:v>6555.5030362500011</c:v>
                      </c:pt>
                      <c:pt idx="4">
                        <c:v>6883.2781880625016</c:v>
                      </c:pt>
                      <c:pt idx="5">
                        <c:v>7227.4420974656268</c:v>
                      </c:pt>
                      <c:pt idx="6">
                        <c:v>7588.8142023389082</c:v>
                      </c:pt>
                      <c:pt idx="7">
                        <c:v>7968.2549124558536</c:v>
                      </c:pt>
                      <c:pt idx="8">
                        <c:v>8366.6676580786461</c:v>
                      </c:pt>
                      <c:pt idx="9">
                        <c:v>8785.0010409825791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B91-47B0-AB14-998AF40D345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Quarters!$A$6</c15:sqref>
                        </c15:formulaRef>
                      </c:ext>
                    </c:extLst>
                    <c:strCache>
                      <c:ptCount val="1"/>
                      <c:pt idx="0">
                        <c:v>Expenses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Quarters!$B$3:$K$3</c15:sqref>
                        </c15:formulaRef>
                      </c:ext>
                    </c:extLst>
                    <c:numCache>
                      <c:formatCode>[$-409]mmm\-yy;@</c:formatCode>
                      <c:ptCount val="10"/>
                      <c:pt idx="0">
                        <c:v>42185</c:v>
                      </c:pt>
                      <c:pt idx="1">
                        <c:v>42277</c:v>
                      </c:pt>
                      <c:pt idx="2">
                        <c:v>42369</c:v>
                      </c:pt>
                      <c:pt idx="3">
                        <c:v>42460</c:v>
                      </c:pt>
                      <c:pt idx="4">
                        <c:v>42551</c:v>
                      </c:pt>
                      <c:pt idx="5">
                        <c:v>42643</c:v>
                      </c:pt>
                      <c:pt idx="6">
                        <c:v>42735</c:v>
                      </c:pt>
                      <c:pt idx="7">
                        <c:v>42825</c:v>
                      </c:pt>
                      <c:pt idx="8">
                        <c:v>42916</c:v>
                      </c:pt>
                      <c:pt idx="9">
                        <c:v>43008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Quarters!$B$6:$K$6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0"/>
                      <c:pt idx="0">
                        <c:v>277.70999999999998</c:v>
                      </c:pt>
                      <c:pt idx="1">
                        <c:v>137.91999999999999</c:v>
                      </c:pt>
                      <c:pt idx="2">
                        <c:v>449.99</c:v>
                      </c:pt>
                      <c:pt idx="3">
                        <c:v>556.88</c:v>
                      </c:pt>
                      <c:pt idx="4">
                        <c:v>444.09</c:v>
                      </c:pt>
                      <c:pt idx="5">
                        <c:v>234.57</c:v>
                      </c:pt>
                      <c:pt idx="6">
                        <c:v>109.4</c:v>
                      </c:pt>
                      <c:pt idx="7">
                        <c:v>668.08</c:v>
                      </c:pt>
                      <c:pt idx="8">
                        <c:v>428.6</c:v>
                      </c:pt>
                      <c:pt idx="9">
                        <c:v>376.35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B91-47B0-AB14-998AF40D3456}"/>
                  </c:ext>
                </c:extLst>
              </c15:ser>
            </c15:filteredBarSeries>
          </c:ext>
        </c:extLst>
      </c:barChart>
      <c:catAx>
        <c:axId val="4213336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1338856"/>
        <c:crosses val="autoZero"/>
        <c:auto val="0"/>
        <c:lblAlgn val="ctr"/>
        <c:lblOffset val="100"/>
        <c:noMultiLvlLbl val="0"/>
      </c:catAx>
      <c:valAx>
        <c:axId val="421338856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1333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accent4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10</a:t>
            </a:r>
            <a:r>
              <a:rPr lang="en-US" baseline="0"/>
              <a:t> Years DIvidend Payout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'Profit &amp; Loss'!$A$22</c:f>
              <c:strCache>
                <c:ptCount val="1"/>
                <c:pt idx="0">
                  <c:v>Dividend Payout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'Profit &amp; Loss'!$B$3:$K$3</c:f>
              <c:numCache>
                <c:formatCode>[$-409]mmm\-yy;@</c:formatCode>
                <c:ptCount val="10"/>
                <c:pt idx="0">
                  <c:v>39538</c:v>
                </c:pt>
                <c:pt idx="1">
                  <c:v>39903</c:v>
                </c:pt>
                <c:pt idx="2">
                  <c:v>40268</c:v>
                </c:pt>
                <c:pt idx="3">
                  <c:v>40633</c:v>
                </c:pt>
                <c:pt idx="4">
                  <c:v>40999</c:v>
                </c:pt>
                <c:pt idx="5">
                  <c:v>41364</c:v>
                </c:pt>
                <c:pt idx="6">
                  <c:v>41729</c:v>
                </c:pt>
                <c:pt idx="7">
                  <c:v>42094</c:v>
                </c:pt>
                <c:pt idx="8">
                  <c:v>42460</c:v>
                </c:pt>
                <c:pt idx="9">
                  <c:v>42825</c:v>
                </c:pt>
              </c:numCache>
            </c:numRef>
          </c:cat>
          <c:val>
            <c:numRef>
              <c:f>'Profit &amp; Loss'!$B$22:$K$22</c:f>
              <c:numCache>
                <c:formatCode>0.00%</c:formatCode>
                <c:ptCount val="10"/>
                <c:pt idx="0">
                  <c:v>0.29948264837528343</c:v>
                </c:pt>
                <c:pt idx="1">
                  <c:v>0.30375448085026097</c:v>
                </c:pt>
                <c:pt idx="2">
                  <c:v>0.30139101238120936</c:v>
                </c:pt>
                <c:pt idx="3">
                  <c:v>0.28817516430408613</c:v>
                </c:pt>
                <c:pt idx="4">
                  <c:v>0.26289744873146542</c:v>
                </c:pt>
                <c:pt idx="5">
                  <c:v>0.21339211341097333</c:v>
                </c:pt>
                <c:pt idx="6">
                  <c:v>0.20028823366142154</c:v>
                </c:pt>
                <c:pt idx="7">
                  <c:v>0.20087568704169495</c:v>
                </c:pt>
                <c:pt idx="8">
                  <c:v>0.31826194190835977</c:v>
                </c:pt>
                <c:pt idx="9">
                  <c:v>0.22134055743416334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42E-A986-EA83CFD8F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1337872"/>
        <c:axId val="421330984"/>
      </c:barChart>
      <c:dateAx>
        <c:axId val="421337872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1330984"/>
        <c:crosses val="autoZero"/>
        <c:auto val="1"/>
        <c:lblOffset val="100"/>
        <c:baseTimeUnit val="years"/>
      </c:dateAx>
      <c:valAx>
        <c:axId val="421330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1337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SG"/>
              <a:t>10 Years Stock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'Profit &amp; Loss'!$A$18</c:f>
              <c:strCache>
                <c:ptCount val="1"/>
                <c:pt idx="0">
                  <c:v>Price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26-43F0-AE6E-1E9F689C2594}"/>
              </c:ext>
            </c:extLst>
          </c:dPt>
          <c:cat>
            <c:strRef>
              <c:f>'Profit &amp; Loss'!$B$3:$L$3</c:f>
              <c:strCache>
                <c:ptCount val="11"/>
                <c:pt idx="0">
                  <c:v>Mar-08</c:v>
                </c:pt>
                <c:pt idx="1">
                  <c:v>Mar-09</c:v>
                </c:pt>
                <c:pt idx="2">
                  <c:v>Mar-10</c:v>
                </c:pt>
                <c:pt idx="3">
                  <c:v>Mar-11</c:v>
                </c:pt>
                <c:pt idx="4">
                  <c:v>Mar-12</c:v>
                </c:pt>
                <c:pt idx="5">
                  <c:v>Mar-13</c:v>
                </c:pt>
                <c:pt idx="6">
                  <c:v>Mar-14</c:v>
                </c:pt>
                <c:pt idx="7">
                  <c:v>Mar-15</c:v>
                </c:pt>
                <c:pt idx="8">
                  <c:v>Mar-16</c:v>
                </c:pt>
                <c:pt idx="9">
                  <c:v>Mar-17</c:v>
                </c:pt>
                <c:pt idx="10">
                  <c:v>Trailing</c:v>
                </c:pt>
              </c:strCache>
            </c:strRef>
          </c:cat>
          <c:val>
            <c:numRef>
              <c:f>'Profit &amp; Loss'!$B$18:$L$18</c:f>
              <c:numCache>
                <c:formatCode>_(* #,##0.00_);_(* \(#,##0.00\);_(* "-"??_);_(@_)</c:formatCode>
                <c:ptCount val="11"/>
                <c:pt idx="0">
                  <c:v>55.97</c:v>
                </c:pt>
                <c:pt idx="1">
                  <c:v>51.37</c:v>
                </c:pt>
                <c:pt idx="2">
                  <c:v>128.93</c:v>
                </c:pt>
                <c:pt idx="3">
                  <c:v>123.27</c:v>
                </c:pt>
                <c:pt idx="4">
                  <c:v>109.8</c:v>
                </c:pt>
                <c:pt idx="5">
                  <c:v>108.33</c:v>
                </c:pt>
                <c:pt idx="6">
                  <c:v>119.6</c:v>
                </c:pt>
                <c:pt idx="7">
                  <c:v>163.61000000000001</c:v>
                </c:pt>
                <c:pt idx="8">
                  <c:v>83.68</c:v>
                </c:pt>
                <c:pt idx="9">
                  <c:v>197.73</c:v>
                </c:pt>
                <c:pt idx="10">
                  <c:v>166.4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26-43F0-AE6E-1E9F689C2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4767048"/>
        <c:axId val="41476868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'Profit &amp; Loss'!$A$19</c15:sqref>
                        </c15:formulaRef>
                      </c:ext>
                    </c:extLst>
                    <c:strCache>
                      <c:ptCount val="1"/>
                      <c:pt idx="0">
                        <c:v>Price Reference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'Profit &amp; Loss'!$B$3:$L$3</c15:sqref>
                        </c15:formulaRef>
                      </c:ext>
                    </c:extLst>
                    <c:strCache>
                      <c:ptCount val="11"/>
                      <c:pt idx="0">
                        <c:v>Mar-08</c:v>
                      </c:pt>
                      <c:pt idx="1">
                        <c:v>Mar-09</c:v>
                      </c:pt>
                      <c:pt idx="2">
                        <c:v>Mar-10</c:v>
                      </c:pt>
                      <c:pt idx="3">
                        <c:v>Mar-11</c:v>
                      </c:pt>
                      <c:pt idx="4">
                        <c:v>Mar-12</c:v>
                      </c:pt>
                      <c:pt idx="5">
                        <c:v>Mar-13</c:v>
                      </c:pt>
                      <c:pt idx="6">
                        <c:v>Mar-14</c:v>
                      </c:pt>
                      <c:pt idx="7">
                        <c:v>Mar-15</c:v>
                      </c:pt>
                      <c:pt idx="8">
                        <c:v>Mar-16</c:v>
                      </c:pt>
                      <c:pt idx="9">
                        <c:v>Mar-17</c:v>
                      </c:pt>
                      <c:pt idx="10">
                        <c:v>Trailing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'Profit &amp; Loss'!$B$19:$L$19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1"/>
                      <c:pt idx="0">
                        <c:v>55.97</c:v>
                      </c:pt>
                      <c:pt idx="1">
                        <c:v>61.567</c:v>
                      </c:pt>
                      <c:pt idx="2">
                        <c:v>67.723700000000008</c:v>
                      </c:pt>
                      <c:pt idx="3">
                        <c:v>74.496070000000017</c:v>
                      </c:pt>
                      <c:pt idx="4">
                        <c:v>81.945677000000032</c:v>
                      </c:pt>
                      <c:pt idx="5">
                        <c:v>90.140244700000039</c:v>
                      </c:pt>
                      <c:pt idx="6">
                        <c:v>99.154269170000049</c:v>
                      </c:pt>
                      <c:pt idx="7">
                        <c:v>109.06969608700007</c:v>
                      </c:pt>
                      <c:pt idx="8">
                        <c:v>119.97666569570008</c:v>
                      </c:pt>
                      <c:pt idx="9">
                        <c:v>131.97433226527011</c:v>
                      </c:pt>
                      <c:pt idx="10">
                        <c:v>145.17176549179712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E526-43F0-AE6E-1E9F689C2594}"/>
                  </c:ext>
                </c:extLst>
              </c15:ser>
            </c15:filteredBarSeries>
          </c:ext>
        </c:extLst>
      </c:barChart>
      <c:catAx>
        <c:axId val="414767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768688"/>
        <c:crosses val="autoZero"/>
        <c:auto val="1"/>
        <c:lblAlgn val="ctr"/>
        <c:lblOffset val="100"/>
        <c:noMultiLvlLbl val="0"/>
      </c:catAx>
      <c:valAx>
        <c:axId val="4147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7670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SG"/>
              <a:t>Net Profit Quarterly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Quarters!$A$13</c:f>
              <c:strCache>
                <c:ptCount val="1"/>
                <c:pt idx="0">
                  <c:v>Net profit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Quarters!$B$3:$K$3</c:f>
              <c:numCache>
                <c:formatCode>[$-409]mmm\-yy;@</c:formatCode>
                <c:ptCount val="10"/>
                <c:pt idx="0">
                  <c:v>42185</c:v>
                </c:pt>
                <c:pt idx="1">
                  <c:v>42277</c:v>
                </c:pt>
                <c:pt idx="2">
                  <c:v>42369</c:v>
                </c:pt>
                <c:pt idx="3">
                  <c:v>42460</c:v>
                </c:pt>
                <c:pt idx="4">
                  <c:v>42551</c:v>
                </c:pt>
                <c:pt idx="5">
                  <c:v>42643</c:v>
                </c:pt>
                <c:pt idx="6">
                  <c:v>42735</c:v>
                </c:pt>
                <c:pt idx="7">
                  <c:v>42825</c:v>
                </c:pt>
                <c:pt idx="8">
                  <c:v>42916</c:v>
                </c:pt>
                <c:pt idx="9">
                  <c:v>43008</c:v>
                </c:pt>
              </c:numCache>
            </c:numRef>
          </c:cat>
          <c:val>
            <c:numRef>
              <c:f>Quarters!$B$13:$K$13</c:f>
              <c:numCache>
                <c:formatCode>_(* #,##0.00_);_(* \(#,##0.00\);_(* "-"??_);_(@_)</c:formatCode>
                <c:ptCount val="10"/>
                <c:pt idx="0">
                  <c:v>1478.58</c:v>
                </c:pt>
                <c:pt idx="1">
                  <c:v>1619.19</c:v>
                </c:pt>
                <c:pt idx="2">
                  <c:v>1369.86</c:v>
                </c:pt>
                <c:pt idx="3">
                  <c:v>1160.03</c:v>
                </c:pt>
                <c:pt idx="4">
                  <c:v>1420.86</c:v>
                </c:pt>
                <c:pt idx="5">
                  <c:v>1751.27</c:v>
                </c:pt>
                <c:pt idx="6">
                  <c:v>1754.4</c:v>
                </c:pt>
                <c:pt idx="7">
                  <c:v>1319.23</c:v>
                </c:pt>
                <c:pt idx="8">
                  <c:v>1301.1400000000001</c:v>
                </c:pt>
                <c:pt idx="9">
                  <c:v>1214.6600000000001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6B-40B7-AD78-7C9730F77E8C}"/>
            </c:ext>
          </c:extLst>
        </c:ser>
        <c:ser>
          <c:idx val="2"/>
          <c:order val="2"/>
          <c:tx>
            <c:strRef>
              <c:f>Quarters!$A$8</c:f>
              <c:strCache>
                <c:ptCount val="1"/>
                <c:pt idx="0">
                  <c:v>Other Income</c:v>
                </c:pt>
              </c:strCache>
            </c:strRef>
          </c:tx>
          <c:spPr>
            <a:solidFill>
              <a:srgbClr val="D109C3"/>
            </a:solidFill>
            <a:ln>
              <a:noFill/>
            </a:ln>
            <a:effectLst/>
          </c:spPr>
          <c:invertIfNegative val="0"/>
          <c:val>
            <c:numRef>
              <c:f>Quarters!$B$8:$K$8</c:f>
              <c:numCache>
                <c:formatCode>_(* #,##0.00_);_(* \(#,##0.00\);_(* "-"??_);_(@_)</c:formatCode>
                <c:ptCount val="10"/>
                <c:pt idx="0">
                  <c:v>46.74</c:v>
                </c:pt>
                <c:pt idx="1">
                  <c:v>31.36</c:v>
                </c:pt>
                <c:pt idx="2">
                  <c:v>19.5</c:v>
                </c:pt>
                <c:pt idx="3">
                  <c:v>20.329999999999998</c:v>
                </c:pt>
                <c:pt idx="4">
                  <c:v>97.72</c:v>
                </c:pt>
                <c:pt idx="5">
                  <c:v>151.72999999999999</c:v>
                </c:pt>
                <c:pt idx="6">
                  <c:v>311.39999999999998</c:v>
                </c:pt>
                <c:pt idx="7">
                  <c:v>185.36</c:v>
                </c:pt>
                <c:pt idx="8">
                  <c:v>90.6</c:v>
                </c:pt>
                <c:pt idx="9">
                  <c:v>134.9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6B-40B7-AD78-7C9730F77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5129280"/>
        <c:axId val="525131576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Quarters!$A$14</c15:sqref>
                        </c15:formulaRef>
                      </c:ext>
                    </c:extLst>
                    <c:strCache>
                      <c:ptCount val="1"/>
                      <c:pt idx="0">
                        <c:v>Net profit Reference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Quarters!$B$3:$K$3</c15:sqref>
                        </c15:formulaRef>
                      </c:ext>
                    </c:extLst>
                    <c:numCache>
                      <c:formatCode>[$-409]mmm\-yy;@</c:formatCode>
                      <c:ptCount val="10"/>
                      <c:pt idx="0">
                        <c:v>42185</c:v>
                      </c:pt>
                      <c:pt idx="1">
                        <c:v>42277</c:v>
                      </c:pt>
                      <c:pt idx="2">
                        <c:v>42369</c:v>
                      </c:pt>
                      <c:pt idx="3">
                        <c:v>42460</c:v>
                      </c:pt>
                      <c:pt idx="4">
                        <c:v>42551</c:v>
                      </c:pt>
                      <c:pt idx="5">
                        <c:v>42643</c:v>
                      </c:pt>
                      <c:pt idx="6">
                        <c:v>42735</c:v>
                      </c:pt>
                      <c:pt idx="7">
                        <c:v>42825</c:v>
                      </c:pt>
                      <c:pt idx="8">
                        <c:v>42916</c:v>
                      </c:pt>
                      <c:pt idx="9">
                        <c:v>43008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Quarters!$B$14:$K$14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0"/>
                      <c:pt idx="0">
                        <c:v>1478.58</c:v>
                      </c:pt>
                      <c:pt idx="1">
                        <c:v>1552.509</c:v>
                      </c:pt>
                      <c:pt idx="2">
                        <c:v>1630.13445</c:v>
                      </c:pt>
                      <c:pt idx="3">
                        <c:v>1711.6411725</c:v>
                      </c:pt>
                      <c:pt idx="4">
                        <c:v>1797.2232311250002</c:v>
                      </c:pt>
                      <c:pt idx="5">
                        <c:v>1887.0843926812504</c:v>
                      </c:pt>
                      <c:pt idx="6">
                        <c:v>1981.4386123153131</c:v>
                      </c:pt>
                      <c:pt idx="7">
                        <c:v>2080.5105429310788</c:v>
                      </c:pt>
                      <c:pt idx="8">
                        <c:v>2184.5360700776328</c:v>
                      </c:pt>
                      <c:pt idx="9">
                        <c:v>2293.7628735815147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626B-40B7-AD78-7C9730F77E8C}"/>
                  </c:ext>
                </c:extLst>
              </c15:ser>
            </c15:filteredBarSeries>
          </c:ext>
        </c:extLst>
      </c:barChart>
      <c:catAx>
        <c:axId val="525129280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131576"/>
        <c:crosses val="autoZero"/>
        <c:auto val="0"/>
        <c:lblAlgn val="ctr"/>
        <c:lblOffset val="100"/>
        <c:noMultiLvlLbl val="0"/>
      </c:catAx>
      <c:valAx>
        <c:axId val="525131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129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baseline="0"/>
              <a:t>10 Years Cash Flow</a:t>
            </a:r>
            <a:endParaRPr lang="en-IN"/>
          </a:p>
        </c:rich>
      </c:tx>
      <c:layout>
        <c:manualLayout>
          <c:xMode val="edge"/>
          <c:yMode val="edge"/>
          <c:x val="0.41271571990137673"/>
          <c:y val="0.8241010689990281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15197991555403"/>
          <c:y val="1.1907899723380966E-2"/>
          <c:w val="0.83974657080908366"/>
          <c:h val="0.84614611166231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'Cash Flow'!$A$7</c:f>
              <c:strCache>
                <c:ptCount val="1"/>
                <c:pt idx="0">
                  <c:v>Net Cash Flow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'Cash Flow'!$B$3:$K$3</c:f>
              <c:numCache>
                <c:formatCode>[$-409]mmm\-yy;@</c:formatCode>
                <c:ptCount val="10"/>
                <c:pt idx="0">
                  <c:v>39538</c:v>
                </c:pt>
                <c:pt idx="1">
                  <c:v>39903</c:v>
                </c:pt>
                <c:pt idx="2">
                  <c:v>40268</c:v>
                </c:pt>
                <c:pt idx="3">
                  <c:v>40633</c:v>
                </c:pt>
                <c:pt idx="4">
                  <c:v>40999</c:v>
                </c:pt>
                <c:pt idx="5">
                  <c:v>41364</c:v>
                </c:pt>
                <c:pt idx="6">
                  <c:v>41729</c:v>
                </c:pt>
                <c:pt idx="7">
                  <c:v>42094</c:v>
                </c:pt>
                <c:pt idx="8">
                  <c:v>42460</c:v>
                </c:pt>
                <c:pt idx="9">
                  <c:v>42825</c:v>
                </c:pt>
              </c:numCache>
            </c:numRef>
          </c:cat>
          <c:val>
            <c:numRef>
              <c:f>'Cash Flow'!$B$7:$K$7</c:f>
              <c:numCache>
                <c:formatCode>_(* #,##0.00_);_(* \(#,##0.00\);_(* "-"??_);_(@_)</c:formatCode>
                <c:ptCount val="10"/>
                <c:pt idx="0">
                  <c:v>-1044.23</c:v>
                </c:pt>
                <c:pt idx="1">
                  <c:v>633</c:v>
                </c:pt>
                <c:pt idx="2">
                  <c:v>-495.73</c:v>
                </c:pt>
                <c:pt idx="3">
                  <c:v>1441.58</c:v>
                </c:pt>
                <c:pt idx="4">
                  <c:v>2479.59</c:v>
                </c:pt>
                <c:pt idx="5">
                  <c:v>-3827.22</c:v>
                </c:pt>
                <c:pt idx="6">
                  <c:v>-291.32</c:v>
                </c:pt>
                <c:pt idx="7">
                  <c:v>-670.4</c:v>
                </c:pt>
                <c:pt idx="8">
                  <c:v>1205.6500000000001</c:v>
                </c:pt>
                <c:pt idx="9">
                  <c:v>2759.85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84-4D0E-90D4-E739D8D1E0DB}"/>
            </c:ext>
          </c:extLst>
        </c:ser>
        <c:ser>
          <c:idx val="1"/>
          <c:order val="1"/>
          <c:tx>
            <c:strRef>
              <c:f>'Cash Flow'!$A$4</c:f>
              <c:strCache>
                <c:ptCount val="1"/>
                <c:pt idx="0">
                  <c:v>Cash from Operating Activity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'Cash Flow'!$B$4:$K$4</c:f>
              <c:numCache>
                <c:formatCode>_(* #,##0.00_);_(* \(#,##0.00\);_(* "-"??_);_(@_)</c:formatCode>
                <c:ptCount val="10"/>
                <c:pt idx="0">
                  <c:v>-6202.74</c:v>
                </c:pt>
                <c:pt idx="1">
                  <c:v>-9998.65</c:v>
                </c:pt>
                <c:pt idx="2">
                  <c:v>-12694.99</c:v>
                </c:pt>
                <c:pt idx="3">
                  <c:v>-12786.55</c:v>
                </c:pt>
                <c:pt idx="4">
                  <c:v>-15824.74</c:v>
                </c:pt>
                <c:pt idx="5">
                  <c:v>-20065.72</c:v>
                </c:pt>
                <c:pt idx="6">
                  <c:v>-17282.79</c:v>
                </c:pt>
                <c:pt idx="7">
                  <c:v>-23991.77</c:v>
                </c:pt>
                <c:pt idx="8">
                  <c:v>-13204.96</c:v>
                </c:pt>
                <c:pt idx="9">
                  <c:v>6794.19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84-4D0E-90D4-E739D8D1E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671752"/>
        <c:axId val="486670768"/>
      </c:barChart>
      <c:catAx>
        <c:axId val="486671752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670768"/>
        <c:crosses val="autoZero"/>
        <c:auto val="0"/>
        <c:lblAlgn val="ctr"/>
        <c:lblOffset val="100"/>
        <c:noMultiLvlLbl val="1"/>
      </c:catAx>
      <c:valAx>
        <c:axId val="48667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671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1921705016554911"/>
          <c:y val="5.08843537414966E-2"/>
          <c:w val="0.50078851450989126"/>
          <c:h val="6.55981267647666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10 Year ROE &amp; ROCE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'Balance Sheet'!$A$24</c:f>
              <c:strCache>
                <c:ptCount val="1"/>
                <c:pt idx="0">
                  <c:v>Return on Equity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'Balance Sheet'!$B$24:$K$24</c:f>
              <c:numCache>
                <c:formatCode>0%</c:formatCode>
                <c:ptCount val="10"/>
                <c:pt idx="0">
                  <c:v>0.16024524424754691</c:v>
                </c:pt>
                <c:pt idx="1">
                  <c:v>0.20550299834574026</c:v>
                </c:pt>
                <c:pt idx="2">
                  <c:v>0.18062803126979859</c:v>
                </c:pt>
                <c:pt idx="3">
                  <c:v>0.20095444230886522</c:v>
                </c:pt>
                <c:pt idx="4">
                  <c:v>0.19343694723079796</c:v>
                </c:pt>
                <c:pt idx="5">
                  <c:v>0.21871988578225068</c:v>
                </c:pt>
                <c:pt idx="6">
                  <c:v>0.22660001761052295</c:v>
                </c:pt>
                <c:pt idx="7">
                  <c:v>0.21160492625225139</c:v>
                </c:pt>
                <c:pt idx="8">
                  <c:v>0.19664921363516921</c:v>
                </c:pt>
                <c:pt idx="9">
                  <c:v>0.18741633681504216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C-44CD-8C0E-162512685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663552"/>
        <c:axId val="623414488"/>
      </c:barChart>
      <c:lineChart>
        <c:grouping val="standard"/>
        <c:varyColors val="0"/>
        <c:ser>
          <c:idx val="0"/>
          <c:order val="0"/>
          <c:tx>
            <c:strRef>
              <c:f>'Balance Sheet'!$A$25</c:f>
              <c:strCache>
                <c:ptCount val="1"/>
                <c:pt idx="0">
                  <c:v>Return on Capital Emp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'Balance Sheet'!$B$3:$K$3</c:f>
              <c:numCache>
                <c:formatCode>[$-409]mmm\-yy;@</c:formatCode>
                <c:ptCount val="10"/>
                <c:pt idx="0">
                  <c:v>39538</c:v>
                </c:pt>
                <c:pt idx="1">
                  <c:v>39903</c:v>
                </c:pt>
                <c:pt idx="2">
                  <c:v>40268</c:v>
                </c:pt>
                <c:pt idx="3">
                  <c:v>40633</c:v>
                </c:pt>
                <c:pt idx="4">
                  <c:v>40999</c:v>
                </c:pt>
                <c:pt idx="5">
                  <c:v>41364</c:v>
                </c:pt>
                <c:pt idx="6">
                  <c:v>41729</c:v>
                </c:pt>
                <c:pt idx="7">
                  <c:v>42094</c:v>
                </c:pt>
                <c:pt idx="8">
                  <c:v>42460</c:v>
                </c:pt>
                <c:pt idx="9">
                  <c:v>42825</c:v>
                </c:pt>
              </c:numCache>
            </c:numRef>
          </c:cat>
          <c:val>
            <c:numRef>
              <c:f>'Balance Sheet'!$B$25:$K$25</c:f>
              <c:numCache>
                <c:formatCode>0%</c:formatCode>
                <c:ptCount val="10"/>
                <c:pt idx="0">
                  <c:v>7.5903496152533306E-2</c:v>
                </c:pt>
                <c:pt idx="1">
                  <c:v>8.2039607241166629E-2</c:v>
                </c:pt>
                <c:pt idx="2">
                  <c:v>8.8490662809644766E-2</c:v>
                </c:pt>
                <c:pt idx="3">
                  <c:v>8.9079931941674739E-2</c:v>
                </c:pt>
                <c:pt idx="4">
                  <c:v>8.8483533117196367E-2</c:v>
                </c:pt>
                <c:pt idx="5">
                  <c:v>9.5505248635393308E-2</c:v>
                </c:pt>
                <c:pt idx="6">
                  <c:v>0.10135437762992007</c:v>
                </c:pt>
                <c:pt idx="7">
                  <c:v>9.8133889252680601E-2</c:v>
                </c:pt>
                <c:pt idx="8">
                  <c:v>0.10196590678472339</c:v>
                </c:pt>
                <c:pt idx="9">
                  <c:v>0.10098316704056079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BC-44CD-8C0E-162512685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663552"/>
        <c:axId val="623414488"/>
      </c:lineChart>
      <c:catAx>
        <c:axId val="486663552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414488"/>
        <c:crosses val="autoZero"/>
        <c:auto val="0"/>
        <c:lblAlgn val="ctr"/>
        <c:lblOffset val="100"/>
        <c:noMultiLvlLbl val="1"/>
      </c:catAx>
      <c:valAx>
        <c:axId val="623414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66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FAIR VALUE BASED ON EPS GROWTH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0"/>
          <c:tx>
            <c:strRef>
              <c:f>'Profit &amp; Loss'!$G$31</c:f>
              <c:strCache>
                <c:ptCount val="1"/>
                <c:pt idx="0">
                  <c:v>FAIR VALUE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'Profit &amp; Loss'!$H$26:$N$26</c15:sqref>
                  </c15:fullRef>
                </c:ext>
              </c:extLst>
              <c:f>'Profit &amp; Loss'!$J$26:$L$26</c:f>
              <c:strCache>
                <c:ptCount val="3"/>
                <c:pt idx="0">
                  <c:v>5 YEARS</c:v>
                </c:pt>
                <c:pt idx="1">
                  <c:v>3 YEARS</c:v>
                </c:pt>
                <c:pt idx="2">
                  <c:v>CMP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'Profit &amp; Loss'!$H$31:$N$31</c15:sqref>
                  </c15:fullRef>
                </c:ext>
              </c:extLst>
              <c:f>'Profit &amp; Loss'!$J$31:$L$31</c:f>
              <c:numCache>
                <c:formatCode>General</c:formatCode>
                <c:ptCount val="3"/>
                <c:pt idx="0" formatCode="_(* #,##0.00_);_(* \(#,##0.00\);_(* &quot;-&quot;??_);_(@_)">
                  <c:v>488.56175909469937</c:v>
                </c:pt>
                <c:pt idx="1" formatCode="_(* #,##0.00_);_(* \(#,##0.00\);_(* &quot;-&quot;??_);_(@_)">
                  <c:v>284.97644232942082</c:v>
                </c:pt>
                <c:pt idx="2" formatCode="_(* #,##0.00_);_(* \(#,##0.00\);_(* &quot;-&quot;??_);_(@_)">
                  <c:v>166.4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76-4793-BFC5-89E74F87F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-22"/>
        <c:axId val="491575240"/>
        <c:axId val="491575568"/>
        <c:extLst/>
      </c:barChart>
      <c:catAx>
        <c:axId val="491575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575568"/>
        <c:crosses val="autoZero"/>
        <c:auto val="1"/>
        <c:lblAlgn val="ctr"/>
        <c:lblOffset val="100"/>
        <c:noMultiLvlLbl val="0"/>
      </c:catAx>
      <c:valAx>
        <c:axId val="491575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5752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rgbClr val="002060"/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chemeClr val="accent4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SG"/>
              <a:t>10 Years 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'Profit &amp; Loss'!$A$15</c:f>
              <c:strCache>
                <c:ptCount val="1"/>
                <c:pt idx="0">
                  <c:v>EPS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'Profit &amp; Loss'!$B$3:$L$3</c:f>
              <c:strCache>
                <c:ptCount val="11"/>
                <c:pt idx="0">
                  <c:v>Mar-08</c:v>
                </c:pt>
                <c:pt idx="1">
                  <c:v>Mar-09</c:v>
                </c:pt>
                <c:pt idx="2">
                  <c:v>Mar-10</c:v>
                </c:pt>
                <c:pt idx="3">
                  <c:v>Mar-11</c:v>
                </c:pt>
                <c:pt idx="4">
                  <c:v>Mar-12</c:v>
                </c:pt>
                <c:pt idx="5">
                  <c:v>Mar-13</c:v>
                </c:pt>
                <c:pt idx="6">
                  <c:v>Mar-14</c:v>
                </c:pt>
                <c:pt idx="7">
                  <c:v>Mar-15</c:v>
                </c:pt>
                <c:pt idx="8">
                  <c:v>Mar-16</c:v>
                </c:pt>
                <c:pt idx="9">
                  <c:v>Mar-17</c:v>
                </c:pt>
                <c:pt idx="10">
                  <c:v>Trailing</c:v>
                </c:pt>
              </c:strCache>
            </c:strRef>
          </c:cat>
          <c:val>
            <c:numRef>
              <c:f>'Profit &amp; Loss'!$B$15:$L$15</c:f>
              <c:numCache>
                <c:formatCode>_(* #,##0.00_);_(* \(#,##0.00\);_(* "-"??_);_(@_)</c:formatCode>
                <c:ptCount val="11"/>
                <c:pt idx="0">
                  <c:v>4.6592337763708622</c:v>
                </c:pt>
                <c:pt idx="1">
                  <c:v>6.8905633927173708</c:v>
                </c:pt>
                <c:pt idx="2">
                  <c:v>10.134192913326022</c:v>
                </c:pt>
                <c:pt idx="3">
                  <c:v>13.01284407757689</c:v>
                </c:pt>
                <c:pt idx="4">
                  <c:v>14.264035266274346</c:v>
                </c:pt>
                <c:pt idx="5">
                  <c:v>19.330524102772873</c:v>
                </c:pt>
                <c:pt idx="6">
                  <c:v>23.715921369899913</c:v>
                </c:pt>
                <c:pt idx="7">
                  <c:v>26.633358954650266</c:v>
                </c:pt>
                <c:pt idx="8">
                  <c:v>28.495664123776276</c:v>
                </c:pt>
                <c:pt idx="9">
                  <c:v>31.625414320999656</c:v>
                </c:pt>
                <c:pt idx="10">
                  <c:v>28.302082608092356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D-42DD-8794-59ED3ADFF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3862592"/>
        <c:axId val="42386324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'Profit &amp; Loss'!$A$16</c15:sqref>
                        </c15:formulaRef>
                      </c:ext>
                    </c:extLst>
                    <c:strCache>
                      <c:ptCount val="1"/>
                      <c:pt idx="0">
                        <c:v>EPS Reference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'Profit &amp; Loss'!$B$3:$L$3</c15:sqref>
                        </c15:formulaRef>
                      </c:ext>
                    </c:extLst>
                    <c:strCache>
                      <c:ptCount val="11"/>
                      <c:pt idx="0">
                        <c:v>Mar-08</c:v>
                      </c:pt>
                      <c:pt idx="1">
                        <c:v>Mar-09</c:v>
                      </c:pt>
                      <c:pt idx="2">
                        <c:v>Mar-10</c:v>
                      </c:pt>
                      <c:pt idx="3">
                        <c:v>Mar-11</c:v>
                      </c:pt>
                      <c:pt idx="4">
                        <c:v>Mar-12</c:v>
                      </c:pt>
                      <c:pt idx="5">
                        <c:v>Mar-13</c:v>
                      </c:pt>
                      <c:pt idx="6">
                        <c:v>Mar-14</c:v>
                      </c:pt>
                      <c:pt idx="7">
                        <c:v>Mar-15</c:v>
                      </c:pt>
                      <c:pt idx="8">
                        <c:v>Mar-16</c:v>
                      </c:pt>
                      <c:pt idx="9">
                        <c:v>Mar-17</c:v>
                      </c:pt>
                      <c:pt idx="10">
                        <c:v>Trailing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'Profit &amp; Loss'!$B$16:$L$16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1"/>
                      <c:pt idx="0">
                        <c:v>4.6592337763708622</c:v>
                      </c:pt>
                      <c:pt idx="1">
                        <c:v>5.5910805316450345</c:v>
                      </c:pt>
                      <c:pt idx="2">
                        <c:v>6.7092966379740409</c:v>
                      </c:pt>
                      <c:pt idx="3">
                        <c:v>8.0511559655688494</c:v>
                      </c:pt>
                      <c:pt idx="4">
                        <c:v>9.6613871586826185</c:v>
                      </c:pt>
                      <c:pt idx="5">
                        <c:v>11.593664590419142</c:v>
                      </c:pt>
                      <c:pt idx="6">
                        <c:v>13.91239750850297</c:v>
                      </c:pt>
                      <c:pt idx="7">
                        <c:v>16.694877010203562</c:v>
                      </c:pt>
                      <c:pt idx="8">
                        <c:v>20.033852412244276</c:v>
                      </c:pt>
                      <c:pt idx="9">
                        <c:v>24.040622894693129</c:v>
                      </c:pt>
                      <c:pt idx="10">
                        <c:v>28.848747473631754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F1D-42DD-8794-59ED3ADFF303}"/>
                  </c:ext>
                </c:extLst>
              </c15:ser>
            </c15:filteredBarSeries>
          </c:ext>
        </c:extLst>
      </c:barChart>
      <c:catAx>
        <c:axId val="42386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3863248"/>
        <c:crosses val="autoZero"/>
        <c:auto val="1"/>
        <c:lblAlgn val="ctr"/>
        <c:lblOffset val="100"/>
        <c:noMultiLvlLbl val="0"/>
      </c:catAx>
      <c:valAx>
        <c:axId val="423863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386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10</a:t>
            </a:r>
            <a:r>
              <a:rPr lang="en-IN" baseline="0"/>
              <a:t> Year Balance Sheet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'Balance Sheet'!$B$3</c:f>
              <c:strCache>
                <c:ptCount val="1"/>
                <c:pt idx="0">
                  <c:v>Mar-08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'Balance Sheet'!$A$4:$A$9</c15:sqref>
                  </c15:fullRef>
                </c:ext>
              </c:extLst>
              <c:f>('Balance Sheet'!$A$4,'Balance Sheet'!$A$7:$A$9)</c:f>
              <c:strCache>
                <c:ptCount val="4"/>
                <c:pt idx="0">
                  <c:v>Equity+ Reserves</c:v>
                </c:pt>
                <c:pt idx="1">
                  <c:v>Borrowings</c:v>
                </c:pt>
                <c:pt idx="2">
                  <c:v>Other Liabilities</c:v>
                </c:pt>
                <c:pt idx="3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'Balance Sheet'!$B$4:$B$9</c15:sqref>
                  </c15:fullRef>
                </c:ext>
              </c:extLst>
              <c:f>('Balance Sheet'!$B$4,'Balance Sheet'!$B$7:$B$9)</c:f>
              <c:numCache>
                <c:formatCode>_(* #,##0.00_);_(* \(#,##0.00\);_(* "-"??_);_(@_)</c:formatCode>
                <c:ptCount val="4"/>
                <c:pt idx="0">
                  <c:v>5367.71</c:v>
                </c:pt>
                <c:pt idx="1">
                  <c:v>34282.79</c:v>
                </c:pt>
                <c:pt idx="2">
                  <c:v>3298.88</c:v>
                </c:pt>
                <c:pt idx="3">
                  <c:v>42949.38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3-4D6F-B15C-C9F4CE3B4DAC}"/>
            </c:ext>
          </c:extLst>
        </c:ser>
        <c:ser>
          <c:idx val="1"/>
          <c:order val="1"/>
          <c:tx>
            <c:strRef>
              <c:f>'Balance Sheet'!$C$3</c:f>
              <c:strCache>
                <c:ptCount val="1"/>
                <c:pt idx="0">
                  <c:v>Mar-09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'Balance Sheet'!$A$4:$A$9</c15:sqref>
                  </c15:fullRef>
                </c:ext>
              </c:extLst>
              <c:f>('Balance Sheet'!$A$4,'Balance Sheet'!$A$7:$A$9)</c:f>
              <c:strCache>
                <c:ptCount val="4"/>
                <c:pt idx="0">
                  <c:v>Equity+ Reserves</c:v>
                </c:pt>
                <c:pt idx="1">
                  <c:v>Borrowings</c:v>
                </c:pt>
                <c:pt idx="2">
                  <c:v>Other Liabilities</c:v>
                </c:pt>
                <c:pt idx="3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'Balance Sheet'!$C$4:$C$9</c15:sqref>
                  </c15:fullRef>
                </c:ext>
              </c:extLst>
              <c:f>('Balance Sheet'!$C$4,'Balance Sheet'!$C$7:$C$9)</c:f>
              <c:numCache>
                <c:formatCode>_(* #,##0.00_);_(* \(#,##0.00\);_(* "-"??_);_(@_)</c:formatCode>
                <c:ptCount val="4"/>
                <c:pt idx="0">
                  <c:v>6190.08</c:v>
                </c:pt>
                <c:pt idx="1">
                  <c:v>44935.95</c:v>
                </c:pt>
                <c:pt idx="2">
                  <c:v>4841.7299999999996</c:v>
                </c:pt>
                <c:pt idx="3">
                  <c:v>55967.76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3-4D6F-B15C-C9F4CE3B4DAC}"/>
            </c:ext>
          </c:extLst>
        </c:ser>
        <c:ser>
          <c:idx val="2"/>
          <c:order val="2"/>
          <c:tx>
            <c:strRef>
              <c:f>'Balance Sheet'!$D$3</c:f>
              <c:strCache>
                <c:ptCount val="1"/>
                <c:pt idx="0">
                  <c:v>Mar-10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'Balance Sheet'!$A$4:$A$9</c15:sqref>
                  </c15:fullRef>
                </c:ext>
              </c:extLst>
              <c:f>('Balance Sheet'!$A$4,'Balance Sheet'!$A$7:$A$9)</c:f>
              <c:strCache>
                <c:ptCount val="4"/>
                <c:pt idx="0">
                  <c:v>Equity+ Reserves</c:v>
                </c:pt>
                <c:pt idx="1">
                  <c:v>Borrowings</c:v>
                </c:pt>
                <c:pt idx="2">
                  <c:v>Other Liabilities</c:v>
                </c:pt>
                <c:pt idx="3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'Balance Sheet'!$D$4:$D$9</c15:sqref>
                  </c15:fullRef>
                </c:ext>
              </c:extLst>
              <c:f>('Balance Sheet'!$D$4,'Balance Sheet'!$D$7:$D$9)</c:f>
              <c:numCache>
                <c:formatCode>_(* #,##0.00_);_(* \(#,##0.00\);_(* "-"??_);_(@_)</c:formatCode>
                <c:ptCount val="4"/>
                <c:pt idx="0">
                  <c:v>11080.34</c:v>
                </c:pt>
                <c:pt idx="1">
                  <c:v>55948.23</c:v>
                </c:pt>
                <c:pt idx="2">
                  <c:v>2518.9699999999998</c:v>
                </c:pt>
                <c:pt idx="3">
                  <c:v>69547.539999999994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93-4D6F-B15C-C9F4CE3B4DAC}"/>
            </c:ext>
          </c:extLst>
        </c:ser>
        <c:ser>
          <c:idx val="3"/>
          <c:order val="3"/>
          <c:tx>
            <c:strRef>
              <c:f>'Balance Sheet'!$E$3</c:f>
              <c:strCache>
                <c:ptCount val="1"/>
                <c:pt idx="0">
                  <c:v>Mar-11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'Balance Sheet'!$A$4:$A$9</c15:sqref>
                  </c15:fullRef>
                </c:ext>
              </c:extLst>
              <c:f>('Balance Sheet'!$A$4,'Balance Sheet'!$A$7:$A$9)</c:f>
              <c:strCache>
                <c:ptCount val="4"/>
                <c:pt idx="0">
                  <c:v>Equity+ Reserves</c:v>
                </c:pt>
                <c:pt idx="1">
                  <c:v>Borrowings</c:v>
                </c:pt>
                <c:pt idx="2">
                  <c:v>Other Liabilities</c:v>
                </c:pt>
                <c:pt idx="3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'Balance Sheet'!$E$4:$E$9</c15:sqref>
                  </c15:fullRef>
                </c:ext>
              </c:extLst>
              <c:f>('Balance Sheet'!$E$4,'Balance Sheet'!$E$7:$E$9)</c:f>
              <c:numCache>
                <c:formatCode>_(* #,##0.00_);_(* \(#,##0.00\);_(* "-"??_);_(@_)</c:formatCode>
                <c:ptCount val="4"/>
                <c:pt idx="0">
                  <c:v>12788.619999999999</c:v>
                </c:pt>
                <c:pt idx="1">
                  <c:v>70039.7</c:v>
                </c:pt>
                <c:pt idx="2">
                  <c:v>3688.82</c:v>
                </c:pt>
                <c:pt idx="3">
                  <c:v>86517.14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93-4D6F-B15C-C9F4CE3B4DAC}"/>
            </c:ext>
          </c:extLst>
        </c:ser>
        <c:ser>
          <c:idx val="4"/>
          <c:order val="4"/>
          <c:tx>
            <c:strRef>
              <c:f>'Balance Sheet'!$F$3</c:f>
              <c:strCache>
                <c:ptCount val="1"/>
                <c:pt idx="0">
                  <c:v>Mar-12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'Balance Sheet'!$A$4:$A$9</c15:sqref>
                  </c15:fullRef>
                </c:ext>
              </c:extLst>
              <c:f>('Balance Sheet'!$A$4,'Balance Sheet'!$A$7:$A$9)</c:f>
              <c:strCache>
                <c:ptCount val="4"/>
                <c:pt idx="0">
                  <c:v>Equity+ Reserves</c:v>
                </c:pt>
                <c:pt idx="1">
                  <c:v>Borrowings</c:v>
                </c:pt>
                <c:pt idx="2">
                  <c:v>Other Liabilities</c:v>
                </c:pt>
                <c:pt idx="3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'Balance Sheet'!$F$4:$F$9</c15:sqref>
                  </c15:fullRef>
                </c:ext>
              </c:extLst>
              <c:f>('Balance Sheet'!$F$4,'Balance Sheet'!$F$7:$F$9)</c:f>
              <c:numCache>
                <c:formatCode>_(* #,##0.00_);_(* \(#,##0.00\);_(* "-"??_);_(@_)</c:formatCode>
                <c:ptCount val="4"/>
                <c:pt idx="0">
                  <c:v>14563.04</c:v>
                </c:pt>
                <c:pt idx="1">
                  <c:v>90056.47</c:v>
                </c:pt>
                <c:pt idx="2">
                  <c:v>3931.81</c:v>
                </c:pt>
                <c:pt idx="3">
                  <c:v>108551.32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93-4D6F-B15C-C9F4CE3B4DAC}"/>
            </c:ext>
          </c:extLst>
        </c:ser>
        <c:ser>
          <c:idx val="5"/>
          <c:order val="5"/>
          <c:tx>
            <c:strRef>
              <c:f>'Balance Sheet'!$G$3</c:f>
              <c:strCache>
                <c:ptCount val="1"/>
                <c:pt idx="0">
                  <c:v>Mar-13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'Balance Sheet'!$A$4:$A$9</c15:sqref>
                  </c15:fullRef>
                </c:ext>
              </c:extLst>
              <c:f>('Balance Sheet'!$A$4,'Balance Sheet'!$A$7:$A$9)</c:f>
              <c:strCache>
                <c:ptCount val="4"/>
                <c:pt idx="0">
                  <c:v>Equity+ Reserves</c:v>
                </c:pt>
                <c:pt idx="1">
                  <c:v>Borrowings</c:v>
                </c:pt>
                <c:pt idx="2">
                  <c:v>Other Liabilities</c:v>
                </c:pt>
                <c:pt idx="3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'Balance Sheet'!$G$4:$G$9</c15:sqref>
                  </c15:fullRef>
                </c:ext>
              </c:extLst>
              <c:f>('Balance Sheet'!$G$4,'Balance Sheet'!$G$7:$G$9)</c:f>
              <c:numCache>
                <c:formatCode>_(* #,##0.00_);_(* \(#,##0.00\);_(* "-"??_);_(@_)</c:formatCode>
                <c:ptCount val="4"/>
                <c:pt idx="0">
                  <c:v>17454.379999999997</c:v>
                </c:pt>
                <c:pt idx="1">
                  <c:v>107791.17</c:v>
                </c:pt>
                <c:pt idx="2">
                  <c:v>5266.91</c:v>
                </c:pt>
                <c:pt idx="3">
                  <c:v>130512.46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93-4D6F-B15C-C9F4CE3B4DAC}"/>
            </c:ext>
          </c:extLst>
        </c:ser>
        <c:ser>
          <c:idx val="6"/>
          <c:order val="6"/>
          <c:tx>
            <c:strRef>
              <c:f>'Balance Sheet'!$H$3</c:f>
              <c:strCache>
                <c:ptCount val="1"/>
                <c:pt idx="0">
                  <c:v>Mar-14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'Balance Sheet'!$A$4:$A$9</c15:sqref>
                  </c15:fullRef>
                </c:ext>
              </c:extLst>
              <c:f>('Balance Sheet'!$A$4,'Balance Sheet'!$A$7:$A$9)</c:f>
              <c:strCache>
                <c:ptCount val="4"/>
                <c:pt idx="0">
                  <c:v>Equity+ Reserves</c:v>
                </c:pt>
                <c:pt idx="1">
                  <c:v>Borrowings</c:v>
                </c:pt>
                <c:pt idx="2">
                  <c:v>Other Liabilities</c:v>
                </c:pt>
                <c:pt idx="3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'Balance Sheet'!$H$4:$H$9</c15:sqref>
                  </c15:fullRef>
                </c:ext>
              </c:extLst>
              <c:f>('Balance Sheet'!$H$4,'Balance Sheet'!$H$7:$H$9)</c:f>
              <c:numCache>
                <c:formatCode>_(* #,##0.00_);_(* \(#,##0.00\);_(* "-"??_);_(@_)</c:formatCode>
                <c:ptCount val="4"/>
                <c:pt idx="0">
                  <c:v>20669.46</c:v>
                </c:pt>
                <c:pt idx="1">
                  <c:v>126240.19</c:v>
                </c:pt>
                <c:pt idx="2">
                  <c:v>5955.62</c:v>
                </c:pt>
                <c:pt idx="3">
                  <c:v>152865.26999999999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93-4D6F-B15C-C9F4CE3B4DAC}"/>
            </c:ext>
          </c:extLst>
        </c:ser>
        <c:ser>
          <c:idx val="7"/>
          <c:order val="7"/>
          <c:tx>
            <c:strRef>
              <c:f>'Balance Sheet'!$I$3</c:f>
              <c:strCache>
                <c:ptCount val="1"/>
                <c:pt idx="0">
                  <c:v>Mar-15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'Balance Sheet'!$A$4:$A$9</c15:sqref>
                  </c15:fullRef>
                </c:ext>
              </c:extLst>
              <c:f>('Balance Sheet'!$A$4,'Balance Sheet'!$A$7:$A$9)</c:f>
              <c:strCache>
                <c:ptCount val="4"/>
                <c:pt idx="0">
                  <c:v>Equity+ Reserves</c:v>
                </c:pt>
                <c:pt idx="1">
                  <c:v>Borrowings</c:v>
                </c:pt>
                <c:pt idx="2">
                  <c:v>Other Liabilities</c:v>
                </c:pt>
                <c:pt idx="3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'Balance Sheet'!$I$4:$I$9</c15:sqref>
                  </c15:fullRef>
                </c:ext>
              </c:extLst>
              <c:f>('Balance Sheet'!$I$4,'Balance Sheet'!$I$7:$I$9)</c:f>
              <c:numCache>
                <c:formatCode>_(* #,##0.00_);_(* \(#,##0.00\);_(* "-"??_);_(@_)</c:formatCode>
                <c:ptCount val="4"/>
                <c:pt idx="0">
                  <c:v>24857.03</c:v>
                </c:pt>
                <c:pt idx="1">
                  <c:v>151024.12</c:v>
                </c:pt>
                <c:pt idx="2">
                  <c:v>7306.66</c:v>
                </c:pt>
                <c:pt idx="3">
                  <c:v>183187.81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393-4D6F-B15C-C9F4CE3B4DAC}"/>
            </c:ext>
          </c:extLst>
        </c:ser>
        <c:ser>
          <c:idx val="8"/>
          <c:order val="8"/>
          <c:tx>
            <c:strRef>
              <c:f>'Balance Sheet'!$J$3</c:f>
              <c:strCache>
                <c:ptCount val="1"/>
                <c:pt idx="0">
                  <c:v>Mar-16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'Balance Sheet'!$A$4:$A$9</c15:sqref>
                  </c15:fullRef>
                </c:ext>
              </c:extLst>
              <c:f>('Balance Sheet'!$A$4,'Balance Sheet'!$A$7:$A$9)</c:f>
              <c:strCache>
                <c:ptCount val="4"/>
                <c:pt idx="0">
                  <c:v>Equity+ Reserves</c:v>
                </c:pt>
                <c:pt idx="1">
                  <c:v>Borrowings</c:v>
                </c:pt>
                <c:pt idx="2">
                  <c:v>Other Liabilities</c:v>
                </c:pt>
                <c:pt idx="3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'Balance Sheet'!$J$4:$J$9</c15:sqref>
                  </c15:fullRef>
                </c:ext>
              </c:extLst>
              <c:f>('Balance Sheet'!$J$4,'Balance Sheet'!$J$7:$J$9)</c:f>
              <c:numCache>
                <c:formatCode>_(* #,##0.00_);_(* \(#,##0.00\);_(* "-"??_);_(@_)</c:formatCode>
                <c:ptCount val="4"/>
                <c:pt idx="0">
                  <c:v>28617.759999999998</c:v>
                </c:pt>
                <c:pt idx="1">
                  <c:v>169106.38</c:v>
                </c:pt>
                <c:pt idx="2">
                  <c:v>8642.3799999999992</c:v>
                </c:pt>
                <c:pt idx="3">
                  <c:v>206366.52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393-4D6F-B15C-C9F4CE3B4DAC}"/>
            </c:ext>
          </c:extLst>
        </c:ser>
        <c:ser>
          <c:idx val="9"/>
          <c:order val="9"/>
          <c:tx>
            <c:strRef>
              <c:f>'Balance Sheet'!$K$3</c:f>
              <c:strCache>
                <c:ptCount val="1"/>
                <c:pt idx="0">
                  <c:v>Mar-17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'Balance Sheet'!$A$4:$A$9</c15:sqref>
                  </c15:fullRef>
                </c:ext>
              </c:extLst>
              <c:f>('Balance Sheet'!$A$4,'Balance Sheet'!$A$7:$A$9)</c:f>
              <c:strCache>
                <c:ptCount val="4"/>
                <c:pt idx="0">
                  <c:v>Equity+ Reserves</c:v>
                </c:pt>
                <c:pt idx="1">
                  <c:v>Borrowings</c:v>
                </c:pt>
                <c:pt idx="2">
                  <c:v>Other Liabilities</c:v>
                </c:pt>
                <c:pt idx="3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'Balance Sheet'!$K$4:$K$9</c15:sqref>
                  </c15:fullRef>
                </c:ext>
              </c:extLst>
              <c:f>('Balance Sheet'!$K$4,'Balance Sheet'!$K$7:$K$9)</c:f>
              <c:numCache>
                <c:formatCode>_(* #,##0.00_);_(* \(#,##0.00\);_(* "-"??_);_(@_)</c:formatCode>
                <c:ptCount val="4"/>
                <c:pt idx="0">
                  <c:v>33325.589999999997</c:v>
                </c:pt>
                <c:pt idx="1">
                  <c:v>167517.39000000001</c:v>
                </c:pt>
                <c:pt idx="2">
                  <c:v>8423.27</c:v>
                </c:pt>
                <c:pt idx="3">
                  <c:v>209266.25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393-4D6F-B15C-C9F4CE3B4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21971480"/>
        <c:axId val="521980664"/>
      </c:barChart>
      <c:catAx>
        <c:axId val="521971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980664"/>
        <c:crosses val="autoZero"/>
        <c:auto val="1"/>
        <c:lblAlgn val="ctr"/>
        <c:lblOffset val="100"/>
        <c:noMultiLvlLbl val="0"/>
      </c:catAx>
      <c:valAx>
        <c:axId val="521980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971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10 Years Cash &amp; Bank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'Balance Sheet'!$A$33</c:f>
              <c:strCache>
                <c:ptCount val="1"/>
                <c:pt idx="0">
                  <c:v> Cash &amp; Bank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'Balance Sheet'!$B$32:$K$32</c:f>
              <c:numCache>
                <c:formatCode>[$-409]mmm\-yy;@</c:formatCode>
                <c:ptCount val="10"/>
                <c:pt idx="0">
                  <c:v>39538</c:v>
                </c:pt>
                <c:pt idx="1">
                  <c:v>39903</c:v>
                </c:pt>
                <c:pt idx="2">
                  <c:v>40268</c:v>
                </c:pt>
                <c:pt idx="3">
                  <c:v>40633</c:v>
                </c:pt>
                <c:pt idx="4">
                  <c:v>40999</c:v>
                </c:pt>
                <c:pt idx="5">
                  <c:v>41364</c:v>
                </c:pt>
                <c:pt idx="6">
                  <c:v>41729</c:v>
                </c:pt>
                <c:pt idx="7">
                  <c:v>42094</c:v>
                </c:pt>
                <c:pt idx="8">
                  <c:v>42460</c:v>
                </c:pt>
                <c:pt idx="9">
                  <c:v>42825</c:v>
                </c:pt>
              </c:numCache>
            </c:numRef>
          </c:cat>
          <c:val>
            <c:numRef>
              <c:f>'Balance Sheet'!$B$33:$K$33</c:f>
              <c:numCache>
                <c:formatCode>General</c:formatCode>
                <c:ptCount val="10"/>
                <c:pt idx="0">
                  <c:v>1253.04</c:v>
                </c:pt>
                <c:pt idx="1">
                  <c:v>1886.04</c:v>
                </c:pt>
                <c:pt idx="2">
                  <c:v>1390.31</c:v>
                </c:pt>
                <c:pt idx="3">
                  <c:v>2831.89</c:v>
                </c:pt>
                <c:pt idx="4">
                  <c:v>5311.48</c:v>
                </c:pt>
                <c:pt idx="5">
                  <c:v>1484.26</c:v>
                </c:pt>
                <c:pt idx="6">
                  <c:v>1192.94</c:v>
                </c:pt>
                <c:pt idx="7">
                  <c:v>522.9</c:v>
                </c:pt>
                <c:pt idx="8">
                  <c:v>1728.55</c:v>
                </c:pt>
                <c:pt idx="9">
                  <c:v>4490.0200000000004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C-45D2-A4AA-1F7A75655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3572232"/>
        <c:axId val="543574528"/>
      </c:barChart>
      <c:catAx>
        <c:axId val="543572232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74528"/>
        <c:crosses val="autoZero"/>
        <c:auto val="0"/>
        <c:lblAlgn val="ctr"/>
        <c:lblOffset val="100"/>
        <c:noMultiLvlLbl val="0"/>
      </c:catAx>
      <c:valAx>
        <c:axId val="54357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722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accent4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10</a:t>
            </a:r>
            <a:r>
              <a:rPr lang="en-IN" baseline="0"/>
              <a:t> Years Gross &amp; Net Margins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'Profit &amp; Loss'!$A$35</c:f>
              <c:strCache>
                <c:ptCount val="1"/>
                <c:pt idx="0">
                  <c:v>Operating Margin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strRef>
              <c:f>'Profit &amp; Loss'!$B$34:$L$34</c:f>
              <c:strCache>
                <c:ptCount val="11"/>
                <c:pt idx="0">
                  <c:v>Mar-08</c:v>
                </c:pt>
                <c:pt idx="1">
                  <c:v>Mar-09</c:v>
                </c:pt>
                <c:pt idx="2">
                  <c:v>Mar-10</c:v>
                </c:pt>
                <c:pt idx="3">
                  <c:v>Mar-11</c:v>
                </c:pt>
                <c:pt idx="4">
                  <c:v>Mar-12</c:v>
                </c:pt>
                <c:pt idx="5">
                  <c:v>Mar-13</c:v>
                </c:pt>
                <c:pt idx="6">
                  <c:v>Mar-14</c:v>
                </c:pt>
                <c:pt idx="7">
                  <c:v>Mar-15</c:v>
                </c:pt>
                <c:pt idx="8">
                  <c:v>Mar-16</c:v>
                </c:pt>
                <c:pt idx="9">
                  <c:v>Mar-17</c:v>
                </c:pt>
                <c:pt idx="10">
                  <c:v>Trailing</c:v>
                </c:pt>
              </c:strCache>
            </c:strRef>
          </c:cat>
          <c:val>
            <c:numRef>
              <c:f>'Profit &amp; Loss'!$B$35:$L$35</c:f>
              <c:numCache>
                <c:formatCode>0%</c:formatCode>
                <c:ptCount val="11"/>
                <c:pt idx="0">
                  <c:v>0.9546948356807512</c:v>
                </c:pt>
                <c:pt idx="1">
                  <c:v>0.97483700895298597</c:v>
                </c:pt>
                <c:pt idx="2">
                  <c:v>0.97594676662191504</c:v>
                </c:pt>
                <c:pt idx="3">
                  <c:v>0.98031237131244886</c:v>
                </c:pt>
                <c:pt idx="4">
                  <c:v>0.96818502085197955</c:v>
                </c:pt>
                <c:pt idx="5">
                  <c:v>0.9744604070476065</c:v>
                </c:pt>
                <c:pt idx="6">
                  <c:v>0.96801615435448307</c:v>
                </c:pt>
                <c:pt idx="7">
                  <c:v>0.94556428172314044</c:v>
                </c:pt>
                <c:pt idx="8">
                  <c:v>0.94011002913873376</c:v>
                </c:pt>
                <c:pt idx="9">
                  <c:v>0.93959222289688527</c:v>
                </c:pt>
                <c:pt idx="10">
                  <c:v>0.92968443466672934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D-4DEE-9DD4-DA1E77D00A9D}"/>
            </c:ext>
          </c:extLst>
        </c:ser>
        <c:ser>
          <c:idx val="1"/>
          <c:order val="1"/>
          <c:tx>
            <c:strRef>
              <c:f>'Profit &amp; Loss'!$A$36</c:f>
              <c:strCache>
                <c:ptCount val="1"/>
                <c:pt idx="0">
                  <c:v>Net Profit Margin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cat>
            <c:strRef>
              <c:f>'Profit &amp; Loss'!$B$34:$L$34</c:f>
              <c:strCache>
                <c:ptCount val="11"/>
                <c:pt idx="0">
                  <c:v>Mar-08</c:v>
                </c:pt>
                <c:pt idx="1">
                  <c:v>Mar-09</c:v>
                </c:pt>
                <c:pt idx="2">
                  <c:v>Mar-10</c:v>
                </c:pt>
                <c:pt idx="3">
                  <c:v>Mar-11</c:v>
                </c:pt>
                <c:pt idx="4">
                  <c:v>Mar-12</c:v>
                </c:pt>
                <c:pt idx="5">
                  <c:v>Mar-13</c:v>
                </c:pt>
                <c:pt idx="6">
                  <c:v>Mar-14</c:v>
                </c:pt>
                <c:pt idx="7">
                  <c:v>Mar-15</c:v>
                </c:pt>
                <c:pt idx="8">
                  <c:v>Mar-16</c:v>
                </c:pt>
                <c:pt idx="9">
                  <c:v>Mar-17</c:v>
                </c:pt>
                <c:pt idx="10">
                  <c:v>Trailing</c:v>
                </c:pt>
              </c:strCache>
            </c:strRef>
          </c:cat>
          <c:val>
            <c:numRef>
              <c:f>'Profit &amp; Loss'!$B$36:$L$36</c:f>
              <c:numCache>
                <c:formatCode>0%</c:formatCode>
                <c:ptCount val="11"/>
                <c:pt idx="0">
                  <c:v>0.24326885004807963</c:v>
                </c:pt>
                <c:pt idx="1">
                  <c:v>0.26055626903610485</c:v>
                </c:pt>
                <c:pt idx="2">
                  <c:v>0.30055954515556438</c:v>
                </c:pt>
                <c:pt idx="3">
                  <c:v>0.30675292587000241</c:v>
                </c:pt>
                <c:pt idx="4">
                  <c:v>0.26822215451412035</c:v>
                </c:pt>
                <c:pt idx="5">
                  <c:v>0.28081121179377372</c:v>
                </c:pt>
                <c:pt idx="6">
                  <c:v>0.27366229055518321</c:v>
                </c:pt>
                <c:pt idx="7">
                  <c:v>0.25803395830441006</c:v>
                </c:pt>
                <c:pt idx="8">
                  <c:v>0.23693525020535208</c:v>
                </c:pt>
                <c:pt idx="9">
                  <c:v>0.25939846813628786</c:v>
                </c:pt>
                <c:pt idx="10">
                  <c:v>0.2483673403188402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D-4DEE-9DD4-DA1E77D00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023504"/>
        <c:axId val="562020880"/>
      </c:areaChart>
      <c:catAx>
        <c:axId val="56202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2020880"/>
        <c:crosses val="autoZero"/>
        <c:auto val="1"/>
        <c:lblAlgn val="ctr"/>
        <c:lblOffset val="100"/>
        <c:noMultiLvlLbl val="0"/>
      </c:catAx>
      <c:valAx>
        <c:axId val="56202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20235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SG"/>
              <a:t>10 Years Operating Margin YoY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'Profit &amp; Loss'!$A$23</c:f>
              <c:strCache>
                <c:ptCount val="1"/>
                <c:pt idx="0">
                  <c:v>OPM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'Profit &amp; Loss'!$B$3:$L$3</c:f>
              <c:strCache>
                <c:ptCount val="11"/>
                <c:pt idx="0">
                  <c:v>Mar-08</c:v>
                </c:pt>
                <c:pt idx="1">
                  <c:v>Mar-09</c:v>
                </c:pt>
                <c:pt idx="2">
                  <c:v>Mar-10</c:v>
                </c:pt>
                <c:pt idx="3">
                  <c:v>Mar-11</c:v>
                </c:pt>
                <c:pt idx="4">
                  <c:v>Mar-12</c:v>
                </c:pt>
                <c:pt idx="5">
                  <c:v>Mar-13</c:v>
                </c:pt>
                <c:pt idx="6">
                  <c:v>Mar-14</c:v>
                </c:pt>
                <c:pt idx="7">
                  <c:v>Mar-15</c:v>
                </c:pt>
                <c:pt idx="8">
                  <c:v>Mar-16</c:v>
                </c:pt>
                <c:pt idx="9">
                  <c:v>Mar-17</c:v>
                </c:pt>
                <c:pt idx="10">
                  <c:v>Trailing</c:v>
                </c:pt>
              </c:strCache>
            </c:strRef>
          </c:cat>
          <c:val>
            <c:numRef>
              <c:f>'Profit &amp; Loss'!$B$23:$L$23</c:f>
              <c:numCache>
                <c:formatCode>0.00%</c:formatCode>
                <c:ptCount val="11"/>
                <c:pt idx="0">
                  <c:v>0.9546948356807512</c:v>
                </c:pt>
                <c:pt idx="1">
                  <c:v>0.97483700895298597</c:v>
                </c:pt>
                <c:pt idx="2">
                  <c:v>0.97594676662191504</c:v>
                </c:pt>
                <c:pt idx="3">
                  <c:v>0.98031237131244886</c:v>
                </c:pt>
                <c:pt idx="4">
                  <c:v>0.96818502085197955</c:v>
                </c:pt>
                <c:pt idx="5">
                  <c:v>0.9744604070476065</c:v>
                </c:pt>
                <c:pt idx="6">
                  <c:v>0.96801615435448307</c:v>
                </c:pt>
                <c:pt idx="7">
                  <c:v>0.94556428172314044</c:v>
                </c:pt>
                <c:pt idx="8">
                  <c:v>0.94011002913873376</c:v>
                </c:pt>
                <c:pt idx="9">
                  <c:v>0.93959222289688527</c:v>
                </c:pt>
                <c:pt idx="10">
                  <c:v>0.92968443466672934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EF-4230-B809-93E279F8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1376632"/>
        <c:axId val="521378272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'Profit &amp; Loss'!$A$24</c15:sqref>
                        </c15:formulaRef>
                      </c:ext>
                    </c:extLst>
                    <c:strCache>
                      <c:ptCount val="1"/>
                      <c:pt idx="0">
                        <c:v>OPM Reference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'Profit &amp; Loss'!$B$3:$L$3</c15:sqref>
                        </c15:formulaRef>
                      </c:ext>
                    </c:extLst>
                    <c:strCache>
                      <c:ptCount val="11"/>
                      <c:pt idx="0">
                        <c:v>Mar-08</c:v>
                      </c:pt>
                      <c:pt idx="1">
                        <c:v>Mar-09</c:v>
                      </c:pt>
                      <c:pt idx="2">
                        <c:v>Mar-10</c:v>
                      </c:pt>
                      <c:pt idx="3">
                        <c:v>Mar-11</c:v>
                      </c:pt>
                      <c:pt idx="4">
                        <c:v>Mar-12</c:v>
                      </c:pt>
                      <c:pt idx="5">
                        <c:v>Mar-13</c:v>
                      </c:pt>
                      <c:pt idx="6">
                        <c:v>Mar-14</c:v>
                      </c:pt>
                      <c:pt idx="7">
                        <c:v>Mar-15</c:v>
                      </c:pt>
                      <c:pt idx="8">
                        <c:v>Mar-16</c:v>
                      </c:pt>
                      <c:pt idx="9">
                        <c:v>Mar-17</c:v>
                      </c:pt>
                      <c:pt idx="10">
                        <c:v>Trailing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'Profit &amp; Loss'!$B$24:$L$24</c15:sqref>
                        </c15:formulaRef>
                      </c:ext>
                    </c:extLst>
                    <c:numCache>
                      <c:formatCode>0.00%</c:formatCode>
                      <c:ptCount val="11"/>
                      <c:pt idx="0">
                        <c:v>0.9546948356807512</c:v>
                      </c:pt>
                      <c:pt idx="1">
                        <c:v>0.96476592231686853</c:v>
                      </c:pt>
                      <c:pt idx="2">
                        <c:v>0.96849287041855059</c:v>
                      </c:pt>
                      <c:pt idx="3">
                        <c:v>0.97144774564202518</c:v>
                      </c:pt>
                      <c:pt idx="4">
                        <c:v>0.97079520068401615</c:v>
                      </c:pt>
                      <c:pt idx="5">
                        <c:v>0.97140606841128119</c:v>
                      </c:pt>
                      <c:pt idx="6">
                        <c:v>0.97092179497459585</c:v>
                      </c:pt>
                      <c:pt idx="7">
                        <c:v>0.96775210581816395</c:v>
                      </c:pt>
                      <c:pt idx="8">
                        <c:v>0.96468076396489388</c:v>
                      </c:pt>
                      <c:pt idx="9">
                        <c:v>0.96217190985809309</c:v>
                      </c:pt>
                      <c:pt idx="10">
                        <c:v>0.95921850302251455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AAEF-4230-B809-93E279F87BB0}"/>
                  </c:ext>
                </c:extLst>
              </c15:ser>
            </c15:filteredBarSeries>
          </c:ext>
        </c:extLst>
      </c:barChart>
      <c:catAx>
        <c:axId val="52137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378272"/>
        <c:crosses val="autoZero"/>
        <c:auto val="1"/>
        <c:lblAlgn val="ctr"/>
        <c:lblOffset val="100"/>
        <c:noMultiLvlLbl val="0"/>
      </c:catAx>
      <c:valAx>
        <c:axId val="52137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376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</cx:f>
      </cx:strDim>
      <cx:numDim type="val">
        <cx:f dir="row">_xlchart.v1.2</cx:f>
      </cx:numDim>
    </cx:data>
  </cx:chartData>
  <cx:chart>
    <cx:title pos="t" align="ctr" overlay="0">
      <cx:tx>
        <cx:txData>
          <cx:v>10 Years Equity Capital Change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rPr>
            <a:t>10 Years Equity Capital Change</a:t>
          </a:r>
        </a:p>
      </cx:txPr>
    </cx:title>
    <cx:plotArea>
      <cx:plotAreaRegion>
        <cx:series layoutId="waterfall" uniqueId="{278AB3C3-1C01-4F1D-AC72-CCA189DBA62F}">
          <cx:tx>
            <cx:txData>
              <cx:f>_xlchart.v1.0</cx:f>
              <cx:v> Equity Share Capital </cx:v>
            </cx:txData>
          </cx:tx>
          <cx:dataLabels pos="outEnd">
            <cx:numFmt formatCode="#,##0.00" sourceLinked="0"/>
            <cx:visibility seriesName="0" categoryName="0" value="1"/>
            <cx:separator>, </cx:separator>
          </cx:dataLabels>
          <cx:dataId val="0"/>
          <cx:layoutPr>
            <cx:subtotals/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microsoft.com/office/2014/relationships/chartEx" Target="../charts/chartEx1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23</xdr:col>
      <xdr:colOff>528</xdr:colOff>
      <xdr:row>14</xdr:row>
      <xdr:rowOff>47922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38E47B-EEDF-48DC-9BCA-B443A27E2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9625" y="0"/>
          <a:ext cx="6096528" cy="342929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15</xdr:row>
      <xdr:rowOff>0</xdr:rowOff>
    </xdr:from>
    <xdr:to>
      <xdr:col>23</xdr:col>
      <xdr:colOff>528</xdr:colOff>
      <xdr:row>33</xdr:row>
      <xdr:rowOff>297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C23DC2-8A00-4DA6-B9CE-0C1E76F12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9625" y="3619500"/>
          <a:ext cx="6096528" cy="342929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34</xdr:row>
      <xdr:rowOff>0</xdr:rowOff>
    </xdr:from>
    <xdr:to>
      <xdr:col>23</xdr:col>
      <xdr:colOff>528</xdr:colOff>
      <xdr:row>52</xdr:row>
      <xdr:rowOff>297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1C3CBA-D629-4CF3-9A0A-6ACB31D0F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29625" y="7239000"/>
          <a:ext cx="6096528" cy="342929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53</xdr:row>
      <xdr:rowOff>0</xdr:rowOff>
    </xdr:from>
    <xdr:to>
      <xdr:col>23</xdr:col>
      <xdr:colOff>528</xdr:colOff>
      <xdr:row>71</xdr:row>
      <xdr:rowOff>297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8678BE9-6185-4B39-A740-90534662A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29625" y="10858500"/>
          <a:ext cx="6096528" cy="342929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72</xdr:row>
      <xdr:rowOff>0</xdr:rowOff>
    </xdr:from>
    <xdr:to>
      <xdr:col>23</xdr:col>
      <xdr:colOff>528</xdr:colOff>
      <xdr:row>90</xdr:row>
      <xdr:rowOff>297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8E0A98-E3FD-4C4D-B986-D4F3BA5E4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29625" y="14478000"/>
          <a:ext cx="6096528" cy="342929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91</xdr:row>
      <xdr:rowOff>0</xdr:rowOff>
    </xdr:from>
    <xdr:to>
      <xdr:col>23</xdr:col>
      <xdr:colOff>528</xdr:colOff>
      <xdr:row>109</xdr:row>
      <xdr:rowOff>297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A322938-E124-4D25-8F67-8A4F7C832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29625" y="18097500"/>
          <a:ext cx="6096528" cy="342929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111</xdr:row>
      <xdr:rowOff>0</xdr:rowOff>
    </xdr:from>
    <xdr:to>
      <xdr:col>23</xdr:col>
      <xdr:colOff>528</xdr:colOff>
      <xdr:row>129</xdr:row>
      <xdr:rowOff>297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2A1E7F5-213D-4A81-BCF9-BF66A6CE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29625" y="21907500"/>
          <a:ext cx="6096528" cy="342929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130</xdr:row>
      <xdr:rowOff>0</xdr:rowOff>
    </xdr:from>
    <xdr:to>
      <xdr:col>23</xdr:col>
      <xdr:colOff>528</xdr:colOff>
      <xdr:row>148</xdr:row>
      <xdr:rowOff>297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5E75E23-E774-4E48-A35C-8DDAD4ADA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29625" y="25527000"/>
          <a:ext cx="6096528" cy="3429297"/>
        </a:xfrm>
        <a:prstGeom prst="rect">
          <a:avLst/>
        </a:prstGeom>
      </xdr:spPr>
    </xdr:pic>
    <xdr:clientData/>
  </xdr:twoCellAnchor>
  <xdr:twoCellAnchor>
    <xdr:from>
      <xdr:col>9</xdr:col>
      <xdr:colOff>419100</xdr:colOff>
      <xdr:row>0</xdr:row>
      <xdr:rowOff>323850</xdr:rowOff>
    </xdr:from>
    <xdr:to>
      <xdr:col>13</xdr:col>
      <xdr:colOff>9524</xdr:colOff>
      <xdr:row>4</xdr:row>
      <xdr:rowOff>104775</xdr:rowOff>
    </xdr:to>
    <xdr:sp macro="" textlink="">
      <xdr:nvSpPr>
        <xdr:cNvPr id="11" name="Arrow: Right 10">
          <a:extLst>
            <a:ext uri="{FF2B5EF4-FFF2-40B4-BE49-F238E27FC236}">
              <a16:creationId xmlns:a16="http://schemas.microsoft.com/office/drawing/2014/main" id="{B7C040AE-139F-4F84-8FEB-701BDFADB53F}"/>
            </a:ext>
          </a:extLst>
        </xdr:cNvPr>
        <xdr:cNvSpPr/>
      </xdr:nvSpPr>
      <xdr:spPr>
        <a:xfrm>
          <a:off x="6410325" y="323850"/>
          <a:ext cx="2028824" cy="809625"/>
        </a:xfrm>
        <a:prstGeom prst="rightArrow">
          <a:avLst>
            <a:gd name="adj1" fmla="val 57822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100"/>
            <a:t>STEP</a:t>
          </a:r>
          <a:r>
            <a:rPr lang="en-IN" sz="1100" baseline="0"/>
            <a:t> BY STEP</a:t>
          </a:r>
        </a:p>
        <a:p>
          <a:pPr algn="l"/>
          <a:r>
            <a:rPr lang="en-IN" sz="1100" baseline="0"/>
            <a:t>INSTRUCTIONS</a:t>
          </a:r>
          <a:endParaRPr lang="en-IN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10</xdr:col>
      <xdr:colOff>14431</xdr:colOff>
      <xdr:row>16</xdr:row>
      <xdr:rowOff>144318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97FDBD-D7B7-458B-AE29-E6BC955E1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16</xdr:row>
      <xdr:rowOff>144317</xdr:rowOff>
    </xdr:from>
    <xdr:to>
      <xdr:col>9</xdr:col>
      <xdr:colOff>562841</xdr:colOff>
      <xdr:row>33</xdr:row>
      <xdr:rowOff>115453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7F9C07D-788C-4302-BAC1-A4DFF94E0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591705</xdr:colOff>
      <xdr:row>16</xdr:row>
      <xdr:rowOff>144317</xdr:rowOff>
    </xdr:from>
    <xdr:to>
      <xdr:col>18</xdr:col>
      <xdr:colOff>598714</xdr:colOff>
      <xdr:row>33</xdr:row>
      <xdr:rowOff>115453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70C8F7E-0260-47C8-B163-B0150C5FD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19791</xdr:colOff>
      <xdr:row>16</xdr:row>
      <xdr:rowOff>144317</xdr:rowOff>
    </xdr:from>
    <xdr:to>
      <xdr:col>26</xdr:col>
      <xdr:colOff>605313</xdr:colOff>
      <xdr:row>33</xdr:row>
      <xdr:rowOff>115453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03B2DBE-A21D-4804-B36B-236318639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571500</xdr:colOff>
      <xdr:row>0</xdr:row>
      <xdr:rowOff>0</xdr:rowOff>
    </xdr:from>
    <xdr:to>
      <xdr:col>26</xdr:col>
      <xdr:colOff>600363</xdr:colOff>
      <xdr:row>16</xdr:row>
      <xdr:rowOff>136071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287B27A-B47A-4233-B52E-2F023C9B4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27215</xdr:colOff>
      <xdr:row>0</xdr:row>
      <xdr:rowOff>0</xdr:rowOff>
    </xdr:from>
    <xdr:to>
      <xdr:col>19</xdr:col>
      <xdr:colOff>0</xdr:colOff>
      <xdr:row>16</xdr:row>
      <xdr:rowOff>136070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C5C9AED4-BCFF-4606-A82E-25BFD2140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15874</xdr:colOff>
      <xdr:row>33</xdr:row>
      <xdr:rowOff>106795</xdr:rowOff>
    </xdr:from>
    <xdr:to>
      <xdr:col>9</xdr:col>
      <xdr:colOff>548408</xdr:colOff>
      <xdr:row>50</xdr:row>
      <xdr:rowOff>101023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7" name="Chart 16">
              <a:extLst>
                <a:ext uri="{FF2B5EF4-FFF2-40B4-BE49-F238E27FC236}">
                  <a16:creationId xmlns:a16="http://schemas.microsoft.com/office/drawing/2014/main" id="{DCB3FA82-F729-474B-B8F6-8447C0C7381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474" y="6983845"/>
              <a:ext cx="5409334" cy="32327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IN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9</xdr:col>
      <xdr:colOff>558510</xdr:colOff>
      <xdr:row>33</xdr:row>
      <xdr:rowOff>106795</xdr:rowOff>
    </xdr:from>
    <xdr:to>
      <xdr:col>19</xdr:col>
      <xdr:colOff>14432</xdr:colOff>
      <xdr:row>50</xdr:row>
      <xdr:rowOff>93808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4814633E-19F5-4C5F-A38B-B2D7E4C29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14432</xdr:colOff>
      <xdr:row>33</xdr:row>
      <xdr:rowOff>106794</xdr:rowOff>
    </xdr:from>
    <xdr:to>
      <xdr:col>27</xdr:col>
      <xdr:colOff>28862</xdr:colOff>
      <xdr:row>50</xdr:row>
      <xdr:rowOff>86590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FFAAD042-5E8E-4075-B5FC-51FDF2538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421822</xdr:colOff>
      <xdr:row>0</xdr:row>
      <xdr:rowOff>0</xdr:rowOff>
    </xdr:from>
    <xdr:to>
      <xdr:col>19</xdr:col>
      <xdr:colOff>389658</xdr:colOff>
      <xdr:row>15</xdr:row>
      <xdr:rowOff>122464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3557B2A2-EC97-41A9-B18D-914222FA6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419347</xdr:colOff>
      <xdr:row>15</xdr:row>
      <xdr:rowOff>163285</xdr:rowOff>
    </xdr:from>
    <xdr:to>
      <xdr:col>19</xdr:col>
      <xdr:colOff>376052</xdr:colOff>
      <xdr:row>31</xdr:row>
      <xdr:rowOff>81642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FEAE667-21BE-4353-B358-5BC7E7B9C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573974</xdr:colOff>
      <xdr:row>0</xdr:row>
      <xdr:rowOff>0</xdr:rowOff>
    </xdr:from>
    <xdr:to>
      <xdr:col>10</xdr:col>
      <xdr:colOff>409039</xdr:colOff>
      <xdr:row>15</xdr:row>
      <xdr:rowOff>107494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CD846D1-E54A-40FF-AFC2-A29DEB660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404090</xdr:colOff>
      <xdr:row>0</xdr:row>
      <xdr:rowOff>0</xdr:rowOff>
    </xdr:from>
    <xdr:to>
      <xdr:col>27</xdr:col>
      <xdr:colOff>476078</xdr:colOff>
      <xdr:row>15</xdr:row>
      <xdr:rowOff>81643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3D5A8BB4-CD40-4A0F-9651-5EFCDFD00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418524</xdr:colOff>
      <xdr:row>15</xdr:row>
      <xdr:rowOff>163286</xdr:rowOff>
    </xdr:from>
    <xdr:to>
      <xdr:col>27</xdr:col>
      <xdr:colOff>500167</xdr:colOff>
      <xdr:row>31</xdr:row>
      <xdr:rowOff>54429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C9932749-1ECF-4E0C-A010-219E48DAD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15</xdr:row>
      <xdr:rowOff>163286</xdr:rowOff>
    </xdr:from>
    <xdr:to>
      <xdr:col>10</xdr:col>
      <xdr:colOff>381000</xdr:colOff>
      <xdr:row>31</xdr:row>
      <xdr:rowOff>73807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57B2C380-A661-4AA6-854E-1FB7AE252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Annual" displayName="Annual" ref="A3:N24" headerRowCount="0" totalsRowShown="0" headerRowDxfId="30">
  <tableColumns count="14">
    <tableColumn id="1" xr3:uid="{00000000-0010-0000-0000-000001000000}" name="Column1" headerRowDxfId="29" dataDxfId="28"/>
    <tableColumn id="2" xr3:uid="{00000000-0010-0000-0000-000002000000}" name="Column2" headerRowDxfId="27"/>
    <tableColumn id="3" xr3:uid="{00000000-0010-0000-0000-000003000000}" name="Column3" headerRowDxfId="26"/>
    <tableColumn id="4" xr3:uid="{00000000-0010-0000-0000-000004000000}" name="Column4" headerRowDxfId="25"/>
    <tableColumn id="5" xr3:uid="{00000000-0010-0000-0000-000005000000}" name="Column5" headerRowDxfId="24"/>
    <tableColumn id="6" xr3:uid="{00000000-0010-0000-0000-000006000000}" name="Column6" headerRowDxfId="23"/>
    <tableColumn id="7" xr3:uid="{00000000-0010-0000-0000-000007000000}" name="Column7" headerRowDxfId="22"/>
    <tableColumn id="8" xr3:uid="{00000000-0010-0000-0000-000008000000}" name="Column8" headerRowDxfId="21"/>
    <tableColumn id="9" xr3:uid="{00000000-0010-0000-0000-000009000000}" name="Column9" headerRowDxfId="20"/>
    <tableColumn id="10" xr3:uid="{00000000-0010-0000-0000-00000A000000}" name="Column10" headerRowDxfId="19"/>
    <tableColumn id="11" xr3:uid="{00000000-0010-0000-0000-00000B000000}" name="Column11" headerRowDxfId="18"/>
    <tableColumn id="12" xr3:uid="{00000000-0010-0000-0000-00000C000000}" name="Column12" headerRowDxfId="17"/>
    <tableColumn id="13" xr3:uid="{00000000-0010-0000-0000-00000D000000}" name="Column13" headerRowDxfId="16" dataDxfId="15"/>
    <tableColumn id="14" xr3:uid="{00000000-0010-0000-0000-00000E000000}" name="Column14" headerRowDxfId="14" dataDxfId="13"/>
  </tableColumns>
  <tableStyleInfo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Quarters" displayName="Quarters" ref="A3:K17" headerRowCount="0" totalsRowShown="0" headerRowDxfId="12">
  <tableColumns count="11">
    <tableColumn id="1" xr3:uid="{00000000-0010-0000-0100-000001000000}" name="Column1" headerRowDxfId="11"/>
    <tableColumn id="2" xr3:uid="{00000000-0010-0000-0100-000002000000}" name="Column2" headerRowDxfId="10"/>
    <tableColumn id="3" xr3:uid="{00000000-0010-0000-0100-000003000000}" name="Column3" headerRowDxfId="9"/>
    <tableColumn id="4" xr3:uid="{00000000-0010-0000-0100-000004000000}" name="Column4" headerRowDxfId="8"/>
    <tableColumn id="5" xr3:uid="{00000000-0010-0000-0100-000005000000}" name="Column5" headerRowDxfId="7"/>
    <tableColumn id="6" xr3:uid="{00000000-0010-0000-0100-000006000000}" name="Column6" headerRowDxfId="6"/>
    <tableColumn id="7" xr3:uid="{00000000-0010-0000-0100-000007000000}" name="Column7" headerRowDxfId="5"/>
    <tableColumn id="8" xr3:uid="{00000000-0010-0000-0100-000008000000}" name="Column8" headerRowDxfId="4"/>
    <tableColumn id="9" xr3:uid="{00000000-0010-0000-0100-000009000000}" name="Column9" headerRowDxfId="3"/>
    <tableColumn id="10" xr3:uid="{00000000-0010-0000-0100-00000A000000}" name="Column10" headerRowDxfId="2"/>
    <tableColumn id="11" xr3:uid="{00000000-0010-0000-0100-00000B000000}" name="Column11" headerRowDxfId="1"/>
  </tableColumns>
  <tableStyleInfo name="TableStyleLight1" showFirstColumn="0" showLastColumn="0" showRowStripes="0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Adjacency">
  <a:themeElements>
    <a:clrScheme name="Concourse">
      <a:dk1>
        <a:sysClr val="windowText" lastClr="000000"/>
      </a:dk1>
      <a:lt1>
        <a:sysClr val="window" lastClr="FFFFFF"/>
      </a:lt1>
      <a:dk2>
        <a:srgbClr val="464646"/>
      </a:dk2>
      <a:lt2>
        <a:srgbClr val="DEF5FA"/>
      </a:lt2>
      <a:accent1>
        <a:srgbClr val="2DA2BF"/>
      </a:accent1>
      <a:accent2>
        <a:srgbClr val="DA1F28"/>
      </a:accent2>
      <a:accent3>
        <a:srgbClr val="EB641B"/>
      </a:accent3>
      <a:accent4>
        <a:srgbClr val="39639D"/>
      </a:accent4>
      <a:accent5>
        <a:srgbClr val="474B78"/>
      </a:accent5>
      <a:accent6>
        <a:srgbClr val="7D3C4A"/>
      </a:accent6>
      <a:hlink>
        <a:srgbClr val="FF8119"/>
      </a:hlink>
      <a:folHlink>
        <a:srgbClr val="44B9E8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Adjacency">
      <a:fillStyleLst>
        <a:solidFill>
          <a:schemeClr val="phClr"/>
        </a:solidFill>
        <a:solidFill>
          <a:schemeClr val="phClr">
            <a:tint val="55000"/>
          </a:schemeClr>
        </a:solidFill>
        <a:solidFill>
          <a:schemeClr val="phClr"/>
        </a:soli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algn="bl" rotWithShape="0">
              <a:srgbClr val="000000">
                <a:alpha val="60000"/>
              </a:srgbClr>
            </a:outerShdw>
          </a:effectLst>
        </a:effectStyle>
        <a:effectStyle>
          <a:effectLst/>
          <a:scene3d>
            <a:camera prst="orthographicFront">
              <a:rot lat="0" lon="0" rev="0"/>
            </a:camera>
            <a:lightRig rig="brightRoom" dir="tl">
              <a:rot lat="0" lon="0" rev="1800000"/>
            </a:lightRig>
          </a:scene3d>
          <a:sp3d contourW="10160" prstMaterial="dkEdge">
            <a:bevelT w="38100" h="50800" prst="angle"/>
            <a:contourClr>
              <a:schemeClr val="phClr">
                <a:shade val="40000"/>
                <a:satMod val="15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75000">
              <a:schemeClr val="phClr">
                <a:shade val="100000"/>
                <a:satMod val="115000"/>
              </a:schemeClr>
            </a:gs>
            <a:gs pos="100000">
              <a:schemeClr val="phClr">
                <a:shade val="70000"/>
                <a:satMod val="130000"/>
              </a:schemeClr>
            </a:gs>
          </a:gsLst>
          <a:path path="circle">
            <a:fillToRect l="20000" t="50000" r="100000" b="5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tint val="97000"/>
              </a:schemeClr>
              <a:schemeClr val="phClr">
                <a:shade val="96000"/>
              </a:schemeClr>
            </a:duotone>
          </a:blip>
          <a:tile tx="0" ty="0" sx="32000" sy="32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tradingyoga.blogspot.com/2017/09/mpoweru-academy-training-courses.html" TargetMode="External"/><Relationship Id="rId2" Type="http://schemas.openxmlformats.org/officeDocument/2006/relationships/hyperlink" Target="https://www.facebook.com/groups/1325014780894821/" TargetMode="External"/><Relationship Id="rId1" Type="http://schemas.openxmlformats.org/officeDocument/2006/relationships/hyperlink" Target="mailto:mpoweru.academy@gmail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tradingyoga.blogspot.com/2017/08/stocks-ticket-to-financial-freedom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screener.in/excel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screener.in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screener.in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screener.in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screener.in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://www.screener.in/exce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739A9-E26E-44A2-A686-630970F2CCF8}">
  <dimension ref="A1:M24"/>
  <sheetViews>
    <sheetView workbookViewId="0">
      <selection activeCell="B27" sqref="B27"/>
    </sheetView>
  </sheetViews>
  <sheetFormatPr defaultRowHeight="15" x14ac:dyDescent="0.25"/>
  <cols>
    <col min="1" max="1" width="12.140625" bestFit="1" customWidth="1"/>
    <col min="9" max="9" width="13.7109375" customWidth="1"/>
  </cols>
  <sheetData>
    <row r="1" spans="1:13" ht="36" x14ac:dyDescent="0.55000000000000004">
      <c r="B1" s="94" t="s">
        <v>199</v>
      </c>
      <c r="C1" s="94"/>
      <c r="D1" s="94"/>
      <c r="E1" s="94"/>
      <c r="F1" s="94"/>
      <c r="G1" s="94"/>
      <c r="H1" s="94"/>
      <c r="I1" s="94"/>
      <c r="K1" s="97"/>
      <c r="L1" s="97"/>
      <c r="M1" s="97"/>
    </row>
    <row r="2" spans="1:13" s="89" customFormat="1" x14ac:dyDescent="0.25">
      <c r="B2" s="88"/>
      <c r="C2" s="88"/>
      <c r="D2" s="88"/>
      <c r="E2" s="88"/>
    </row>
    <row r="3" spans="1:13" s="89" customFormat="1" x14ac:dyDescent="0.25">
      <c r="B3" s="92" t="s">
        <v>213</v>
      </c>
      <c r="C3" s="88"/>
      <c r="D3" s="88"/>
      <c r="E3" s="88"/>
    </row>
    <row r="4" spans="1:13" x14ac:dyDescent="0.25">
      <c r="B4" s="93" t="s">
        <v>200</v>
      </c>
    </row>
    <row r="5" spans="1:13" x14ac:dyDescent="0.25">
      <c r="B5" s="93" t="s">
        <v>214</v>
      </c>
    </row>
    <row r="7" spans="1:13" ht="31.5" x14ac:dyDescent="0.25">
      <c r="A7" s="91" t="s">
        <v>215</v>
      </c>
      <c r="B7" t="s">
        <v>198</v>
      </c>
    </row>
    <row r="9" spans="1:13" ht="30" customHeight="1" x14ac:dyDescent="0.25">
      <c r="A9" s="95" t="s">
        <v>216</v>
      </c>
      <c r="B9" t="s">
        <v>192</v>
      </c>
    </row>
    <row r="10" spans="1:13" x14ac:dyDescent="0.25">
      <c r="A10" s="95"/>
      <c r="B10" t="s">
        <v>193</v>
      </c>
    </row>
    <row r="11" spans="1:13" x14ac:dyDescent="0.25">
      <c r="A11" s="95"/>
      <c r="B11" t="s">
        <v>194</v>
      </c>
    </row>
    <row r="12" spans="1:13" x14ac:dyDescent="0.25">
      <c r="A12" s="95"/>
      <c r="B12" t="s">
        <v>212</v>
      </c>
    </row>
    <row r="14" spans="1:13" ht="18.75" x14ac:dyDescent="0.25">
      <c r="B14" s="96" t="s">
        <v>195</v>
      </c>
      <c r="C14" s="96"/>
      <c r="D14" s="96"/>
      <c r="E14" s="96"/>
    </row>
    <row r="15" spans="1:13" ht="18.75" x14ac:dyDescent="0.25">
      <c r="B15" s="96" t="s">
        <v>196</v>
      </c>
      <c r="C15" s="96"/>
      <c r="D15" s="96"/>
      <c r="E15" s="96"/>
    </row>
    <row r="17" spans="1:5" x14ac:dyDescent="0.25">
      <c r="B17" t="s">
        <v>209</v>
      </c>
      <c r="E17" s="87" t="s">
        <v>197</v>
      </c>
    </row>
    <row r="18" spans="1:5" x14ac:dyDescent="0.25">
      <c r="B18" t="s">
        <v>205</v>
      </c>
      <c r="E18" s="87" t="s">
        <v>206</v>
      </c>
    </row>
    <row r="19" spans="1:5" x14ac:dyDescent="0.25">
      <c r="B19" t="s">
        <v>207</v>
      </c>
      <c r="E19" s="87" t="s">
        <v>208</v>
      </c>
    </row>
    <row r="20" spans="1:5" x14ac:dyDescent="0.25">
      <c r="B20" t="s">
        <v>210</v>
      </c>
      <c r="E20" s="87" t="s">
        <v>211</v>
      </c>
    </row>
    <row r="22" spans="1:5" x14ac:dyDescent="0.25">
      <c r="A22" s="90" t="s">
        <v>202</v>
      </c>
      <c r="B22" t="s">
        <v>201</v>
      </c>
    </row>
    <row r="23" spans="1:5" x14ac:dyDescent="0.25">
      <c r="B23" t="s">
        <v>203</v>
      </c>
    </row>
    <row r="24" spans="1:5" x14ac:dyDescent="0.25">
      <c r="B24" t="s">
        <v>204</v>
      </c>
    </row>
  </sheetData>
  <sheetProtection sheet="1" objects="1" scenarios="1" selectLockedCells="1" selectUnlockedCells="1"/>
  <mergeCells count="5">
    <mergeCell ref="B1:I1"/>
    <mergeCell ref="A9:A12"/>
    <mergeCell ref="B14:E14"/>
    <mergeCell ref="B15:E15"/>
    <mergeCell ref="K1:M1"/>
  </mergeCells>
  <hyperlinks>
    <hyperlink ref="E17" r:id="rId1" xr:uid="{8F330DAE-FA1E-4D5D-834A-79ECFB0B6085}"/>
    <hyperlink ref="E18" r:id="rId2" xr:uid="{108C4504-448F-4249-ACA2-A10E8D3D2BE5}"/>
    <hyperlink ref="E19" r:id="rId3" xr:uid="{E729B181-1F99-4E0D-AE17-7795BABCEBE6}"/>
    <hyperlink ref="E20" r:id="rId4" xr:uid="{FF8BC632-FFBC-4A35-B85F-298672C32373}"/>
  </hyperlinks>
  <pageMargins left="0.7" right="0.7" top="0.75" bottom="0.75" header="0.3" footer="0.3"/>
  <pageSetup paperSize="9" orientation="portrait" verticalDpi="0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3"/>
  <sheetViews>
    <sheetView workbookViewId="0">
      <pane xSplit="1" ySplit="1" topLeftCell="B50" activePane="bottomRight" state="frozen"/>
      <selection activeCell="C4" sqref="C4"/>
      <selection pane="topRight" activeCell="C4" sqref="C4"/>
      <selection pane="bottomLeft" activeCell="C4" sqref="C4"/>
      <selection pane="bottomRight" activeCell="A56" sqref="A56"/>
    </sheetView>
  </sheetViews>
  <sheetFormatPr defaultColWidth="9.140625" defaultRowHeight="15" x14ac:dyDescent="0.25"/>
  <cols>
    <col min="1" max="1" width="27.7109375" style="4" bestFit="1" customWidth="1"/>
    <col min="2" max="11" width="13.5703125" style="4" bestFit="1" customWidth="1"/>
    <col min="12" max="16384" width="9.140625" style="4"/>
  </cols>
  <sheetData>
    <row r="1" spans="1:11" s="1" customFormat="1" x14ac:dyDescent="0.25">
      <c r="A1" s="1" t="s">
        <v>0</v>
      </c>
      <c r="B1" s="1" t="s">
        <v>64</v>
      </c>
      <c r="E1" s="107" t="str">
        <f>IF(B2&lt;&gt;B3, "A NEW VERSION OF THE WORKSHEET IS AVAILABLE", "")</f>
      </c>
      <c r="F1" s="107"/>
      <c r="G1" s="107"/>
      <c r="H1" s="107"/>
      <c r="I1" s="107"/>
      <c r="J1" s="107"/>
      <c r="K1" s="107"/>
    </row>
    <row r="2" spans="1:11" x14ac:dyDescent="0.25">
      <c r="A2" s="1" t="s">
        <v>62</v>
      </c>
      <c r="B2" s="4">
        <v>2.1</v>
      </c>
      <c r="E2" s="108" t="s">
        <v>36</v>
      </c>
      <c r="F2" s="108"/>
      <c r="G2" s="108"/>
      <c r="H2" s="108"/>
      <c r="I2" s="108"/>
      <c r="J2" s="108"/>
      <c r="K2" s="108"/>
    </row>
    <row r="3" spans="1:11" x14ac:dyDescent="0.25">
      <c r="A3" s="1" t="s">
        <v>63</v>
      </c>
      <c r="B3" s="4">
        <v>2.1</v>
      </c>
    </row>
    <row r="4" spans="1:11" x14ac:dyDescent="0.25">
      <c r="A4" s="1"/>
    </row>
    <row r="5" spans="1:11" x14ac:dyDescent="0.25">
      <c r="A5" s="1" t="s">
        <v>65</v>
      </c>
    </row>
    <row r="6" spans="1:11" x14ac:dyDescent="0.25">
      <c r="A6" s="4" t="s">
        <v>42</v>
      </c>
      <c r="B6" s="4">
        <f>IF(B9&gt;0, B9/B8, 0)</f>
      </c>
    </row>
    <row r="7" spans="1:11" x14ac:dyDescent="0.25">
      <c r="A7" s="4" t="s">
        <v>31</v>
      </c>
      <c r="B7">
        <v>10.00</v>
      </c>
    </row>
    <row r="8" spans="1:11" x14ac:dyDescent="0.25">
      <c r="A8" s="4" t="s">
        <v>43</v>
      </c>
      <c r="B8">
        <v>597.85</v>
      </c>
    </row>
    <row r="9" spans="1:11" x14ac:dyDescent="0.25">
      <c r="A9" s="4" t="s">
        <v>79</v>
      </c>
      <c r="B9">
        <v>490.51</v>
      </c>
    </row>
    <row r="15" spans="1:11" x14ac:dyDescent="0.25">
      <c r="A15" s="1" t="s">
        <v>37</v>
      </c>
    </row>
    <row r="16" spans="1:11" s="23" customFormat="1" x14ac:dyDescent="0.25">
      <c r="A16" s="22" t="s">
        <v>38</v>
      </c>
      <c r="B16" s="15">
        <v>39538.0</v>
      </c>
      <c r="C16" s="15">
        <v>39903.0</v>
      </c>
      <c r="D16" s="15">
        <v>40268.0</v>
      </c>
      <c r="E16" s="15">
        <v>40633.0</v>
      </c>
      <c r="F16" s="15">
        <v>40999.0</v>
      </c>
      <c r="G16" s="15">
        <v>41364.0</v>
      </c>
      <c r="H16" s="15">
        <v>41729.0</v>
      </c>
      <c r="I16" s="15">
        <v>42094.0</v>
      </c>
      <c r="J16" s="15">
        <v>42460.0</v>
      </c>
      <c r="K16" s="15">
        <v>42825.0</v>
      </c>
    </row>
    <row r="17" spans="1:11" s="8" customFormat="1" x14ac:dyDescent="0.25">
      <c r="A17" s="8" t="s">
        <v>6</v>
      </c>
      <c r="B17">
        <v>49.46</v>
      </c>
      <c r="C17">
        <v>54.61</v>
      </c>
      <c r="D17">
        <v>75.91</v>
      </c>
      <c r="E17">
        <v>84.56</v>
      </c>
      <c r="F17">
        <v>51.89</v>
      </c>
      <c r="G17">
        <v>95.83</v>
      </c>
      <c r="H17">
        <v>144.87</v>
      </c>
      <c r="I17">
        <v>199.82</v>
      </c>
      <c r="J17">
        <v>187.71</v>
      </c>
      <c r="K17">
        <v>259.65</v>
      </c>
    </row>
    <row r="18" spans="1:11" s="8" customFormat="1" x14ac:dyDescent="0.25">
      <c r="A18" s="4" t="s">
        <v>80</v>
      </c>
      <c r="B18">
        <v>38.36</v>
      </c>
      <c r="C18">
        <v>45.09</v>
      </c>
      <c r="D18">
        <v>62.84</v>
      </c>
      <c r="E18">
        <v>65.32</v>
      </c>
      <c r="F18">
        <v>36.51</v>
      </c>
      <c r="G18">
        <v>70.05</v>
      </c>
      <c r="H18">
        <v>85.52</v>
      </c>
      <c r="I18">
        <v>121.42</v>
      </c>
      <c r="J18">
        <v>109.13</v>
      </c>
      <c r="K18">
        <v>124.28</v>
      </c>
    </row>
    <row r="19" spans="1:11" s="8" customFormat="1" x14ac:dyDescent="0.25">
      <c r="A19" s="4" t="s">
        <v>81</v>
      </c>
      <c r="B19">
        <v>1.10</v>
      </c>
      <c r="C19">
        <v>-0.77</v>
      </c>
      <c r="D19">
        <v>0.56</v>
      </c>
      <c r="E19">
        <v>4.85</v>
      </c>
      <c r="F19">
        <v>-4.02</v>
      </c>
      <c r="G19">
        <v>-0.54</v>
      </c>
      <c r="H19">
        <v>4.29</v>
      </c>
      <c r="I19">
        <v>-3.15</v>
      </c>
      <c r="J19">
        <v>0.88</v>
      </c>
      <c r="K19">
        <v>0.01</v>
      </c>
    </row>
    <row r="20" spans="1:11" s="8" customFormat="1" x14ac:dyDescent="0.25">
      <c r="A20" s="4" t="s">
        <v>82</v>
      </c>
      <c r="B20">
        <v>2.79</v>
      </c>
      <c r="C20">
        <v>4.22</v>
      </c>
      <c r="D20">
        <v>5.29</v>
      </c>
      <c r="E20">
        <v>8.81</v>
      </c>
      <c r="F20">
        <v>3.86</v>
      </c>
      <c r="G20">
        <v>6.39</v>
      </c>
      <c r="H20">
        <v>10.21</v>
      </c>
      <c r="I20">
        <v>15.29</v>
      </c>
      <c r="J20">
        <v>13.59</v>
      </c>
      <c r="K20">
        <v>14.92</v>
      </c>
    </row>
    <row r="21" spans="1:11" s="8" customFormat="1" x14ac:dyDescent="0.25">
      <c r="A21" s="4" t="s">
        <v>83</v>
      </c>
      <c r="B21">
        <v>3.14</v>
      </c>
      <c r="C21">
        <v>3.73</v>
      </c>
      <c r="D21">
        <v>6.45</v>
      </c>
      <c r="E21">
        <v>3.83</v>
      </c>
      <c r="F21">
        <v>5.41</v>
      </c>
      <c r="G21">
        <v>8.13</v>
      </c>
      <c r="H21">
        <v>12.12</v>
      </c>
      <c r="I21">
        <v>18.93</v>
      </c>
      <c r="J21">
        <v>19.89</v>
      </c>
      <c r="K21">
        <v>22.88</v>
      </c>
    </row>
    <row r="22" spans="1:11" s="8" customFormat="1" x14ac:dyDescent="0.25">
      <c r="A22" s="4" t="s">
        <v>84</v>
      </c>
      <c r="B22">
        <v>0.55</v>
      </c>
      <c r="C22">
        <v>0.74</v>
      </c>
      <c r="D22">
        <v>0.91</v>
      </c>
      <c r="E22">
        <v>1.25</v>
      </c>
      <c r="F22">
        <v>1.40</v>
      </c>
      <c r="G22">
        <v>1.58</v>
      </c>
      <c r="H22">
        <v>1.81</v>
      </c>
      <c r="I22">
        <v>4.35</v>
      </c>
      <c r="J22">
        <v>5.05</v>
      </c>
      <c r="K22">
        <v>5.29</v>
      </c>
    </row>
    <row r="23" spans="1:11" s="8" customFormat="1" x14ac:dyDescent="0.25">
      <c r="A23" s="4" t="s">
        <v>85</v>
      </c>
      <c r="B23">
        <v>1.94</v>
      </c>
      <c r="C23">
        <v>2.61</v>
      </c>
      <c r="D23">
        <v>2.63</v>
      </c>
      <c r="E23">
        <v>3.18</v>
      </c>
      <c r="F23">
        <v>2.39</v>
      </c>
      <c r="G23">
        <v>3.03</v>
      </c>
      <c r="H23">
        <v>6.71</v>
      </c>
      <c r="I23">
        <v>8.96</v>
      </c>
      <c r="J23">
        <v>8.35</v>
      </c>
      <c r="K23">
        <v>12.58</v>
      </c>
    </row>
    <row r="24" spans="1:11" s="8" customFormat="1" x14ac:dyDescent="0.25">
      <c r="A24" s="4" t="s">
        <v>86</v>
      </c>
      <c r="B24">
        <v>3.54</v>
      </c>
      <c r="C24">
        <v>4.21</v>
      </c>
      <c r="D24">
        <v>0.24</v>
      </c>
      <c r="E24">
        <v>4.26</v>
      </c>
      <c r="F24">
        <v>0.11</v>
      </c>
      <c r="G24">
        <v>0.01</v>
      </c>
      <c r="H24">
        <v>1.67</v>
      </c>
      <c r="I24">
        <v>0.43</v>
      </c>
      <c r="J24">
        <v>0.35</v>
      </c>
      <c r="K24">
        <v>0.23</v>
      </c>
    </row>
    <row r="25" spans="1:11" s="8" customFormat="1" x14ac:dyDescent="0.25">
      <c r="A25" s="8" t="s">
        <v>9</v>
      </c>
      <c r="B25">
        <v>2.79</v>
      </c>
      <c r="C25">
        <v>3.31</v>
      </c>
      <c r="D25">
        <v>6.30</v>
      </c>
      <c r="E25">
        <v>5.87</v>
      </c>
      <c r="F25">
        <v>0.07</v>
      </c>
      <c r="G25">
        <v>0.07</v>
      </c>
      <c r="H25">
        <v>0.13</v>
      </c>
      <c r="I25">
        <v>3.39</v>
      </c>
      <c r="J25">
        <v>1.29</v>
      </c>
      <c r="K25">
        <v>5.81</v>
      </c>
    </row>
    <row r="26" spans="1:11" s="8" customFormat="1" x14ac:dyDescent="0.25">
      <c r="A26" s="8" t="s">
        <v>10</v>
      </c>
      <c r="B26">
        <v>0.35</v>
      </c>
      <c r="C26">
        <v>0.76</v>
      </c>
      <c r="D26">
        <v>0.86</v>
      </c>
      <c r="E26">
        <v>0.88</v>
      </c>
      <c r="F26">
        <v>0.92</v>
      </c>
      <c r="G26">
        <v>1.19</v>
      </c>
      <c r="H26">
        <v>1.20</v>
      </c>
      <c r="I26">
        <v>3.91</v>
      </c>
      <c r="J26">
        <v>4.24</v>
      </c>
      <c r="K26">
        <v>4.69</v>
      </c>
    </row>
    <row r="27" spans="1:11" s="8" customFormat="1" x14ac:dyDescent="0.25">
      <c r="A27" s="8" t="s">
        <v>11</v>
      </c>
      <c r="B27">
        <v>0.70</v>
      </c>
      <c r="C27">
        <v>1.10</v>
      </c>
      <c r="D27">
        <v>1.90</v>
      </c>
      <c r="E27">
        <v>1.54</v>
      </c>
      <c r="F27">
        <v>1.58</v>
      </c>
      <c r="G27">
        <v>1.59</v>
      </c>
      <c r="H27">
        <v>1.09</v>
      </c>
      <c r="I27">
        <v>3.25</v>
      </c>
      <c r="J27">
        <v>3.35</v>
      </c>
      <c r="K27">
        <v>3.02</v>
      </c>
    </row>
    <row r="28" spans="1:11" s="8" customFormat="1" x14ac:dyDescent="0.25">
      <c r="A28" s="8" t="s">
        <v>12</v>
      </c>
      <c r="B28">
        <v>1.98</v>
      </c>
      <c r="C28">
        <v>-5.31</v>
      </c>
      <c r="D28">
        <v>1.65</v>
      </c>
      <c r="E28">
        <v>6.21</v>
      </c>
      <c r="F28">
        <v>-4.23</v>
      </c>
      <c r="G28">
        <v>3.38</v>
      </c>
      <c r="H28">
        <v>28.95</v>
      </c>
      <c r="I28">
        <v>23.51</v>
      </c>
      <c r="J28">
        <v>25.93</v>
      </c>
      <c r="K28">
        <v>77.58</v>
      </c>
    </row>
    <row r="29" spans="1:11" s="8" customFormat="1" x14ac:dyDescent="0.25">
      <c r="A29" s="8" t="s">
        <v>13</v>
      </c>
      <c r="B29">
        <v>1.12</v>
      </c>
      <c r="C29">
        <v>-0.21</v>
      </c>
      <c r="D29">
        <v>0.13</v>
      </c>
      <c r="E29">
        <v>-0.16</v>
      </c>
      <c r="F29">
        <v>-0.34</v>
      </c>
      <c r="G29">
        <v>-0.41</v>
      </c>
      <c r="H29">
        <v>8.91</v>
      </c>
      <c r="I29">
        <v>7.51</v>
      </c>
      <c r="J29">
        <v>9.29</v>
      </c>
      <c r="K29">
        <v>25.67</v>
      </c>
    </row>
    <row r="30" spans="1:11" s="8" customFormat="1" x14ac:dyDescent="0.25">
      <c r="A30" s="8" t="s">
        <v>14</v>
      </c>
      <c r="B30">
        <v>0.86</v>
      </c>
      <c r="C30">
        <v>-5.10</v>
      </c>
      <c r="D30">
        <v>1.52</v>
      </c>
      <c r="E30">
        <v>6.37</v>
      </c>
      <c r="F30">
        <v>-3.89</v>
      </c>
      <c r="G30">
        <v>3.79</v>
      </c>
      <c r="H30">
        <v>20.04</v>
      </c>
      <c r="I30">
        <v>16.00</v>
      </c>
      <c r="J30">
        <v>16.64</v>
      </c>
      <c r="K30">
        <v>51.92</v>
      </c>
    </row>
    <row r="31" spans="1:11" s="8" customFormat="1" x14ac:dyDescent="0.25">
      <c r="A31" s="8" t="s">
        <v>70</v>
      </c>
      <c r="G31">
        <v>0.25</v>
      </c>
      <c r="H31">
        <v>2.48</v>
      </c>
      <c r="I31">
        <v>2.56</v>
      </c>
      <c r="J31">
        <v>2.56</v>
      </c>
      <c r="K31">
        <v>2.56</v>
      </c>
    </row>
    <row r="32" spans="1:11" s="8" customFormat="1" x14ac:dyDescent="0.25"/>
    <row r="33" spans="1:11" x14ac:dyDescent="0.25">
      <c r="A33" s="8"/>
    </row>
    <row r="34" spans="1:11" x14ac:dyDescent="0.25">
      <c r="A34" s="8"/>
    </row>
    <row r="35" spans="1:11" x14ac:dyDescent="0.25">
      <c r="A35" s="8"/>
    </row>
    <row r="36" spans="1:11" x14ac:dyDescent="0.25">
      <c r="A36" s="8"/>
    </row>
    <row r="37" spans="1:11" x14ac:dyDescent="0.25">
      <c r="A37" s="8"/>
    </row>
    <row r="38" spans="1:11" x14ac:dyDescent="0.25">
      <c r="A38" s="8"/>
    </row>
    <row r="39" spans="1:11" x14ac:dyDescent="0.25">
      <c r="A39" s="8"/>
    </row>
    <row r="40" spans="1:11" x14ac:dyDescent="0.25">
      <c r="A40" s="1" t="s">
        <v>39</v>
      </c>
    </row>
    <row r="41" spans="1:11" s="23" customFormat="1" x14ac:dyDescent="0.25">
      <c r="A41" s="22" t="s">
        <v>38</v>
      </c>
      <c r="B41" s="15">
        <v>42277.0</v>
      </c>
      <c r="C41" s="15">
        <v>42369.0</v>
      </c>
      <c r="D41" s="15">
        <v>42460.0</v>
      </c>
      <c r="E41" s="15">
        <v>42551.0</v>
      </c>
      <c r="F41" s="15">
        <v>42643.0</v>
      </c>
      <c r="G41" s="15">
        <v>42735.0</v>
      </c>
      <c r="H41" s="15">
        <v>42825.0</v>
      </c>
      <c r="I41" s="15">
        <v>42916.0</v>
      </c>
      <c r="J41" s="15">
        <v>43008.0</v>
      </c>
      <c r="K41" s="15">
        <v>43100.0</v>
      </c>
    </row>
    <row r="42" spans="1:11" s="8" customFormat="1" x14ac:dyDescent="0.25">
      <c r="A42" s="8" t="s">
        <v>6</v>
      </c>
      <c r="B42">
        <v>41.83</v>
      </c>
      <c r="C42">
        <v>49.63</v>
      </c>
      <c r="D42">
        <v>48.47</v>
      </c>
      <c r="E42">
        <v>55.23</v>
      </c>
      <c r="F42">
        <v>83.68</v>
      </c>
      <c r="G42">
        <v>63.53</v>
      </c>
      <c r="H42">
        <v>52.99</v>
      </c>
      <c r="I42">
        <v>63.28</v>
      </c>
      <c r="J42">
        <v>65.62</v>
      </c>
      <c r="K42">
        <v>58.84</v>
      </c>
    </row>
    <row r="43" spans="1:11" s="8" customFormat="1" x14ac:dyDescent="0.25">
      <c r="A43" s="8" t="s">
        <v>7</v>
      </c>
      <c r="B43">
        <v>34.36</v>
      </c>
      <c r="C43">
        <v>39.87</v>
      </c>
      <c r="D43">
        <v>40.39</v>
      </c>
      <c r="E43">
        <v>40.97</v>
      </c>
      <c r="F43">
        <v>52.15</v>
      </c>
      <c r="G43">
        <v>39.58</v>
      </c>
      <c r="H43">
        <v>46.26</v>
      </c>
      <c r="I43">
        <v>51.31</v>
      </c>
      <c r="J43">
        <v>54.46</v>
      </c>
      <c r="K43">
        <v>49.95</v>
      </c>
    </row>
    <row r="44" spans="1:11" s="8" customFormat="1" x14ac:dyDescent="0.25">
      <c r="A44" s="8" t="s">
        <v>9</v>
      </c>
      <c r="B44">
        <v>0.86</v>
      </c>
      <c r="C44">
        <v>0.21</v>
      </c>
      <c r="D44">
        <v>0.07</v>
      </c>
      <c r="E44">
        <v>1.81</v>
      </c>
      <c r="F44">
        <v>4.70</v>
      </c>
      <c r="G44">
        <v>-4.18</v>
      </c>
      <c r="H44">
        <v>4.98</v>
      </c>
      <c r="I44">
        <v>0.64</v>
      </c>
      <c r="J44">
        <v>4.00</v>
      </c>
      <c r="K44">
        <v>2.24</v>
      </c>
    </row>
    <row r="45" spans="1:11" s="8" customFormat="1" x14ac:dyDescent="0.25">
      <c r="A45" s="8" t="s">
        <v>10</v>
      </c>
      <c r="B45">
        <v>1.04</v>
      </c>
      <c r="C45">
        <v>1.06</v>
      </c>
      <c r="D45">
        <v>1.08</v>
      </c>
      <c r="E45">
        <v>1.13</v>
      </c>
      <c r="F45">
        <v>1.15</v>
      </c>
      <c r="G45">
        <v>1.17</v>
      </c>
      <c r="H45">
        <v>1.24</v>
      </c>
      <c r="I45">
        <v>1.28</v>
      </c>
      <c r="J45">
        <v>1.25</v>
      </c>
      <c r="K45">
        <v>1.31</v>
      </c>
    </row>
    <row r="46" spans="1:11" s="8" customFormat="1" x14ac:dyDescent="0.25">
      <c r="A46" s="8" t="s">
        <v>11</v>
      </c>
      <c r="B46">
        <v>0.77</v>
      </c>
      <c r="C46">
        <v>0.85</v>
      </c>
      <c r="D46">
        <v>0.83</v>
      </c>
      <c r="E46">
        <v>0.94</v>
      </c>
      <c r="F46">
        <v>0.73</v>
      </c>
      <c r="G46">
        <v>0.61</v>
      </c>
      <c r="H46">
        <v>0.75</v>
      </c>
      <c r="I46">
        <v>0.70</v>
      </c>
      <c r="J46">
        <v>0.45</v>
      </c>
      <c r="K46">
        <v>0.10</v>
      </c>
    </row>
    <row r="47" spans="1:11" s="8" customFormat="1" x14ac:dyDescent="0.25">
      <c r="A47" s="8" t="s">
        <v>12</v>
      </c>
      <c r="B47">
        <v>6.52</v>
      </c>
      <c r="C47">
        <v>8.06</v>
      </c>
      <c r="D47">
        <v>6.24</v>
      </c>
      <c r="E47">
        <v>13.99</v>
      </c>
      <c r="F47">
        <v>34.35</v>
      </c>
      <c r="G47">
        <v>18.00</v>
      </c>
      <c r="H47">
        <v>9.73</v>
      </c>
      <c r="I47">
        <v>10.63</v>
      </c>
      <c r="J47">
        <v>13.47</v>
      </c>
      <c r="K47">
        <v>9.73</v>
      </c>
    </row>
    <row r="48" spans="1:11" s="8" customFormat="1" x14ac:dyDescent="0.25">
      <c r="A48" s="8" t="s">
        <v>13</v>
      </c>
      <c r="B48">
        <v>2.21</v>
      </c>
      <c r="C48">
        <v>3.00</v>
      </c>
      <c r="D48">
        <v>2.21</v>
      </c>
      <c r="E48">
        <v>4.98</v>
      </c>
      <c r="F48">
        <v>9.16</v>
      </c>
      <c r="G48">
        <v>8.72</v>
      </c>
      <c r="H48">
        <v>2.79</v>
      </c>
      <c r="I48">
        <v>3.45</v>
      </c>
      <c r="J48">
        <v>3.22</v>
      </c>
      <c r="K48">
        <v>1.43</v>
      </c>
    </row>
    <row r="49" spans="1:11" s="8" customFormat="1" x14ac:dyDescent="0.25">
      <c r="A49" s="8" t="s">
        <v>14</v>
      </c>
      <c r="B49">
        <v>4.30</v>
      </c>
      <c r="C49">
        <v>5.07</v>
      </c>
      <c r="D49">
        <v>4.03</v>
      </c>
      <c r="E49">
        <v>9.01</v>
      </c>
      <c r="F49">
        <v>25.19</v>
      </c>
      <c r="G49">
        <v>9.26</v>
      </c>
      <c r="H49">
        <v>6.94</v>
      </c>
      <c r="I49">
        <v>7.18</v>
      </c>
      <c r="J49">
        <v>10.25</v>
      </c>
      <c r="K49">
        <v>8.31</v>
      </c>
    </row>
    <row r="50" spans="1:11" x14ac:dyDescent="0.25">
      <c r="A50" s="8" t="s">
        <v>8</v>
      </c>
      <c r="B50">
        <v>7.47</v>
      </c>
      <c r="C50">
        <v>9.76</v>
      </c>
      <c r="D50">
        <v>8.08</v>
      </c>
      <c r="E50">
        <v>14.26</v>
      </c>
      <c r="F50">
        <v>31.53</v>
      </c>
      <c r="G50">
        <v>23.95</v>
      </c>
      <c r="H50">
        <v>6.73</v>
      </c>
      <c r="I50">
        <v>11.97</v>
      </c>
      <c r="J50">
        <v>11.16</v>
      </c>
      <c r="K50">
        <v>8.89</v>
      </c>
    </row>
    <row r="51" spans="1:11" x14ac:dyDescent="0.25">
      <c r="A51" s="8"/>
    </row>
    <row r="52" spans="1:11" x14ac:dyDescent="0.25">
      <c r="A52" s="8"/>
    </row>
    <row r="53" spans="1:11" x14ac:dyDescent="0.25">
      <c r="A53" s="8"/>
    </row>
    <row r="54" spans="1:11" x14ac:dyDescent="0.25">
      <c r="A54" s="8"/>
    </row>
    <row r="55" spans="1:11" x14ac:dyDescent="0.25">
      <c r="A55" s="1" t="s">
        <v>40</v>
      </c>
    </row>
    <row r="56" spans="1:11" s="23" customFormat="1" x14ac:dyDescent="0.25">
      <c r="A56" s="22" t="s">
        <v>38</v>
      </c>
      <c r="B56" s="15">
        <v>39538.0</v>
      </c>
      <c r="C56" s="15">
        <v>39903.0</v>
      </c>
      <c r="D56" s="15">
        <v>40268.0</v>
      </c>
      <c r="E56" s="15">
        <v>40633.0</v>
      </c>
      <c r="F56" s="15">
        <v>40999.0</v>
      </c>
      <c r="G56" s="15">
        <v>41364.0</v>
      </c>
      <c r="H56" s="15">
        <v>41729.0</v>
      </c>
      <c r="I56" s="15">
        <v>42094.0</v>
      </c>
      <c r="J56" s="15">
        <v>42460.0</v>
      </c>
      <c r="K56" s="15">
        <v>42825.0</v>
      </c>
    </row>
    <row r="57" spans="1:11" x14ac:dyDescent="0.25">
      <c r="A57" s="8" t="s">
        <v>24</v>
      </c>
      <c r="B57">
        <v>3.40</v>
      </c>
      <c r="C57">
        <v>3.40</v>
      </c>
      <c r="D57">
        <v>3.40</v>
      </c>
      <c r="E57">
        <v>3.40</v>
      </c>
      <c r="F57">
        <v>4.95</v>
      </c>
      <c r="G57">
        <v>4.95</v>
      </c>
      <c r="H57">
        <v>4.95</v>
      </c>
      <c r="I57">
        <v>7.31</v>
      </c>
      <c r="J57">
        <v>7.31</v>
      </c>
      <c r="K57">
        <v>7.31</v>
      </c>
    </row>
    <row r="58" spans="1:11" x14ac:dyDescent="0.25">
      <c r="A58" s="8" t="s">
        <v>25</v>
      </c>
      <c r="B58">
        <v>8.28</v>
      </c>
      <c r="C58">
        <v>3.18</v>
      </c>
      <c r="D58">
        <v>4.69</v>
      </c>
      <c r="E58">
        <v>11.07</v>
      </c>
      <c r="F58">
        <v>8.50</v>
      </c>
      <c r="G58">
        <v>12.00</v>
      </c>
      <c r="H58">
        <v>29.14</v>
      </c>
      <c r="I58">
        <v>64.14</v>
      </c>
      <c r="J58">
        <v>77.69</v>
      </c>
      <c r="K58">
        <v>126.53</v>
      </c>
    </row>
    <row r="59" spans="1:11" x14ac:dyDescent="0.25">
      <c r="A59" s="8" t="s">
        <v>71</v>
      </c>
      <c r="B59">
        <v>10.43</v>
      </c>
      <c r="C59">
        <v>19.78</v>
      </c>
      <c r="D59">
        <v>15.34</v>
      </c>
      <c r="E59">
        <v>10.76</v>
      </c>
      <c r="F59">
        <v>14.01</v>
      </c>
      <c r="G59">
        <v>13.96</v>
      </c>
      <c r="H59">
        <v>9.15</v>
      </c>
      <c r="I59">
        <v>23.98</v>
      </c>
      <c r="J59">
        <v>31.08</v>
      </c>
      <c r="K59">
        <v>31.92</v>
      </c>
    </row>
    <row r="60" spans="1:11" x14ac:dyDescent="0.25">
      <c r="A60" s="8" t="s">
        <v>72</v>
      </c>
      <c r="B60">
        <v>11.30</v>
      </c>
      <c r="C60">
        <v>10.49</v>
      </c>
      <c r="D60">
        <v>17.89</v>
      </c>
      <c r="E60">
        <v>19.28</v>
      </c>
      <c r="F60">
        <v>12.26</v>
      </c>
      <c r="G60">
        <v>15.55</v>
      </c>
      <c r="H60">
        <v>27.98</v>
      </c>
      <c r="I60">
        <v>52.66</v>
      </c>
      <c r="J60">
        <v>39.64</v>
      </c>
      <c r="K60">
        <v>45.72</v>
      </c>
    </row>
    <row r="61" spans="1:11" s="1" customFormat="1" x14ac:dyDescent="0.25">
      <c r="A61" s="1" t="s">
        <v>26</v>
      </c>
      <c r="B61">
        <v>33.41</v>
      </c>
      <c r="C61">
        <v>36.85</v>
      </c>
      <c r="D61">
        <v>41.32</v>
      </c>
      <c r="E61">
        <v>44.51</v>
      </c>
      <c r="F61">
        <v>39.72</v>
      </c>
      <c r="G61">
        <v>46.46</v>
      </c>
      <c r="H61">
        <v>71.22</v>
      </c>
      <c r="I61">
        <v>148.09</v>
      </c>
      <c r="J61">
        <v>155.72</v>
      </c>
      <c r="K61">
        <v>211.48</v>
      </c>
    </row>
    <row r="62" spans="1:11" x14ac:dyDescent="0.25">
      <c r="A62" s="8" t="s">
        <v>27</v>
      </c>
      <c r="B62">
        <v>11.00</v>
      </c>
      <c r="C62">
        <v>12.60</v>
      </c>
      <c r="D62">
        <v>12.17</v>
      </c>
      <c r="E62">
        <v>11.79</v>
      </c>
      <c r="F62">
        <v>16.53</v>
      </c>
      <c r="G62">
        <v>15.52</v>
      </c>
      <c r="H62">
        <v>20.63</v>
      </c>
      <c r="I62">
        <v>54.82</v>
      </c>
      <c r="J62">
        <v>56.43</v>
      </c>
      <c r="K62">
        <v>61.86</v>
      </c>
    </row>
    <row r="63" spans="1:11" x14ac:dyDescent="0.25">
      <c r="A63" s="8" t="s">
        <v>28</v>
      </c>
      <c r="E63">
        <v>0.94</v>
      </c>
      <c r="H63">
        <v>0.35</v>
      </c>
      <c r="I63">
        <v>1.85</v>
      </c>
      <c r="J63">
        <v>4.04</v>
      </c>
      <c r="K63">
        <v>8.87</v>
      </c>
    </row>
    <row r="64" spans="1:11" x14ac:dyDescent="0.25">
      <c r="A64" s="8" t="s">
        <v>29</v>
      </c>
      <c r="B64">
        <v>1.04</v>
      </c>
      <c r="C64">
        <v>1.04</v>
      </c>
      <c r="D64">
        <v>1.04</v>
      </c>
      <c r="E64">
        <v>0.06</v>
      </c>
      <c r="F64">
        <v>0.06</v>
      </c>
      <c r="G64">
        <v>0.06</v>
      </c>
      <c r="H64">
        <v>7.69</v>
      </c>
      <c r="I64">
        <v>18.34</v>
      </c>
      <c r="J64">
        <v>22.50</v>
      </c>
      <c r="K64">
        <v>43.20</v>
      </c>
    </row>
    <row r="65" spans="1:11" x14ac:dyDescent="0.25">
      <c r="A65" s="8" t="s">
        <v>73</v>
      </c>
      <c r="B65">
        <v>21.37</v>
      </c>
      <c r="C65">
        <v>23.21</v>
      </c>
      <c r="D65">
        <v>28.11</v>
      </c>
      <c r="E65">
        <v>31.72</v>
      </c>
      <c r="F65">
        <v>23.13</v>
      </c>
      <c r="G65">
        <v>30.88</v>
      </c>
      <c r="H65">
        <v>42.55</v>
      </c>
      <c r="I65">
        <v>73.08</v>
      </c>
      <c r="J65">
        <v>72.75</v>
      </c>
      <c r="K65">
        <v>97.55</v>
      </c>
    </row>
    <row r="66" spans="1:11" s="1" customFormat="1" x14ac:dyDescent="0.25">
      <c r="A66" s="1" t="s">
        <v>26</v>
      </c>
      <c r="B66">
        <v>33.41</v>
      </c>
      <c r="C66">
        <v>36.85</v>
      </c>
      <c r="D66">
        <v>41.32</v>
      </c>
      <c r="E66">
        <v>44.51</v>
      </c>
      <c r="F66">
        <v>39.72</v>
      </c>
      <c r="G66">
        <v>46.46</v>
      </c>
      <c r="H66">
        <v>71.22</v>
      </c>
      <c r="I66">
        <v>148.09</v>
      </c>
      <c r="J66">
        <v>155.72</v>
      </c>
      <c r="K66">
        <v>211.48</v>
      </c>
    </row>
    <row r="67" spans="1:11" s="8" customFormat="1" x14ac:dyDescent="0.25">
      <c r="A67" s="8" t="s">
        <v>78</v>
      </c>
      <c r="B67">
        <v>7.11</v>
      </c>
      <c r="C67">
        <v>9.56</v>
      </c>
      <c r="D67">
        <v>8.84</v>
      </c>
      <c r="E67">
        <v>5.69</v>
      </c>
      <c r="F67">
        <v>7.14</v>
      </c>
      <c r="G67">
        <v>8.21</v>
      </c>
      <c r="H67">
        <v>13.42</v>
      </c>
      <c r="I67">
        <v>21.01</v>
      </c>
      <c r="J67">
        <v>22.79</v>
      </c>
      <c r="K67">
        <v>30.11</v>
      </c>
    </row>
    <row r="68" spans="1:11" x14ac:dyDescent="0.25">
      <c r="A68" s="8" t="s">
        <v>45</v>
      </c>
      <c r="B68">
        <v>3.05</v>
      </c>
      <c r="C68">
        <v>2.96</v>
      </c>
      <c r="D68">
        <v>4.21</v>
      </c>
      <c r="E68">
        <v>9.65</v>
      </c>
      <c r="F68">
        <v>4.65</v>
      </c>
      <c r="G68">
        <v>3.67</v>
      </c>
      <c r="H68">
        <v>10.94</v>
      </c>
      <c r="I68">
        <v>18.15</v>
      </c>
      <c r="J68">
        <v>15.98</v>
      </c>
      <c r="K68">
        <v>18.20</v>
      </c>
    </row>
    <row r="69" spans="1:11" x14ac:dyDescent="0.25">
      <c r="A69" s="4" t="s">
        <v>87</v>
      </c>
      <c r="B69">
        <v>0.46</v>
      </c>
      <c r="C69">
        <v>0.54</v>
      </c>
      <c r="D69">
        <v>0.53</v>
      </c>
      <c r="E69">
        <v>1.70</v>
      </c>
      <c r="F69">
        <v>0.49</v>
      </c>
      <c r="G69">
        <v>0.48</v>
      </c>
      <c r="H69">
        <v>0.68</v>
      </c>
      <c r="I69">
        <v>0.86</v>
      </c>
      <c r="J69">
        <v>0.83</v>
      </c>
      <c r="K69">
        <v>4.28</v>
      </c>
    </row>
    <row r="70" spans="1:11" x14ac:dyDescent="0.25">
      <c r="A70" s="4" t="s">
        <v>74</v>
      </c>
      <c r="B70">
        <v>3402850.00</v>
      </c>
      <c r="C70">
        <v>3402850.00</v>
      </c>
      <c r="D70">
        <v>3402850.00</v>
      </c>
      <c r="E70">
        <v>3402850.00</v>
      </c>
      <c r="F70">
        <v>4952850.00</v>
      </c>
      <c r="G70">
        <v>4952850.00</v>
      </c>
      <c r="H70">
        <v>4952850.00</v>
      </c>
      <c r="I70">
        <v>7312900.00</v>
      </c>
      <c r="J70">
        <v>7312900.00</v>
      </c>
      <c r="K70">
        <v>7312900.00</v>
      </c>
    </row>
    <row r="71" spans="1:11" x14ac:dyDescent="0.25">
      <c r="A71" s="4" t="s">
        <v>75</v>
      </c>
    </row>
    <row r="72" spans="1:11" x14ac:dyDescent="0.25">
      <c r="A72" s="4" t="s">
        <v>88</v>
      </c>
      <c r="B72">
        <v>10.00</v>
      </c>
      <c r="C72">
        <v>10.00</v>
      </c>
      <c r="D72">
        <v>10.00</v>
      </c>
      <c r="E72">
        <v>10.00</v>
      </c>
      <c r="F72">
        <v>10.00</v>
      </c>
      <c r="G72">
        <v>10.00</v>
      </c>
      <c r="H72">
        <v>10.00</v>
      </c>
      <c r="I72">
        <v>10.00</v>
      </c>
      <c r="J72">
        <v>10.00</v>
      </c>
      <c r="K72">
        <v>10.00</v>
      </c>
    </row>
    <row r="74" spans="1:11" x14ac:dyDescent="0.25">
      <c r="A74" s="8"/>
    </row>
    <row r="75" spans="1:11" x14ac:dyDescent="0.25">
      <c r="A75" s="8"/>
    </row>
    <row r="76" spans="1:11" x14ac:dyDescent="0.25">
      <c r="A76" s="8"/>
    </row>
    <row r="77" spans="1:11" x14ac:dyDescent="0.25">
      <c r="A77" s="8"/>
    </row>
    <row r="78" spans="1:11" x14ac:dyDescent="0.25">
      <c r="A78" s="8"/>
    </row>
    <row r="79" spans="1:11" x14ac:dyDescent="0.25">
      <c r="A79" s="8"/>
    </row>
    <row r="80" spans="1:11" x14ac:dyDescent="0.25">
      <c r="A80" s="1" t="s">
        <v>41</v>
      </c>
    </row>
    <row r="81" spans="1:11" s="23" customFormat="1" x14ac:dyDescent="0.25">
      <c r="A81" s="22" t="s">
        <v>38</v>
      </c>
      <c r="B81" s="15">
        <v>39538.0</v>
      </c>
      <c r="C81" s="15">
        <v>39903.0</v>
      </c>
      <c r="D81" s="15">
        <v>40268.0</v>
      </c>
      <c r="E81" s="15">
        <v>40633.0</v>
      </c>
      <c r="F81" s="15">
        <v>40999.0</v>
      </c>
      <c r="G81" s="15">
        <v>41364.0</v>
      </c>
      <c r="H81" s="15">
        <v>41729.0</v>
      </c>
      <c r="I81" s="15">
        <v>42094.0</v>
      </c>
      <c r="J81" s="15">
        <v>42460.0</v>
      </c>
      <c r="K81" s="15">
        <v>42825.0</v>
      </c>
    </row>
    <row r="82" spans="1:11" s="1" customFormat="1" x14ac:dyDescent="0.25">
      <c r="A82" s="8" t="s">
        <v>32</v>
      </c>
      <c r="B82">
        <v>5.13</v>
      </c>
      <c r="C82">
        <v>-7.06</v>
      </c>
      <c r="D82">
        <v>4.32</v>
      </c>
      <c r="E82">
        <v>1.87</v>
      </c>
      <c r="F82">
        <v>-1.07</v>
      </c>
      <c r="G82">
        <v>1.76</v>
      </c>
      <c r="H82">
        <v>22.36</v>
      </c>
      <c r="I82">
        <v>28.20</v>
      </c>
      <c r="J82">
        <v>13.30</v>
      </c>
      <c r="K82">
        <v>38.55</v>
      </c>
    </row>
    <row r="83" spans="1:11" s="8" customFormat="1" x14ac:dyDescent="0.25">
      <c r="A83" s="8" t="s">
        <v>33</v>
      </c>
      <c r="B83">
        <v>-8.50</v>
      </c>
      <c r="C83">
        <v>-2.21</v>
      </c>
      <c r="D83">
        <v>0.11</v>
      </c>
      <c r="E83">
        <v>5.16</v>
      </c>
      <c r="F83">
        <v>-4.68</v>
      </c>
      <c r="G83">
        <v>-0.12</v>
      </c>
      <c r="H83">
        <v>-14.23</v>
      </c>
      <c r="I83">
        <v>-12.96</v>
      </c>
      <c r="J83">
        <v>-10.94</v>
      </c>
      <c r="K83">
        <v>-29.85</v>
      </c>
    </row>
    <row r="84" spans="1:11" s="8" customFormat="1" x14ac:dyDescent="0.25">
      <c r="A84" s="8" t="s">
        <v>34</v>
      </c>
      <c r="B84">
        <v>2.60</v>
      </c>
      <c r="C84">
        <v>9.35</v>
      </c>
      <c r="D84">
        <v>-4.44</v>
      </c>
      <c r="E84">
        <v>-6.12</v>
      </c>
      <c r="F84">
        <v>4.54</v>
      </c>
      <c r="G84">
        <v>-1.65</v>
      </c>
      <c r="H84">
        <v>-7.93</v>
      </c>
      <c r="I84">
        <v>-15.23</v>
      </c>
      <c r="J84">
        <v>-2.40</v>
      </c>
      <c r="K84">
        <v>-5.25</v>
      </c>
    </row>
    <row r="85" spans="1:11" s="1" customFormat="1" x14ac:dyDescent="0.25">
      <c r="A85" s="8" t="s">
        <v>35</v>
      </c>
      <c r="B85">
        <v>-0.77</v>
      </c>
      <c r="C85">
        <v>0.08</v>
      </c>
      <c r="D85">
        <v>-0.01</v>
      </c>
      <c r="E85">
        <v>0.91</v>
      </c>
      <c r="F85">
        <v>-1.21</v>
      </c>
      <c r="G85">
        <v>-0.01</v>
      </c>
      <c r="H85">
        <v>0.20</v>
      </c>
      <c r="I85">
        <v>0.01</v>
      </c>
      <c r="J85">
        <v>-0.03</v>
      </c>
      <c r="K85">
        <v>3.45</v>
      </c>
    </row>
    <row r="86" spans="1:11" x14ac:dyDescent="0.25">
      <c r="A86" s="8"/>
    </row>
    <row r="87" spans="1:11" x14ac:dyDescent="0.25">
      <c r="A87" s="8"/>
    </row>
    <row r="88" spans="1:11" x14ac:dyDescent="0.25">
      <c r="A88" s="8"/>
    </row>
    <row r="89" spans="1:11" x14ac:dyDescent="0.25">
      <c r="A89" s="8"/>
    </row>
    <row r="90" spans="1:11" s="1" customFormat="1" x14ac:dyDescent="0.25">
      <c r="A90" s="1" t="s">
        <v>77</v>
      </c>
      <c r="B90">
        <v>13.18</v>
      </c>
      <c r="C90">
        <v>6.48</v>
      </c>
      <c r="D90">
        <v>19.95</v>
      </c>
      <c r="E90">
        <v>17.13</v>
      </c>
      <c r="F90">
        <v>22.11</v>
      </c>
      <c r="G90">
        <v>27.25</v>
      </c>
      <c r="H90">
        <v>132.88</v>
      </c>
      <c r="I90">
        <v>145.59</v>
      </c>
      <c r="J90">
        <v>221.25</v>
      </c>
      <c r="K90">
        <v>819.85</v>
      </c>
    </row>
    <row r="92" spans="1:11" s="1" customFormat="1" x14ac:dyDescent="0.25">
      <c r="A92" s="1" t="s">
        <v>76</v>
      </c>
    </row>
    <row r="93" spans="1:11" x14ac:dyDescent="0.25">
      <c r="A93" s="4" t="s">
        <v>89</v>
      </c>
      <c r="B93" s="30">
        <f>IF($B7&gt;0,(B70*B72/$B7)+SUM(C71:$K71),0)/10000000</f>
      </c>
      <c r="C93" s="30">
        <f>IF($B7&gt;0,(C70*C72/$B7)+SUM(D71:$K71),0)/10000000</f>
      </c>
      <c r="D93" s="30">
        <f>IF($B7&gt;0,(D70*D72/$B7)+SUM(E71:$K71),0)/10000000</f>
      </c>
      <c r="E93" s="30">
        <f>IF($B7&gt;0,(E70*E72/$B7)+SUM(F71:$K71),0)/10000000</f>
      </c>
      <c r="F93" s="30">
        <f>IF($B7&gt;0,(F70*F72/$B7)+SUM(G71:$K71),0)/10000000</f>
      </c>
      <c r="G93" s="30">
        <f>IF($B7&gt;0,(G70*G72/$B7)+SUM(H71:$K71),0)/10000000</f>
      </c>
      <c r="H93" s="30">
        <f>IF($B7&gt;0,(H70*H72/$B7)+SUM(I71:$K71),0)/10000000</f>
      </c>
      <c r="I93" s="30">
        <f>IF($B7&gt;0,(I70*I72/$B7)+SUM(J71:$K71),0)/10000000</f>
      </c>
      <c r="J93" s="30">
        <f>IF($B7&gt;0,(J70*J72/$B7)+SUM(K71:$K71),0)/10000000</f>
      </c>
      <c r="K93" s="30">
        <f>IF($B7&gt;0,(K70*K72/$B7),0)/10000000</f>
      </c>
    </row>
  </sheetData>
  <mergeCells count="2">
    <mergeCell ref="E1:K1"/>
    <mergeCell ref="E2:K2"/>
  </mergeCells>
  <conditionalFormatting sqref="E1:K1">
    <cfRule type="cellIs" dxfId="0" priority="1" operator="notEqual">
      <formula>""</formula>
    </cfRule>
  </conditionalFormatting>
  <hyperlinks>
    <hyperlink ref="E1:K1" r:id="rId1" display="https://www.screener.in/excel/" xr:uid="{00000000-0004-0000-0500-000000000000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42707-80AC-4A64-83B5-0497A9C25CD7}">
  <dimension ref="A1:AC33"/>
  <sheetViews>
    <sheetView tabSelected="1" zoomScale="50" zoomScaleNormal="50" workbookViewId="0">
      <selection activeCell="L52" sqref="L52"/>
    </sheetView>
  </sheetViews>
  <sheetFormatPr defaultRowHeight="15" x14ac:dyDescent="0.25"/>
  <sheetData>
    <row r="1" spans="1:29" x14ac:dyDescent="0.25">
      <c r="A1" s="98" t="s">
        <v>104</v>
      </c>
    </row>
    <row r="2" spans="1:29" x14ac:dyDescent="0.25">
      <c r="A2" s="98"/>
    </row>
    <row r="3" spans="1:29" ht="61.5" customHeight="1" x14ac:dyDescent="0.25">
      <c r="A3" s="98"/>
      <c r="AC3" s="99" t="s">
        <v>188</v>
      </c>
    </row>
    <row r="4" spans="1:29" x14ac:dyDescent="0.25">
      <c r="A4" s="98"/>
      <c r="AC4" s="99"/>
    </row>
    <row r="5" spans="1:29" x14ac:dyDescent="0.25">
      <c r="A5" s="98"/>
      <c r="AC5" s="99"/>
    </row>
    <row r="6" spans="1:29" x14ac:dyDescent="0.25">
      <c r="A6" s="98"/>
      <c r="AC6" s="99"/>
    </row>
    <row r="7" spans="1:29" x14ac:dyDescent="0.25">
      <c r="A7" s="98"/>
      <c r="AC7" s="99"/>
    </row>
    <row r="8" spans="1:29" x14ac:dyDescent="0.25">
      <c r="A8" s="98"/>
      <c r="AC8" s="99"/>
    </row>
    <row r="9" spans="1:29" x14ac:dyDescent="0.25">
      <c r="A9" s="98"/>
      <c r="AC9" s="99"/>
    </row>
    <row r="10" spans="1:29" x14ac:dyDescent="0.25">
      <c r="A10" s="98"/>
      <c r="AC10" s="99"/>
    </row>
    <row r="11" spans="1:29" x14ac:dyDescent="0.25">
      <c r="A11" s="98"/>
      <c r="AC11" s="99"/>
    </row>
    <row r="12" spans="1:29" x14ac:dyDescent="0.25">
      <c r="A12" s="98"/>
      <c r="AC12" s="99"/>
    </row>
    <row r="13" spans="1:29" x14ac:dyDescent="0.25">
      <c r="A13" s="98"/>
      <c r="AC13" s="99"/>
    </row>
    <row r="14" spans="1:29" x14ac:dyDescent="0.25">
      <c r="A14" s="98"/>
      <c r="AC14" s="99"/>
    </row>
    <row r="15" spans="1:29" x14ac:dyDescent="0.25">
      <c r="A15" s="98"/>
      <c r="AC15" s="99"/>
    </row>
    <row r="16" spans="1:29" x14ac:dyDescent="0.25">
      <c r="A16" s="98"/>
      <c r="AC16" s="99"/>
    </row>
    <row r="17" spans="1:29" x14ac:dyDescent="0.25">
      <c r="A17" s="98"/>
      <c r="AC17" s="99"/>
    </row>
    <row r="18" spans="1:29" x14ac:dyDescent="0.25">
      <c r="A18" s="98"/>
      <c r="AC18" s="99"/>
    </row>
    <row r="19" spans="1:29" x14ac:dyDescent="0.25">
      <c r="A19" s="98"/>
      <c r="V19" s="49"/>
      <c r="AC19" s="99"/>
    </row>
    <row r="20" spans="1:29" x14ac:dyDescent="0.25">
      <c r="A20" s="98"/>
      <c r="AC20" s="99"/>
    </row>
    <row r="21" spans="1:29" x14ac:dyDescent="0.25">
      <c r="A21" s="98"/>
      <c r="AC21" s="99"/>
    </row>
    <row r="22" spans="1:29" x14ac:dyDescent="0.25">
      <c r="A22" s="98"/>
      <c r="AC22" s="99"/>
    </row>
    <row r="23" spans="1:29" x14ac:dyDescent="0.25">
      <c r="A23" s="98"/>
      <c r="AC23" s="99"/>
    </row>
    <row r="24" spans="1:29" x14ac:dyDescent="0.25">
      <c r="A24" s="98"/>
      <c r="AC24" s="99"/>
    </row>
    <row r="25" spans="1:29" x14ac:dyDescent="0.25">
      <c r="A25" s="98"/>
      <c r="AC25" s="99"/>
    </row>
    <row r="26" spans="1:29" x14ac:dyDescent="0.25">
      <c r="A26" s="98"/>
      <c r="AC26" s="99"/>
    </row>
    <row r="27" spans="1:29" x14ac:dyDescent="0.25">
      <c r="A27" s="98"/>
      <c r="AC27" s="99"/>
    </row>
    <row r="28" spans="1:29" x14ac:dyDescent="0.25">
      <c r="A28" s="98"/>
      <c r="AC28" s="99"/>
    </row>
    <row r="29" spans="1:29" x14ac:dyDescent="0.25">
      <c r="A29" s="98"/>
    </row>
    <row r="30" spans="1:29" x14ac:dyDescent="0.25">
      <c r="A30" s="98"/>
    </row>
    <row r="31" spans="1:29" x14ac:dyDescent="0.25">
      <c r="A31" s="98"/>
    </row>
    <row r="32" spans="1:29" x14ac:dyDescent="0.25">
      <c r="A32" s="98"/>
    </row>
    <row r="33" spans="1:1" x14ac:dyDescent="0.25">
      <c r="A33" s="98"/>
    </row>
  </sheetData>
  <sheetProtection sheet="1" objects="1" scenarios="1"/>
  <mergeCells count="2">
    <mergeCell ref="A1:A33"/>
    <mergeCell ref="AC3:AC28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36273-53AA-4AFB-AE12-84369F84D97C}">
  <dimension ref="A1:L35"/>
  <sheetViews>
    <sheetView zoomScale="70" zoomScaleNormal="70" workbookViewId="0">
      <selection activeCell="G35" sqref="G35"/>
    </sheetView>
  </sheetViews>
  <sheetFormatPr defaultRowHeight="15" x14ac:dyDescent="0.25"/>
  <sheetData>
    <row r="1" spans="1:1" x14ac:dyDescent="0.25">
      <c r="A1" s="98" t="s">
        <v>104</v>
      </c>
    </row>
    <row r="2" spans="1:1" x14ac:dyDescent="0.25">
      <c r="A2" s="98"/>
    </row>
    <row r="3" spans="1:1" x14ac:dyDescent="0.25">
      <c r="A3" s="98"/>
    </row>
    <row r="4" spans="1:1" x14ac:dyDescent="0.25">
      <c r="A4" s="98"/>
    </row>
    <row r="5" spans="1:1" x14ac:dyDescent="0.25">
      <c r="A5" s="98"/>
    </row>
    <row r="6" spans="1:1" x14ac:dyDescent="0.25">
      <c r="A6" s="98"/>
    </row>
    <row r="7" spans="1:1" x14ac:dyDescent="0.25">
      <c r="A7" s="98"/>
    </row>
    <row r="8" spans="1:1" x14ac:dyDescent="0.25">
      <c r="A8" s="98"/>
    </row>
    <row r="9" spans="1:1" x14ac:dyDescent="0.25">
      <c r="A9" s="98"/>
    </row>
    <row r="10" spans="1:1" x14ac:dyDescent="0.25">
      <c r="A10" s="98"/>
    </row>
    <row r="11" spans="1:1" x14ac:dyDescent="0.25">
      <c r="A11" s="98"/>
    </row>
    <row r="12" spans="1:1" x14ac:dyDescent="0.25">
      <c r="A12" s="98"/>
    </row>
    <row r="13" spans="1:1" x14ac:dyDescent="0.25">
      <c r="A13" s="98"/>
    </row>
    <row r="14" spans="1:1" x14ac:dyDescent="0.25">
      <c r="A14" s="98"/>
    </row>
    <row r="15" spans="1:1" x14ac:dyDescent="0.25">
      <c r="A15" s="98"/>
    </row>
    <row r="16" spans="1:1" x14ac:dyDescent="0.25">
      <c r="A16" s="98"/>
    </row>
    <row r="17" spans="1:1" x14ac:dyDescent="0.25">
      <c r="A17" s="98"/>
    </row>
    <row r="18" spans="1:1" x14ac:dyDescent="0.25">
      <c r="A18" s="98"/>
    </row>
    <row r="19" spans="1:1" x14ac:dyDescent="0.25">
      <c r="A19" s="98"/>
    </row>
    <row r="20" spans="1:1" x14ac:dyDescent="0.25">
      <c r="A20" s="98"/>
    </row>
    <row r="21" spans="1:1" x14ac:dyDescent="0.25">
      <c r="A21" s="98"/>
    </row>
    <row r="22" spans="1:1" x14ac:dyDescent="0.25">
      <c r="A22" s="98"/>
    </row>
    <row r="23" spans="1:1" x14ac:dyDescent="0.25">
      <c r="A23" s="98"/>
    </row>
    <row r="24" spans="1:1" x14ac:dyDescent="0.25">
      <c r="A24" s="98"/>
    </row>
    <row r="25" spans="1:1" x14ac:dyDescent="0.25">
      <c r="A25" s="98"/>
    </row>
    <row r="26" spans="1:1" x14ac:dyDescent="0.25">
      <c r="A26" s="98"/>
    </row>
    <row r="27" spans="1:1" x14ac:dyDescent="0.25">
      <c r="A27" s="98"/>
    </row>
    <row r="28" spans="1:1" x14ac:dyDescent="0.25">
      <c r="A28" s="98"/>
    </row>
    <row r="29" spans="1:1" x14ac:dyDescent="0.25">
      <c r="A29" s="98"/>
    </row>
    <row r="30" spans="1:1" x14ac:dyDescent="0.25">
      <c r="A30" s="98"/>
    </row>
    <row r="31" spans="1:1" x14ac:dyDescent="0.25">
      <c r="A31" s="98"/>
    </row>
    <row r="32" spans="1:1" x14ac:dyDescent="0.25">
      <c r="A32" s="98"/>
    </row>
    <row r="33" spans="1:12" x14ac:dyDescent="0.25">
      <c r="A33" s="98"/>
      <c r="G33" t="s">
        <v>191</v>
      </c>
    </row>
    <row r="35" spans="1:12" ht="61.5" x14ac:dyDescent="0.9">
      <c r="L35" s="85" t="s">
        <v>188</v>
      </c>
    </row>
  </sheetData>
  <sheetProtection sheet="1" objects="1" scenarios="1"/>
  <mergeCells count="1">
    <mergeCell ref="A1:A33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ABF80-C581-423B-9BD6-C17C6EE09380}">
  <dimension ref="A1:I86"/>
  <sheetViews>
    <sheetView view="pageBreakPreview" zoomScale="70" zoomScaleNormal="100" zoomScaleSheetLayoutView="70" workbookViewId="0">
      <selection activeCell="F13" sqref="F13"/>
    </sheetView>
  </sheetViews>
  <sheetFormatPr defaultRowHeight="15" x14ac:dyDescent="0.25"/>
  <cols>
    <col min="1" max="1" width="28.85546875" style="50" customWidth="1"/>
    <col min="2" max="2" width="26.85546875" style="50" customWidth="1"/>
    <col min="3" max="3" width="23.140625" style="50" bestFit="1" customWidth="1"/>
    <col min="4" max="4" width="15" style="50" customWidth="1"/>
    <col min="5" max="5" width="11.5703125" style="50" customWidth="1"/>
    <col min="6" max="6" width="36.28515625" style="50" customWidth="1"/>
    <col min="7" max="7" width="6" style="50" customWidth="1"/>
  </cols>
  <sheetData>
    <row r="1" spans="1:9" ht="30" customHeight="1" x14ac:dyDescent="0.25">
      <c r="A1" t="s">
        <v>105</v>
      </c>
      <c r="B1" s="103" t="str">
        <f>'Data Sheet'!B1</f>
      </c>
      <c r="C1" s="104"/>
      <c r="D1" s="50" t="s">
        <v>106</v>
      </c>
      <c r="E1" s="82"/>
      <c r="G1"/>
      <c r="H1" s="100" t="s">
        <v>107</v>
      </c>
      <c r="I1" s="98" t="s">
        <v>104</v>
      </c>
    </row>
    <row r="2" spans="1:9" x14ac:dyDescent="0.25">
      <c r="A2" t="s">
        <v>108</v>
      </c>
      <c r="B2" s="82"/>
      <c r="C2"/>
      <c r="D2" t="s">
        <v>109</v>
      </c>
      <c r="E2" s="83">
        <f>2017-E1</f>
      </c>
      <c r="F2"/>
      <c r="G2"/>
      <c r="H2" s="100"/>
      <c r="I2" s="98"/>
    </row>
    <row r="3" spans="1:9" x14ac:dyDescent="0.25">
      <c r="A3" t="s">
        <v>110</v>
      </c>
      <c r="B3">
        <f>'Data Sheet'!B9</f>
      </c>
      <c r="C3" t="str">
        <f>IF(B3&gt;20000,"LARGE CAP",IF(B3&lt;5000,"SMALL CAP","MIDCAP"))</f>
      </c>
      <c r="D3"/>
      <c r="E3"/>
      <c r="F3"/>
      <c r="G3"/>
      <c r="H3" s="100"/>
      <c r="I3" s="98"/>
    </row>
    <row r="4" spans="1:9" x14ac:dyDescent="0.25">
      <c r="A4" t="s">
        <v>111</v>
      </c>
      <c r="B4" s="84"/>
      <c r="C4"/>
      <c r="D4"/>
      <c r="E4"/>
      <c r="F4"/>
      <c r="G4"/>
      <c r="H4" s="100"/>
      <c r="I4" s="98"/>
    </row>
    <row r="5" spans="1:9" x14ac:dyDescent="0.25">
      <c r="A5"/>
      <c r="B5" s="52"/>
      <c r="C5"/>
      <c r="D5"/>
      <c r="E5"/>
      <c r="F5"/>
      <c r="G5"/>
      <c r="H5" s="100"/>
      <c r="I5" s="98"/>
    </row>
    <row r="6" spans="1:9" ht="232.5" customHeight="1" x14ac:dyDescent="0.25">
      <c r="A6" s="105"/>
      <c r="B6" s="105"/>
      <c r="C6" s="105"/>
      <c r="D6" s="105"/>
      <c r="E6" s="105"/>
      <c r="F6" s="105"/>
      <c r="G6" s="53"/>
      <c r="H6" s="100"/>
      <c r="I6" s="98"/>
    </row>
    <row r="7" spans="1:9" x14ac:dyDescent="0.25">
      <c r="A7"/>
      <c r="B7" s="52"/>
      <c r="C7"/>
      <c r="D7"/>
      <c r="E7"/>
      <c r="F7"/>
      <c r="G7"/>
      <c r="I7" s="98"/>
    </row>
    <row r="8" spans="1:9" x14ac:dyDescent="0.25">
      <c r="B8" s="54"/>
      <c r="C8" s="54"/>
      <c r="D8" s="54"/>
      <c r="E8" s="55"/>
      <c r="H8" s="100"/>
      <c r="I8" s="98"/>
    </row>
    <row r="9" spans="1:9" x14ac:dyDescent="0.25">
      <c r="A9" t="s">
        <v>103</v>
      </c>
      <c r="B9" s="56">
        <f>'Data Sheet'!B8</f>
      </c>
      <c r="C9"/>
      <c r="D9"/>
      <c r="E9"/>
      <c r="F9"/>
      <c r="G9"/>
      <c r="H9" s="100"/>
      <c r="I9" s="98"/>
    </row>
    <row r="10" spans="1:9" x14ac:dyDescent="0.25">
      <c r="A10" t="s">
        <v>113</v>
      </c>
      <c r="B10" s="56"/>
      <c r="C10" t="s">
        <v>114</v>
      </c>
      <c r="D10" s="81">
        <f>100/F10</f>
      </c>
      <c r="E10" t="s">
        <v>115</v>
      </c>
      <c r="F10" s="8">
        <f>'Profit &amp; Loss'!L17</f>
      </c>
      <c r="G10"/>
      <c r="H10" s="100"/>
      <c r="I10" s="98"/>
    </row>
    <row r="11" spans="1:9" x14ac:dyDescent="0.25">
      <c r="A11" t="s">
        <v>116</v>
      </c>
      <c r="B11" s="56"/>
      <c r="C11" t="s">
        <v>117</v>
      </c>
      <c r="D11" s="56"/>
      <c r="E11"/>
      <c r="F11"/>
      <c r="G11"/>
      <c r="H11" s="100"/>
      <c r="I11" s="98"/>
    </row>
    <row r="12" spans="1:9" x14ac:dyDescent="0.25">
      <c r="A12" t="s">
        <v>118</v>
      </c>
      <c r="B12" s="56"/>
      <c r="C12" t="s">
        <v>119</v>
      </c>
      <c r="D12" s="56"/>
      <c r="E12"/>
      <c r="F12"/>
      <c r="G12"/>
      <c r="H12" s="100"/>
      <c r="I12" s="98"/>
    </row>
    <row r="13" spans="1:9" x14ac:dyDescent="0.25">
      <c r="A13" t="s">
        <v>120</v>
      </c>
      <c r="B13" s="56"/>
      <c r="C13"/>
      <c r="D13" s="56"/>
      <c r="E13"/>
      <c r="F13"/>
      <c r="G13"/>
      <c r="H13" s="100"/>
      <c r="I13" s="98"/>
    </row>
    <row r="14" spans="1:9" x14ac:dyDescent="0.25">
      <c r="A14"/>
      <c r="B14"/>
      <c r="C14"/>
      <c r="D14"/>
      <c r="E14"/>
      <c r="F14"/>
      <c r="G14"/>
      <c r="I14" s="98"/>
    </row>
    <row r="15" spans="1:9" x14ac:dyDescent="0.25">
      <c r="A15" t="s">
        <v>121</v>
      </c>
      <c r="B15" s="51" t="e">
        <f>B9/B13</f>
      </c>
      <c r="C15"/>
      <c r="D15" s="51"/>
      <c r="E15"/>
      <c r="F15" t="s">
        <v>122</v>
      </c>
      <c r="G15"/>
      <c r="H15" s="100" t="s">
        <v>123</v>
      </c>
      <c r="I15" s="98"/>
    </row>
    <row r="16" spans="1:9" ht="22.5" customHeight="1" x14ac:dyDescent="0.25">
      <c r="A16"/>
      <c r="B16"/>
      <c r="C16"/>
      <c r="D16"/>
      <c r="E16"/>
      <c r="F16"/>
      <c r="G16"/>
      <c r="H16" s="100"/>
      <c r="I16" s="98"/>
    </row>
    <row r="17" spans="1:9" x14ac:dyDescent="0.25">
      <c r="A17"/>
      <c r="B17"/>
      <c r="C17"/>
      <c r="D17"/>
      <c r="E17"/>
      <c r="F17"/>
      <c r="G17"/>
      <c r="I17" s="98"/>
    </row>
    <row r="18" spans="1:9" ht="15" customHeight="1" x14ac:dyDescent="0.25">
      <c r="A18" s="58" t="s">
        <v>124</v>
      </c>
      <c r="B18" s="58" t="s">
        <v>125</v>
      </c>
      <c r="C18" s="58" t="s">
        <v>126</v>
      </c>
      <c r="D18"/>
      <c r="E18"/>
      <c r="F18"/>
      <c r="G18"/>
      <c r="H18" s="100" t="s">
        <v>127</v>
      </c>
      <c r="I18" s="98"/>
    </row>
    <row r="19" spans="1:9" x14ac:dyDescent="0.25">
      <c r="A19" t="s">
        <v>128</v>
      </c>
      <c r="B19"/>
      <c r="C19"/>
      <c r="D19"/>
      <c r="E19"/>
      <c r="F19"/>
      <c r="G19"/>
      <c r="H19" s="100"/>
      <c r="I19" s="98"/>
    </row>
    <row r="20" spans="1:9" x14ac:dyDescent="0.25">
      <c r="A20" t="s">
        <v>129</v>
      </c>
      <c r="B20"/>
      <c r="C20"/>
      <c r="D20"/>
      <c r="E20"/>
      <c r="F20"/>
      <c r="G20"/>
      <c r="H20" s="100"/>
      <c r="I20" s="98"/>
    </row>
    <row r="21" spans="1:9" x14ac:dyDescent="0.25">
      <c r="A21" t="s">
        <v>116</v>
      </c>
      <c r="B21"/>
      <c r="C21"/>
      <c r="D21"/>
      <c r="E21"/>
      <c r="F21"/>
      <c r="G21"/>
      <c r="H21" s="100"/>
      <c r="I21" s="98"/>
    </row>
    <row r="22" spans="1:9" x14ac:dyDescent="0.25">
      <c r="A22" t="s">
        <v>130</v>
      </c>
      <c r="B22"/>
      <c r="C22"/>
      <c r="D22"/>
      <c r="E22"/>
      <c r="F22"/>
      <c r="G22"/>
      <c r="H22" s="100"/>
      <c r="I22" s="98"/>
    </row>
    <row r="23" spans="1:9" x14ac:dyDescent="0.25">
      <c r="A23" t="s">
        <v>131</v>
      </c>
      <c r="B23"/>
      <c r="C23"/>
      <c r="D23"/>
      <c r="E23"/>
      <c r="F23"/>
      <c r="G23"/>
      <c r="H23" s="100"/>
      <c r="I23" s="98"/>
    </row>
    <row r="24" spans="1:9" x14ac:dyDescent="0.25">
      <c r="A24" t="s">
        <v>119</v>
      </c>
      <c r="B24"/>
      <c r="C24"/>
      <c r="D24"/>
      <c r="E24"/>
      <c r="F24"/>
      <c r="G24"/>
      <c r="H24" s="100"/>
      <c r="I24" s="98"/>
    </row>
    <row r="25" spans="1:9" x14ac:dyDescent="0.25">
      <c r="A25" t="s">
        <v>132</v>
      </c>
      <c r="B25"/>
      <c r="C25"/>
      <c r="D25"/>
      <c r="E25"/>
      <c r="F25"/>
      <c r="G25"/>
      <c r="H25" s="100"/>
      <c r="I25" s="98"/>
    </row>
    <row r="26" spans="1:9" x14ac:dyDescent="0.25">
      <c r="A26" t="s">
        <v>133</v>
      </c>
      <c r="B26"/>
      <c r="C26"/>
      <c r="D26"/>
      <c r="E26"/>
      <c r="F26"/>
      <c r="G26"/>
      <c r="H26" s="100"/>
      <c r="I26" s="98"/>
    </row>
    <row r="27" spans="1:9" x14ac:dyDescent="0.25">
      <c r="A27"/>
      <c r="B27"/>
      <c r="C27"/>
      <c r="D27"/>
      <c r="E27"/>
      <c r="F27"/>
      <c r="G27"/>
      <c r="H27" s="100"/>
      <c r="I27" s="98"/>
    </row>
    <row r="28" spans="1:9" x14ac:dyDescent="0.25">
      <c r="A28" t="s">
        <v>134</v>
      </c>
      <c r="B28" s="59"/>
      <c r="C28" t="s">
        <v>135</v>
      </c>
      <c r="D28"/>
      <c r="E28"/>
      <c r="F28"/>
      <c r="G28"/>
      <c r="H28" s="100"/>
      <c r="I28" s="98"/>
    </row>
    <row r="29" spans="1:9" x14ac:dyDescent="0.25">
      <c r="A29" s="58" t="s">
        <v>136</v>
      </c>
      <c r="B29" s="60" t="s">
        <v>137</v>
      </c>
      <c r="C29" s="58" t="s">
        <v>138</v>
      </c>
      <c r="D29" s="60" t="s">
        <v>139</v>
      </c>
      <c r="E29" s="58" t="s">
        <v>126</v>
      </c>
      <c r="F29" s="58"/>
      <c r="G29"/>
      <c r="H29" s="100"/>
      <c r="I29" s="98"/>
    </row>
    <row r="30" spans="1:9" x14ac:dyDescent="0.25">
      <c r="A30" s="61" t="s">
        <v>140</v>
      </c>
      <c r="B30" s="59"/>
      <c r="C30"/>
      <c r="D30" s="62" t="e">
        <f>B30/$B$28</f>
      </c>
      <c r="E30"/>
      <c r="F30"/>
      <c r="G30"/>
      <c r="H30" s="100"/>
      <c r="I30" s="98"/>
    </row>
    <row r="31" spans="1:9" x14ac:dyDescent="0.25">
      <c r="A31" s="61" t="s">
        <v>141</v>
      </c>
      <c r="B31" s="59"/>
      <c r="C31"/>
      <c r="D31" s="62" t="e">
        <f>B31/$B$28</f>
      </c>
      <c r="E31"/>
      <c r="F31"/>
      <c r="G31"/>
      <c r="H31" s="100"/>
      <c r="I31" s="98"/>
    </row>
    <row r="32" spans="1:9" x14ac:dyDescent="0.25">
      <c r="A32" s="61" t="s">
        <v>142</v>
      </c>
      <c r="B32" s="59"/>
      <c r="C32"/>
      <c r="D32" s="62" t="e">
        <f>B32/$B$28</f>
      </c>
      <c r="E32"/>
      <c r="F32"/>
      <c r="G32"/>
      <c r="H32" s="100"/>
      <c r="I32" s="98"/>
    </row>
    <row r="33" spans="1:9" x14ac:dyDescent="0.25">
      <c r="A33" s="61" t="s">
        <v>143</v>
      </c>
      <c r="B33" s="59"/>
      <c r="C33"/>
      <c r="D33" s="62" t="e">
        <f>B33/$B$28</f>
      </c>
      <c r="E33"/>
      <c r="F33"/>
      <c r="G33"/>
      <c r="H33" s="100"/>
      <c r="I33" s="98"/>
    </row>
    <row r="34" spans="1:9" x14ac:dyDescent="0.25">
      <c r="A34" s="61" t="s">
        <v>144</v>
      </c>
      <c r="B34" s="63"/>
      <c r="C34" s="64"/>
      <c r="D34" s="59"/>
      <c r="E34"/>
      <c r="F34"/>
      <c r="G34"/>
      <c r="H34" s="100"/>
      <c r="I34" s="98"/>
    </row>
    <row r="35" spans="1:9" x14ac:dyDescent="0.25">
      <c r="A35" s="61"/>
      <c r="B35"/>
      <c r="C35"/>
      <c r="D35"/>
      <c r="E35"/>
      <c r="F35"/>
      <c r="G35"/>
      <c r="H35" s="100"/>
      <c r="I35" s="98"/>
    </row>
    <row r="36" spans="1:9" ht="30" x14ac:dyDescent="0.25">
      <c r="A36" s="65" t="s">
        <v>145</v>
      </c>
      <c r="B36" s="58" t="s">
        <v>139</v>
      </c>
      <c r="C36" s="66" t="s">
        <v>146</v>
      </c>
      <c r="D36" s="66" t="s">
        <v>112</v>
      </c>
      <c r="E36" s="66" t="s">
        <v>147</v>
      </c>
      <c r="F36" s="66" t="s">
        <v>148</v>
      </c>
      <c r="G36"/>
      <c r="H36" s="100"/>
      <c r="I36" s="98"/>
    </row>
    <row r="37" spans="1:9" x14ac:dyDescent="0.25">
      <c r="A37" s="61" t="s">
        <v>149</v>
      </c>
      <c r="B37"/>
      <c r="C37" s="67"/>
      <c r="D37"/>
      <c r="E37"/>
      <c r="F37"/>
      <c r="H37" s="100"/>
      <c r="I37" s="98"/>
    </row>
    <row r="38" spans="1:9" x14ac:dyDescent="0.25">
      <c r="A38" s="61" t="s">
        <v>150</v>
      </c>
      <c r="B38"/>
      <c r="C38" s="67"/>
      <c r="D38"/>
      <c r="E38"/>
      <c r="F38"/>
      <c r="G38"/>
      <c r="H38" s="100"/>
      <c r="I38" s="98"/>
    </row>
    <row r="39" spans="1:9" x14ac:dyDescent="0.25">
      <c r="A39" s="61" t="s">
        <v>151</v>
      </c>
      <c r="B39"/>
      <c r="C39" s="67"/>
      <c r="D39"/>
      <c r="E39"/>
      <c r="F39"/>
      <c r="G39"/>
      <c r="H39" s="100"/>
      <c r="I39" s="98"/>
    </row>
    <row r="40" spans="1:9" x14ac:dyDescent="0.25">
      <c r="A40" s="61" t="s">
        <v>152</v>
      </c>
      <c r="B40"/>
      <c r="C40" s="67"/>
      <c r="D40"/>
      <c r="E40"/>
      <c r="F40"/>
      <c r="G40"/>
      <c r="H40" s="100"/>
      <c r="I40" s="98"/>
    </row>
    <row r="41" spans="1:9" x14ac:dyDescent="0.25">
      <c r="A41" s="61" t="s">
        <v>153</v>
      </c>
      <c r="B41"/>
      <c r="C41" s="67"/>
      <c r="D41"/>
      <c r="E41"/>
      <c r="F41"/>
      <c r="G41"/>
      <c r="H41" s="100"/>
      <c r="I41" s="98"/>
    </row>
    <row r="42" spans="1:9" x14ac:dyDescent="0.25">
      <c r="A42" s="61" t="s">
        <v>154</v>
      </c>
      <c r="B42"/>
      <c r="C42" s="67"/>
      <c r="D42"/>
      <c r="E42"/>
      <c r="F42"/>
      <c r="G42"/>
      <c r="H42" s="100"/>
      <c r="I42" s="98"/>
    </row>
    <row r="43" spans="1:9" x14ac:dyDescent="0.25">
      <c r="A43"/>
      <c r="B43"/>
      <c r="C43"/>
      <c r="D43"/>
      <c r="E43"/>
      <c r="F43"/>
      <c r="G43"/>
      <c r="H43" s="100"/>
      <c r="I43" s="98"/>
    </row>
    <row r="44" spans="1:9" ht="29.25" customHeight="1" x14ac:dyDescent="0.25">
      <c r="A44" s="61"/>
      <c r="B44"/>
      <c r="C44"/>
      <c r="D44"/>
      <c r="E44"/>
      <c r="F44"/>
      <c r="G44"/>
      <c r="H44" s="100"/>
      <c r="I44" s="98" t="s">
        <v>104</v>
      </c>
    </row>
    <row r="45" spans="1:9" x14ac:dyDescent="0.25">
      <c r="C45" s="67"/>
      <c r="D45" s="67"/>
      <c r="E45"/>
      <c r="F45"/>
      <c r="G45"/>
      <c r="I45" s="98"/>
    </row>
    <row r="46" spans="1:9" x14ac:dyDescent="0.25">
      <c r="C46"/>
      <c r="D46"/>
      <c r="E46" s="68"/>
      <c r="F46"/>
      <c r="G46"/>
      <c r="H46" s="100" t="s">
        <v>155</v>
      </c>
      <c r="I46" s="98"/>
    </row>
    <row r="47" spans="1:9" x14ac:dyDescent="0.25">
      <c r="C47"/>
      <c r="D47"/>
      <c r="E47"/>
      <c r="F47"/>
      <c r="G47"/>
      <c r="H47" s="100"/>
      <c r="I47" s="98"/>
    </row>
    <row r="48" spans="1:9" x14ac:dyDescent="0.25">
      <c r="A48"/>
      <c r="B48"/>
      <c r="C48"/>
      <c r="D48"/>
      <c r="E48"/>
      <c r="F48"/>
      <c r="G48"/>
      <c r="H48" s="100"/>
      <c r="I48" s="98"/>
    </row>
    <row r="49" spans="1:9" x14ac:dyDescent="0.25">
      <c r="A49"/>
      <c r="B49"/>
      <c r="C49"/>
      <c r="D49"/>
      <c r="E49"/>
      <c r="F49"/>
      <c r="G49"/>
      <c r="H49" s="100"/>
      <c r="I49" s="98"/>
    </row>
    <row r="50" spans="1:9" x14ac:dyDescent="0.25">
      <c r="A50"/>
      <c r="B50"/>
      <c r="C50"/>
      <c r="D50"/>
      <c r="E50"/>
      <c r="F50"/>
      <c r="G50"/>
      <c r="H50" s="100"/>
      <c r="I50" s="98"/>
    </row>
    <row r="51" spans="1:9" x14ac:dyDescent="0.25">
      <c r="G51"/>
      <c r="I51" s="98"/>
    </row>
    <row r="52" spans="1:9" ht="15.75" x14ac:dyDescent="0.25">
      <c r="A52" s="101" t="s">
        <v>156</v>
      </c>
      <c r="B52" s="101"/>
      <c r="C52" s="101" t="s">
        <v>157</v>
      </c>
      <c r="D52" s="101"/>
      <c r="E52" s="101"/>
      <c r="F52" s="101"/>
      <c r="G52"/>
      <c r="H52" s="100" t="s">
        <v>158</v>
      </c>
      <c r="I52" s="98"/>
    </row>
    <row r="53" spans="1:9" x14ac:dyDescent="0.25">
      <c r="A53" s="69" t="s">
        <v>136</v>
      </c>
      <c r="B53" s="69" t="s">
        <v>159</v>
      </c>
      <c r="C53" s="70" t="s">
        <v>160</v>
      </c>
      <c r="D53" s="70" t="s">
        <v>161</v>
      </c>
      <c r="E53" s="70" t="s">
        <v>162</v>
      </c>
      <c r="F53" s="70" t="s">
        <v>163</v>
      </c>
      <c r="G53"/>
      <c r="H53" s="100"/>
      <c r="I53" s="98"/>
    </row>
    <row r="54" spans="1:9" x14ac:dyDescent="0.25">
      <c r="A54" s="69" t="s">
        <v>103</v>
      </c>
      <c r="B54" s="69">
        <v>739.45</v>
      </c>
      <c r="C54" s="70"/>
      <c r="D54" s="70"/>
      <c r="E54" s="70"/>
      <c r="F54" s="70"/>
      <c r="G54"/>
      <c r="H54" s="100"/>
      <c r="I54" s="98"/>
    </row>
    <row r="55" spans="1:9" x14ac:dyDescent="0.25">
      <c r="A55" s="71" t="s">
        <v>164</v>
      </c>
      <c r="B55" s="72">
        <v>758</v>
      </c>
      <c r="C55" s="73"/>
      <c r="D55" s="70"/>
      <c r="E55" s="70"/>
      <c r="F55" s="70"/>
      <c r="G55"/>
      <c r="H55" s="100"/>
      <c r="I55" s="98"/>
    </row>
    <row r="56" spans="1:9" x14ac:dyDescent="0.25">
      <c r="A56" s="71" t="s">
        <v>165</v>
      </c>
      <c r="B56" s="72">
        <v>767</v>
      </c>
      <c r="C56" s="73"/>
      <c r="D56" s="70"/>
      <c r="E56" s="70"/>
      <c r="F56" s="70"/>
      <c r="G56"/>
      <c r="H56" s="100"/>
      <c r="I56" s="98"/>
    </row>
    <row r="57" spans="1:9" x14ac:dyDescent="0.25">
      <c r="A57" s="71" t="s">
        <v>166</v>
      </c>
      <c r="B57" s="72">
        <v>742</v>
      </c>
      <c r="C57" s="73"/>
      <c r="D57" s="70"/>
      <c r="E57" s="70"/>
      <c r="F57" s="70"/>
      <c r="G57"/>
      <c r="H57" s="100"/>
      <c r="I57" s="98"/>
    </row>
    <row r="58" spans="1:9" x14ac:dyDescent="0.25">
      <c r="A58" s="71" t="s">
        <v>167</v>
      </c>
      <c r="B58" s="71">
        <v>43</v>
      </c>
      <c r="C58" s="70"/>
      <c r="D58" s="70"/>
      <c r="E58" s="70"/>
      <c r="F58" s="70"/>
      <c r="G58"/>
      <c r="H58" s="100"/>
      <c r="I58" s="98"/>
    </row>
    <row r="59" spans="1:9" x14ac:dyDescent="0.25">
      <c r="A59" s="71" t="s">
        <v>168</v>
      </c>
      <c r="B59" s="71">
        <v>19.100000000000001</v>
      </c>
      <c r="C59" s="70"/>
      <c r="D59" s="70"/>
      <c r="E59" s="70"/>
      <c r="F59" s="70"/>
      <c r="G59"/>
      <c r="H59" s="100"/>
      <c r="I59" s="98"/>
    </row>
    <row r="60" spans="1:9" x14ac:dyDescent="0.25">
      <c r="A60" s="71" t="s">
        <v>169</v>
      </c>
      <c r="B60" s="71" t="s">
        <v>170</v>
      </c>
      <c r="C60" s="70"/>
      <c r="D60" s="70"/>
      <c r="E60" s="70"/>
      <c r="F60" s="70"/>
      <c r="G60"/>
      <c r="H60" s="57"/>
      <c r="I60" s="98"/>
    </row>
    <row r="61" spans="1:9" x14ac:dyDescent="0.25">
      <c r="A61"/>
      <c r="B61"/>
      <c r="C61"/>
      <c r="D61"/>
      <c r="E61"/>
      <c r="F61"/>
      <c r="G61"/>
      <c r="I61" s="98"/>
    </row>
    <row r="62" spans="1:9" x14ac:dyDescent="0.25">
      <c r="A62" s="58" t="s">
        <v>171</v>
      </c>
      <c r="B62" s="58"/>
      <c r="C62" s="58" t="s">
        <v>172</v>
      </c>
      <c r="D62"/>
      <c r="E62"/>
      <c r="F62"/>
      <c r="G62"/>
      <c r="H62" s="100" t="s">
        <v>173</v>
      </c>
      <c r="I62" s="98"/>
    </row>
    <row r="63" spans="1:9" x14ac:dyDescent="0.25">
      <c r="A63" s="102"/>
      <c r="B63" s="102"/>
      <c r="C63"/>
      <c r="D63"/>
      <c r="E63"/>
      <c r="F63"/>
      <c r="G63"/>
      <c r="H63" s="100"/>
      <c r="I63" s="98"/>
    </row>
    <row r="64" spans="1:9" x14ac:dyDescent="0.25">
      <c r="A64" s="102"/>
      <c r="B64" s="102"/>
      <c r="C64"/>
      <c r="D64"/>
      <c r="E64"/>
      <c r="F64"/>
      <c r="G64"/>
      <c r="H64" s="100"/>
      <c r="I64" s="98"/>
    </row>
    <row r="65" spans="1:9" ht="33" customHeight="1" x14ac:dyDescent="0.25">
      <c r="A65" s="102"/>
      <c r="B65" s="102"/>
      <c r="C65"/>
      <c r="D65"/>
      <c r="E65"/>
      <c r="F65"/>
      <c r="G65"/>
      <c r="H65" s="100"/>
      <c r="I65" s="98"/>
    </row>
    <row r="66" spans="1:9" x14ac:dyDescent="0.25">
      <c r="A66"/>
      <c r="B66"/>
      <c r="C66"/>
      <c r="D66"/>
      <c r="E66"/>
      <c r="F66"/>
      <c r="G66"/>
      <c r="H66" s="100"/>
      <c r="I66" s="98"/>
    </row>
    <row r="67" spans="1:9" x14ac:dyDescent="0.25">
      <c r="A67"/>
      <c r="B67"/>
      <c r="C67"/>
      <c r="D67"/>
      <c r="E67"/>
      <c r="F67"/>
      <c r="G67"/>
      <c r="H67" s="100"/>
      <c r="I67" s="98"/>
    </row>
    <row r="68" spans="1:9" x14ac:dyDescent="0.25">
      <c r="D68"/>
      <c r="E68"/>
      <c r="F68"/>
      <c r="G68"/>
      <c r="H68" s="100"/>
      <c r="I68" s="98"/>
    </row>
    <row r="69" spans="1:9" x14ac:dyDescent="0.25">
      <c r="D69"/>
      <c r="E69"/>
      <c r="F69"/>
      <c r="G69"/>
      <c r="H69" s="100"/>
      <c r="I69" s="98"/>
    </row>
    <row r="70" spans="1:9" x14ac:dyDescent="0.25">
      <c r="D70" s="54"/>
      <c r="E70" s="55"/>
      <c r="I70" s="98"/>
    </row>
    <row r="71" spans="1:9" x14ac:dyDescent="0.25">
      <c r="B71" s="54"/>
      <c r="C71" s="54"/>
      <c r="D71" s="54"/>
      <c r="E71" s="55"/>
      <c r="I71" s="98"/>
    </row>
    <row r="72" spans="1:9" x14ac:dyDescent="0.25">
      <c r="A72" t="s">
        <v>174</v>
      </c>
      <c r="B72"/>
      <c r="C72"/>
      <c r="D72" s="54"/>
      <c r="E72" s="55"/>
      <c r="H72" s="100" t="s">
        <v>175</v>
      </c>
      <c r="I72" s="98"/>
    </row>
    <row r="73" spans="1:9" x14ac:dyDescent="0.25">
      <c r="A73" t="s">
        <v>176</v>
      </c>
      <c r="B73"/>
      <c r="C73"/>
      <c r="D73" s="54"/>
      <c r="E73" s="55"/>
      <c r="H73" s="100"/>
      <c r="I73" s="98"/>
    </row>
    <row r="74" spans="1:9" x14ac:dyDescent="0.25">
      <c r="A74"/>
      <c r="B74"/>
      <c r="C74"/>
      <c r="D74" s="54"/>
      <c r="E74" s="55"/>
      <c r="H74" s="100"/>
      <c r="I74" s="98"/>
    </row>
    <row r="75" spans="1:9" ht="15.75" x14ac:dyDescent="0.25">
      <c r="A75" s="74" t="s">
        <v>177</v>
      </c>
      <c r="B75" s="75" t="s">
        <v>178</v>
      </c>
      <c r="C75" s="75" t="s">
        <v>179</v>
      </c>
      <c r="D75" s="54"/>
      <c r="E75" s="55"/>
      <c r="H75" s="100"/>
      <c r="I75" s="98"/>
    </row>
    <row r="76" spans="1:9" ht="15" customHeight="1" x14ac:dyDescent="0.25">
      <c r="A76" s="76" t="s">
        <v>103</v>
      </c>
      <c r="B76" s="77"/>
      <c r="C76" s="78"/>
      <c r="D76" s="54"/>
      <c r="E76" s="55"/>
      <c r="H76" s="100"/>
      <c r="I76" s="98"/>
    </row>
    <row r="77" spans="1:9" x14ac:dyDescent="0.25">
      <c r="A77" s="76" t="s">
        <v>180</v>
      </c>
      <c r="B77" s="77"/>
      <c r="C77" s="78"/>
      <c r="E77" s="55"/>
      <c r="H77" s="100"/>
      <c r="I77" s="98"/>
    </row>
    <row r="78" spans="1:9" x14ac:dyDescent="0.25">
      <c r="A78" s="76" t="s">
        <v>181</v>
      </c>
      <c r="B78" s="77">
        <f>B76-(B77*2)</f>
      </c>
      <c r="C78" s="78"/>
      <c r="H78" s="100"/>
      <c r="I78" s="98"/>
    </row>
    <row r="79" spans="1:9" x14ac:dyDescent="0.25">
      <c r="A79" s="76" t="s">
        <v>182</v>
      </c>
      <c r="B79" s="77">
        <v>2500</v>
      </c>
      <c r="C79" s="78"/>
      <c r="H79" s="100"/>
      <c r="I79" s="98"/>
    </row>
    <row r="80" spans="1:9" x14ac:dyDescent="0.25">
      <c r="A80" s="76" t="s">
        <v>183</v>
      </c>
      <c r="B80" s="79" t="e">
        <f>B79/(B77*2)</f>
      </c>
      <c r="C80" s="78"/>
      <c r="H80" s="100"/>
      <c r="I80" s="98"/>
    </row>
    <row r="81" spans="1:9" x14ac:dyDescent="0.25">
      <c r="A81" s="76" t="s">
        <v>184</v>
      </c>
      <c r="B81" s="79" t="e">
        <f>B80*B76</f>
      </c>
      <c r="C81" s="78">
        <f>C80*C76</f>
      </c>
      <c r="H81" s="100"/>
      <c r="I81" s="98"/>
    </row>
    <row r="82" spans="1:9" x14ac:dyDescent="0.25">
      <c r="B82" s="54"/>
      <c r="C82" s="54"/>
      <c r="D82" s="54"/>
      <c r="E82" s="55"/>
      <c r="I82" s="98"/>
    </row>
    <row r="83" spans="1:9" ht="31.5" customHeight="1" x14ac:dyDescent="0.25">
      <c r="A83" s="80" t="s">
        <v>185</v>
      </c>
      <c r="B83" s="106" t="s">
        <v>186</v>
      </c>
      <c r="C83" s="106"/>
      <c r="D83" s="106"/>
      <c r="E83" s="106"/>
      <c r="F83" s="106"/>
      <c r="I83" s="98"/>
    </row>
    <row r="84" spans="1:9" x14ac:dyDescent="0.25">
      <c r="A84"/>
      <c r="B84"/>
      <c r="C84"/>
      <c r="D84"/>
      <c r="E84"/>
      <c r="F84"/>
      <c r="G84"/>
      <c r="I84" s="98"/>
    </row>
    <row r="85" spans="1:9" x14ac:dyDescent="0.25">
      <c r="I85" s="98"/>
    </row>
    <row r="86" spans="1:9" x14ac:dyDescent="0.25">
      <c r="I86" s="98"/>
    </row>
  </sheetData>
  <mergeCells count="18">
    <mergeCell ref="H72:H81"/>
    <mergeCell ref="B83:F83"/>
    <mergeCell ref="I1:I43"/>
    <mergeCell ref="I44:I86"/>
    <mergeCell ref="H46:H50"/>
    <mergeCell ref="A52:B52"/>
    <mergeCell ref="C52:F52"/>
    <mergeCell ref="H52:H59"/>
    <mergeCell ref="H62:H69"/>
    <mergeCell ref="A63:B63"/>
    <mergeCell ref="A64:B64"/>
    <mergeCell ref="A65:B65"/>
    <mergeCell ref="B1:C1"/>
    <mergeCell ref="H1:H6"/>
    <mergeCell ref="A6:F6"/>
    <mergeCell ref="H8:H13"/>
    <mergeCell ref="H15:H16"/>
    <mergeCell ref="H18:H44"/>
  </mergeCells>
  <pageMargins left="0.7" right="0.7" top="0.75" bottom="0.75" header="0.3" footer="0.3"/>
  <pageSetup scale="5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36"/>
  <sheetViews>
    <sheetView zoomScale="70" zoomScaleNormal="70" zoomScaleSheetLayoutView="100" workbookViewId="0">
      <pane xSplit="1" ySplit="4" topLeftCell="B5" activePane="bottomRight" state="frozen"/>
      <selection activeCell="Q21" sqref="Q21"/>
      <selection pane="topRight" activeCell="Q21" sqref="Q21"/>
      <selection pane="bottomLeft" activeCell="Q21" sqref="Q21"/>
      <selection pane="bottomRight" activeCell="K30" sqref="K30"/>
    </sheetView>
  </sheetViews>
  <sheetFormatPr defaultColWidth="9.140625" defaultRowHeight="15" x14ac:dyDescent="0.25"/>
  <cols>
    <col min="1" max="1" width="20.7109375" style="5" customWidth="1"/>
    <col min="2" max="6" width="13.5703125" style="5" customWidth="1"/>
    <col min="7" max="7" width="14.85546875" style="5" bestFit="1" customWidth="1"/>
    <col min="8" max="10" width="13.5703125" style="5" customWidth="1"/>
    <col min="11" max="12" width="14.5703125" style="5" bestFit="1" customWidth="1"/>
    <col min="13" max="13" width="17.42578125" style="5" bestFit="1" customWidth="1"/>
    <col min="14" max="14" width="14.42578125" style="5" bestFit="1" customWidth="1"/>
    <col min="15" max="16384" width="9.140625" style="5"/>
  </cols>
  <sheetData>
    <row r="1" spans="1:14" s="38" customFormat="1" ht="30" x14ac:dyDescent="0.25">
      <c r="A1" s="38" t="str">
        <f>'Data Sheet'!B1</f>
      </c>
      <c r="C1" s="39" t="s">
        <v>98</v>
      </c>
      <c r="D1" s="39" t="s">
        <v>99</v>
      </c>
      <c r="E1" s="39" t="s">
        <v>100</v>
      </c>
      <c r="F1" s="39" t="s">
        <v>101</v>
      </c>
      <c r="G1" s="39"/>
      <c r="H1" s="40" t="str">
        <f>UPDATE</f>
      </c>
      <c r="J1" s="41"/>
      <c r="K1" s="41"/>
      <c r="M1" s="38" t="s">
        <v>1</v>
      </c>
    </row>
    <row r="2" spans="1:14" s="42" customFormat="1" x14ac:dyDescent="0.25">
      <c r="C2" s="43">
        <v>0.2</v>
      </c>
      <c r="D2" s="44">
        <v>0.2</v>
      </c>
      <c r="E2" s="44">
        <v>0.2</v>
      </c>
      <c r="F2" s="44">
        <v>0.1</v>
      </c>
      <c r="G2" s="44"/>
    </row>
    <row r="3" spans="1:14" s="2" customFormat="1" x14ac:dyDescent="0.25">
      <c r="A3" s="14" t="s">
        <v>2</v>
      </c>
      <c r="B3" s="15">
        <f>'Data Sheet'!B16</f>
      </c>
      <c r="C3" s="15">
        <f>'Data Sheet'!C16</f>
      </c>
      <c r="D3" s="15">
        <f>'Data Sheet'!D16</f>
      </c>
      <c r="E3" s="15">
        <f>'Data Sheet'!E16</f>
      </c>
      <c r="F3" s="15">
        <f>'Data Sheet'!F16</f>
      </c>
      <c r="G3" s="15">
        <f>'Data Sheet'!G16</f>
      </c>
      <c r="H3" s="15">
        <f>'Data Sheet'!H16</f>
      </c>
      <c r="I3" s="15">
        <f>'Data Sheet'!I16</f>
      </c>
      <c r="J3" s="15">
        <f>'Data Sheet'!J16</f>
      </c>
      <c r="K3" s="15">
        <f>'Data Sheet'!K16</f>
      </c>
      <c r="L3" s="16" t="s">
        <v>3</v>
      </c>
      <c r="M3" s="16" t="s">
        <v>4</v>
      </c>
      <c r="N3" s="16" t="s">
        <v>5</v>
      </c>
    </row>
    <row r="4" spans="1:14" s="7" customFormat="1" x14ac:dyDescent="0.25">
      <c r="A4" s="7" t="s">
        <v>6</v>
      </c>
      <c r="B4" s="1">
        <f>'Data Sheet'!B17</f>
      </c>
      <c r="C4" s="1">
        <f>'Data Sheet'!C17</f>
      </c>
      <c r="D4" s="1">
        <f>'Data Sheet'!D17</f>
      </c>
      <c r="E4" s="1">
        <f>'Data Sheet'!E17</f>
      </c>
      <c r="F4" s="1">
        <f>'Data Sheet'!F17</f>
      </c>
      <c r="G4" s="1">
        <f>'Data Sheet'!G17</f>
      </c>
      <c r="H4" s="1">
        <f>'Data Sheet'!H17</f>
      </c>
      <c r="I4" s="1">
        <f>'Data Sheet'!I17</f>
      </c>
      <c r="J4" s="1">
        <f>'Data Sheet'!J17</f>
      </c>
      <c r="K4" s="1">
        <f>'Data Sheet'!K17</f>
      </c>
      <c r="L4" s="1">
        <f>SUM(Quarters!H4:K4)</f>
      </c>
      <c r="M4" s="1">
        <f>$K4+M27*K4</f>
      </c>
      <c r="N4" s="1">
        <f>$K4+N27*L4</f>
      </c>
    </row>
    <row r="5" spans="1:14" s="7" customFormat="1" x14ac:dyDescent="0.25">
      <c r="A5" s="33" t="s">
        <v>93</v>
      </c>
      <c r="B5" s="34">
        <f>B4</f>
      </c>
      <c r="C5" s="34">
        <f>Annual[[#This Row],[Column2]]*(1+$C$2)</f>
      </c>
      <c r="D5" s="34">
        <f>Annual[[#This Row],[Column3]]*(1+$C$2)</f>
      </c>
      <c r="E5" s="34">
        <f>Annual[[#This Row],[Column4]]*(1+$C$2)</f>
      </c>
      <c r="F5" s="34">
        <f>Annual[[#This Row],[Column5]]*(1+$C$2)</f>
      </c>
      <c r="G5" s="34">
        <f>Annual[[#This Row],[Column6]]*(1+$C$2)</f>
      </c>
      <c r="H5" s="34">
        <f>Annual[[#This Row],[Column7]]*(1+$C$2)</f>
      </c>
      <c r="I5" s="34">
        <f>Annual[[#This Row],[Column8]]*(1+$C$2)</f>
      </c>
      <c r="J5" s="34">
        <f>Annual[[#This Row],[Column9]]*(1+$C$2)</f>
      </c>
      <c r="K5" s="34">
        <f>Annual[[#This Row],[Column10]]*(1+$C$2)</f>
      </c>
      <c r="L5" s="34">
        <f>Annual[[#This Row],[Column11]]*(1+$C$2)</f>
      </c>
      <c r="M5" s="35"/>
      <c r="N5" s="35"/>
    </row>
    <row r="6" spans="1:14" x14ac:dyDescent="0.25">
      <c r="A6" s="5" t="s">
        <v>7</v>
      </c>
      <c r="B6" s="8">
        <f>SUM('Data Sheet'!B18,'Data Sheet'!B20:B24, -1*'Data Sheet'!B19)</f>
      </c>
      <c r="C6" s="8">
        <f>SUM('Data Sheet'!C18,'Data Sheet'!C20:C24, -1*'Data Sheet'!C19)</f>
      </c>
      <c r="D6" s="8">
        <f>SUM('Data Sheet'!D18,'Data Sheet'!D20:D24, -1*'Data Sheet'!D19)</f>
      </c>
      <c r="E6" s="8">
        <f>SUM('Data Sheet'!E18,'Data Sheet'!E20:E24, -1*'Data Sheet'!E19)</f>
      </c>
      <c r="F6" s="8">
        <f>SUM('Data Sheet'!F18,'Data Sheet'!F20:F24, -1*'Data Sheet'!F19)</f>
      </c>
      <c r="G6" s="8">
        <f>SUM('Data Sheet'!G18,'Data Sheet'!G20:G24, -1*'Data Sheet'!G19)</f>
      </c>
      <c r="H6" s="8">
        <f>SUM('Data Sheet'!H18,'Data Sheet'!H20:H24, -1*'Data Sheet'!H19)</f>
      </c>
      <c r="I6" s="8">
        <f>SUM('Data Sheet'!I18,'Data Sheet'!I20:I24, -1*'Data Sheet'!I19)</f>
      </c>
      <c r="J6" s="8">
        <f>SUM('Data Sheet'!J18,'Data Sheet'!J20:J24, -1*'Data Sheet'!J19)</f>
      </c>
      <c r="K6" s="8">
        <f>SUM('Data Sheet'!K18,'Data Sheet'!K20:K24, -1*'Data Sheet'!K19)</f>
      </c>
      <c r="L6" s="8">
        <f>SUM(Quarters!H6:K6)</f>
      </c>
      <c r="M6" s="8">
        <f t="shared" ref="M6:N6" si="0">M4-M7</f>
      </c>
      <c r="N6" s="8">
        <f t="shared" si="0"/>
      </c>
    </row>
    <row r="7" spans="1:14" s="7" customFormat="1" x14ac:dyDescent="0.25">
      <c r="A7" s="5" t="s">
        <v>8</v>
      </c>
      <c r="B7" s="8">
        <f>B4-B6</f>
      </c>
      <c r="C7" s="8">
        <f t="shared" ref="C7:K7" si="1">C4-C6</f>
      </c>
      <c r="D7" s="8">
        <f t="shared" si="1"/>
      </c>
      <c r="E7" s="8">
        <f t="shared" si="1"/>
      </c>
      <c r="F7" s="8">
        <f t="shared" si="1"/>
      </c>
      <c r="G7" s="8">
        <f t="shared" si="1"/>
      </c>
      <c r="H7" s="8">
        <f t="shared" si="1"/>
      </c>
      <c r="I7" s="8">
        <f t="shared" si="1"/>
      </c>
      <c r="J7" s="8">
        <f t="shared" si="1"/>
      </c>
      <c r="K7" s="8">
        <f t="shared" si="1"/>
      </c>
      <c r="L7" s="8">
        <f>SUM(Quarters!H7:K7)</f>
      </c>
      <c r="M7" s="8">
        <f>M4*M28</f>
      </c>
      <c r="N7" s="8">
        <f>N4*N28</f>
      </c>
    </row>
    <row r="8" spans="1:14" x14ac:dyDescent="0.25">
      <c r="A8" s="5" t="s">
        <v>9</v>
      </c>
      <c r="B8" s="8">
        <f>'Data Sheet'!B25</f>
      </c>
      <c r="C8" s="8">
        <f>'Data Sheet'!C25</f>
      </c>
      <c r="D8" s="8">
        <f>'Data Sheet'!D25</f>
      </c>
      <c r="E8" s="8">
        <f>'Data Sheet'!E25</f>
      </c>
      <c r="F8" s="8">
        <f>'Data Sheet'!F25</f>
      </c>
      <c r="G8" s="8">
        <f>'Data Sheet'!G25</f>
      </c>
      <c r="H8" s="8">
        <f>'Data Sheet'!H25</f>
      </c>
      <c r="I8" s="8">
        <f>'Data Sheet'!I25</f>
      </c>
      <c r="J8" s="8">
        <f>'Data Sheet'!J25</f>
      </c>
      <c r="K8" s="8">
        <f>'Data Sheet'!K25</f>
      </c>
      <c r="L8" s="8">
        <f>SUM(Quarters!H8:K8)</f>
      </c>
      <c r="M8" s="8">
        <v>0</v>
      </c>
      <c r="N8" s="8">
        <v>0</v>
      </c>
    </row>
    <row r="9" spans="1:14" x14ac:dyDescent="0.25">
      <c r="A9" s="5" t="s">
        <v>10</v>
      </c>
      <c r="B9" s="8">
        <f>'Data Sheet'!B26</f>
      </c>
      <c r="C9" s="8">
        <f>'Data Sheet'!C26</f>
      </c>
      <c r="D9" s="8">
        <f>'Data Sheet'!D26</f>
      </c>
      <c r="E9" s="8">
        <f>'Data Sheet'!E26</f>
      </c>
      <c r="F9" s="8">
        <f>'Data Sheet'!F26</f>
      </c>
      <c r="G9" s="8">
        <f>'Data Sheet'!G26</f>
      </c>
      <c r="H9" s="8">
        <f>'Data Sheet'!H26</f>
      </c>
      <c r="I9" s="8">
        <f>'Data Sheet'!I26</f>
      </c>
      <c r="J9" s="8">
        <f>'Data Sheet'!J26</f>
      </c>
      <c r="K9" s="8">
        <f>'Data Sheet'!K26</f>
      </c>
      <c r="L9" s="8">
        <f>SUM(Quarters!H9:K9)</f>
      </c>
      <c r="M9" s="8">
        <f>+$L9</f>
      </c>
      <c r="N9" s="8">
        <f>+$L9</f>
      </c>
    </row>
    <row r="10" spans="1:14" x14ac:dyDescent="0.25">
      <c r="A10" s="5" t="s">
        <v>11</v>
      </c>
      <c r="B10" s="8">
        <f>'Data Sheet'!B27</f>
      </c>
      <c r="C10" s="8">
        <f>'Data Sheet'!C27</f>
      </c>
      <c r="D10" s="8">
        <f>'Data Sheet'!D27</f>
      </c>
      <c r="E10" s="8">
        <f>'Data Sheet'!E27</f>
      </c>
      <c r="F10" s="8">
        <f>'Data Sheet'!F27</f>
      </c>
      <c r="G10" s="8">
        <f>'Data Sheet'!G27</f>
      </c>
      <c r="H10" s="8">
        <f>'Data Sheet'!H27</f>
      </c>
      <c r="I10" s="8">
        <f>'Data Sheet'!I27</f>
      </c>
      <c r="J10" s="8">
        <f>'Data Sheet'!J27</f>
      </c>
      <c r="K10" s="8">
        <f>'Data Sheet'!K27</f>
      </c>
      <c r="L10" s="8">
        <f>SUM(Quarters!H10:K10)</f>
      </c>
      <c r="M10" s="8">
        <f>+$L10</f>
      </c>
      <c r="N10" s="8">
        <f>+$L10</f>
      </c>
    </row>
    <row r="11" spans="1:14" x14ac:dyDescent="0.25">
      <c r="A11" s="5" t="s">
        <v>12</v>
      </c>
      <c r="B11" s="8">
        <f>'Data Sheet'!B28</f>
      </c>
      <c r="C11" s="8">
        <f>'Data Sheet'!C28</f>
      </c>
      <c r="D11" s="8">
        <f>'Data Sheet'!D28</f>
      </c>
      <c r="E11" s="8">
        <f>'Data Sheet'!E28</f>
      </c>
      <c r="F11" s="8">
        <f>'Data Sheet'!F28</f>
      </c>
      <c r="G11" s="8">
        <f>'Data Sheet'!G28</f>
      </c>
      <c r="H11" s="8">
        <f>'Data Sheet'!H28</f>
      </c>
      <c r="I11" s="8">
        <f>'Data Sheet'!I28</f>
      </c>
      <c r="J11" s="8">
        <f>'Data Sheet'!J28</f>
      </c>
      <c r="K11" s="8">
        <f>'Data Sheet'!K28</f>
      </c>
      <c r="L11" s="8">
        <f>SUM(Quarters!H11:K11)</f>
      </c>
      <c r="M11" s="8">
        <f>M7+M8-SUM(M9:M10)</f>
      </c>
      <c r="N11" s="8">
        <f>N7+N8-SUM(N9:N10)</f>
      </c>
    </row>
    <row r="12" spans="1:14" x14ac:dyDescent="0.25">
      <c r="A12" s="5" t="s">
        <v>13</v>
      </c>
      <c r="B12" s="8">
        <f>'Data Sheet'!B29</f>
      </c>
      <c r="C12" s="8">
        <f>'Data Sheet'!C29</f>
      </c>
      <c r="D12" s="8">
        <f>'Data Sheet'!D29</f>
      </c>
      <c r="E12" s="8">
        <f>'Data Sheet'!E29</f>
      </c>
      <c r="F12" s="8">
        <f>'Data Sheet'!F29</f>
      </c>
      <c r="G12" s="8">
        <f>'Data Sheet'!G29</f>
      </c>
      <c r="H12" s="8">
        <f>'Data Sheet'!H29</f>
      </c>
      <c r="I12" s="8">
        <f>'Data Sheet'!I29</f>
      </c>
      <c r="J12" s="8">
        <f>'Data Sheet'!J29</f>
      </c>
      <c r="K12" s="8">
        <f>'Data Sheet'!K29</f>
      </c>
      <c r="L12" s="8">
        <f>SUM(Quarters!H12:K12)</f>
      </c>
      <c r="M12" s="9">
        <f>IF($L11&gt;0,$L12/$L11,0)</f>
      </c>
      <c r="N12" s="9">
        <f>IF($L11&gt;0,$L12/$L11,0)</f>
      </c>
    </row>
    <row r="13" spans="1:14" s="7" customFormat="1" x14ac:dyDescent="0.25">
      <c r="A13" s="7" t="s">
        <v>14</v>
      </c>
      <c r="B13" s="1">
        <f>'Data Sheet'!B30</f>
      </c>
      <c r="C13" s="1">
        <f>'Data Sheet'!C30</f>
      </c>
      <c r="D13" s="1">
        <f>'Data Sheet'!D30</f>
      </c>
      <c r="E13" s="1">
        <f>'Data Sheet'!E30</f>
      </c>
      <c r="F13" s="1">
        <f>'Data Sheet'!F30</f>
      </c>
      <c r="G13" s="1">
        <f>'Data Sheet'!G30</f>
      </c>
      <c r="H13" s="1">
        <f>'Data Sheet'!H30</f>
      </c>
      <c r="I13" s="1">
        <f>'Data Sheet'!I30</f>
      </c>
      <c r="J13" s="1">
        <f>'Data Sheet'!J30</f>
      </c>
      <c r="K13" s="1">
        <f>'Data Sheet'!K30</f>
      </c>
      <c r="L13" s="1">
        <f>SUM(Quarters!H13:K13)</f>
      </c>
      <c r="M13" s="1">
        <f>M11-M12*M11</f>
      </c>
      <c r="N13" s="1">
        <f>N11-N12*N11</f>
      </c>
    </row>
    <row r="14" spans="1:14" s="7" customFormat="1" x14ac:dyDescent="0.25">
      <c r="A14" s="36" t="s">
        <v>94</v>
      </c>
      <c r="B14" s="34">
        <f>B13</f>
      </c>
      <c r="C14" s="34">
        <f>Annual[[#This Row],[Column2]]*(1+$D$2)</f>
      </c>
      <c r="D14" s="34">
        <f>Annual[[#This Row],[Column3]]*(1+$D$2)</f>
      </c>
      <c r="E14" s="34">
        <f>Annual[[#This Row],[Column4]]*(1+$D$2)</f>
      </c>
      <c r="F14" s="34">
        <f>Annual[[#This Row],[Column5]]*(1+$D$2)</f>
      </c>
      <c r="G14" s="34">
        <f>Annual[[#This Row],[Column6]]*(1+$D$2)</f>
      </c>
      <c r="H14" s="34">
        <f>Annual[[#This Row],[Column7]]*(1+$D$2)</f>
      </c>
      <c r="I14" s="34">
        <f>Annual[[#This Row],[Column8]]*(1+$D$2)</f>
      </c>
      <c r="J14" s="34">
        <f>Annual[[#This Row],[Column9]]*(1+$D$2)</f>
      </c>
      <c r="K14" s="34">
        <f>Annual[[#This Row],[Column10]]*(1+$D$2)</f>
      </c>
      <c r="L14" s="34">
        <f>Annual[[#This Row],[Column11]]*(1+$D$2)</f>
      </c>
      <c r="M14" s="35"/>
      <c r="N14" s="35"/>
    </row>
    <row r="15" spans="1:14" x14ac:dyDescent="0.25">
      <c r="A15" s="10" t="s">
        <v>58</v>
      </c>
      <c r="B15" s="8">
        <f>IF('Data Sheet'!B93&gt;0,B13/'Data Sheet'!B93,0)</f>
      </c>
      <c r="C15" s="8">
        <f>IF('Data Sheet'!C93&gt;0,C13/'Data Sheet'!C93,0)</f>
      </c>
      <c r="D15" s="8">
        <f>IF('Data Sheet'!D93&gt;0,D13/'Data Sheet'!D93,0)</f>
      </c>
      <c r="E15" s="8">
        <f>IF('Data Sheet'!E93&gt;0,E13/'Data Sheet'!E93,0)</f>
      </c>
      <c r="F15" s="8">
        <f>IF('Data Sheet'!F93&gt;0,F13/'Data Sheet'!F93,0)</f>
      </c>
      <c r="G15" s="8">
        <f>IF('Data Sheet'!G93&gt;0,G13/'Data Sheet'!G93,0)</f>
      </c>
      <c r="H15" s="8">
        <f>IF('Data Sheet'!H93&gt;0,H13/'Data Sheet'!H93,0)</f>
      </c>
      <c r="I15" s="8">
        <f>IF('Data Sheet'!I93&gt;0,I13/'Data Sheet'!I93,0)</f>
      </c>
      <c r="J15" s="8">
        <f>IF('Data Sheet'!J93&gt;0,J13/'Data Sheet'!J93,0)</f>
      </c>
      <c r="K15" s="8">
        <f>IF('Data Sheet'!K93&gt;0,K13/'Data Sheet'!K93,0)</f>
      </c>
      <c r="L15" s="8">
        <f>IF('Data Sheet'!$B6&gt;0,'Profit &amp; Loss'!L13/'Data Sheet'!$B6,0)</f>
      </c>
      <c r="M15" s="8">
        <f>IF('Data Sheet'!$B6&gt;0,'Profit &amp; Loss'!M13/'Data Sheet'!$B6,0)</f>
      </c>
      <c r="N15" s="8">
        <f>IF('Data Sheet'!$B6&gt;0,'Profit &amp; Loss'!N13/'Data Sheet'!$B6,0)</f>
      </c>
    </row>
    <row r="16" spans="1:14" x14ac:dyDescent="0.25">
      <c r="A16" s="33" t="s">
        <v>95</v>
      </c>
      <c r="B16" s="37">
        <f>B15</f>
      </c>
      <c r="C16" s="37">
        <f>Annual[[#This Row],[Column2]]*(1+$E$2)</f>
      </c>
      <c r="D16" s="37">
        <f>Annual[[#This Row],[Column3]]*(1+$E$2)</f>
      </c>
      <c r="E16" s="37">
        <f>Annual[[#This Row],[Column4]]*(1+$E$2)</f>
      </c>
      <c r="F16" s="37">
        <f>Annual[[#This Row],[Column5]]*(1+$E$2)</f>
      </c>
      <c r="G16" s="37">
        <f>Annual[[#This Row],[Column6]]*(1+$E$2)</f>
      </c>
      <c r="H16" s="37">
        <f>Annual[[#This Row],[Column7]]*(1+$E$2)</f>
      </c>
      <c r="I16" s="37">
        <f>Annual[[#This Row],[Column8]]*(1+$E$2)</f>
      </c>
      <c r="J16" s="37">
        <f>Annual[[#This Row],[Column9]]*(1+$E$2)</f>
      </c>
      <c r="K16" s="37">
        <f>Annual[[#This Row],[Column10]]*(1+$E$2)</f>
      </c>
      <c r="L16" s="37">
        <f>Annual[[#This Row],[Column11]]*(1+$E$2)</f>
      </c>
      <c r="M16" s="35"/>
      <c r="N16" s="35"/>
    </row>
    <row r="17" spans="1:14" x14ac:dyDescent="0.25">
      <c r="A17" s="5" t="s">
        <v>16</v>
      </c>
      <c r="B17" s="8">
        <f t="shared" ref="B17:K17" si="2">IF(B18&gt;0,B18/B15,"")</f>
      </c>
      <c r="C17" s="8">
        <f t="shared" si="2"/>
      </c>
      <c r="D17" s="8">
        <f t="shared" si="2"/>
      </c>
      <c r="E17" s="8">
        <f t="shared" si="2"/>
      </c>
      <c r="F17" s="8">
        <f t="shared" si="2"/>
      </c>
      <c r="G17" s="8">
        <f t="shared" si="2"/>
      </c>
      <c r="H17" s="8">
        <f t="shared" si="2"/>
      </c>
      <c r="I17" s="8">
        <f t="shared" si="2"/>
      </c>
      <c r="J17" s="8">
        <f t="shared" si="2"/>
      </c>
      <c r="K17" s="8">
        <f t="shared" si="2"/>
      </c>
      <c r="L17" s="8">
        <f>IF(L15&gt;0,L18/L15,0)</f>
      </c>
      <c r="M17" s="8">
        <f>M29</f>
      </c>
      <c r="N17" s="8">
        <f>N29</f>
      </c>
    </row>
    <row r="18" spans="1:14" s="7" customFormat="1" x14ac:dyDescent="0.25">
      <c r="A18" s="7" t="s">
        <v>59</v>
      </c>
      <c r="B18" s="1">
        <f>'Data Sheet'!B90</f>
      </c>
      <c r="C18" s="1">
        <f>'Data Sheet'!C90</f>
      </c>
      <c r="D18" s="1">
        <f>'Data Sheet'!D90</f>
      </c>
      <c r="E18" s="1">
        <f>'Data Sheet'!E90</f>
      </c>
      <c r="F18" s="1">
        <f>'Data Sheet'!F90</f>
      </c>
      <c r="G18" s="1">
        <f>'Data Sheet'!G90</f>
      </c>
      <c r="H18" s="1">
        <f>'Data Sheet'!H90</f>
      </c>
      <c r="I18" s="1">
        <f>'Data Sheet'!I90</f>
      </c>
      <c r="J18" s="1">
        <f>'Data Sheet'!J90</f>
      </c>
      <c r="K18" s="1">
        <f>'Data Sheet'!K90</f>
      </c>
      <c r="L18" s="1">
        <f>'Data Sheet'!B8</f>
      </c>
      <c r="M18" s="11">
        <f>M15*M17</f>
      </c>
      <c r="N18" s="12">
        <f>N15*N17</f>
      </c>
    </row>
    <row r="19" spans="1:14" s="7" customFormat="1" x14ac:dyDescent="0.25">
      <c r="A19" s="33" t="s">
        <v>96</v>
      </c>
      <c r="B19" s="34">
        <f>B18</f>
      </c>
      <c r="C19" s="34">
        <f>Annual[[#This Row],[Column2]]*(1+$F$2)</f>
      </c>
      <c r="D19" s="34">
        <f>Annual[[#This Row],[Column3]]*(1+$F$2)</f>
      </c>
      <c r="E19" s="34">
        <f>Annual[[#This Row],[Column4]]*(1+$F$2)</f>
      </c>
      <c r="F19" s="34">
        <f>Annual[[#This Row],[Column5]]*(1+$F$2)</f>
      </c>
      <c r="G19" s="34">
        <f>Annual[[#This Row],[Column6]]*(1+$F$2)</f>
      </c>
      <c r="H19" s="34">
        <f>Annual[[#This Row],[Column7]]*(1+$F$2)</f>
      </c>
      <c r="I19" s="34">
        <f>Annual[[#This Row],[Column8]]*(1+$F$2)</f>
      </c>
      <c r="J19" s="34">
        <f>Annual[[#This Row],[Column9]]*(1+$F$2)</f>
      </c>
      <c r="K19" s="34">
        <f>Annual[[#This Row],[Column10]]*(1+$F$2)</f>
      </c>
      <c r="L19" s="34">
        <f>Annual[[#This Row],[Column11]]*(1+$F$2)</f>
      </c>
      <c r="M19" s="31"/>
      <c r="N19" s="32"/>
    </row>
    <row r="20" spans="1:14" x14ac:dyDescent="0.25">
      <c r="L20" s="45"/>
    </row>
    <row r="21" spans="1:14" s="7" customFormat="1" x14ac:dyDescent="0.25">
      <c r="A21" s="7" t="s">
        <v>15</v>
      </c>
    </row>
    <row r="22" spans="1:14" x14ac:dyDescent="0.25">
      <c r="A22" s="5" t="s">
        <v>17</v>
      </c>
      <c r="B22" s="6">
        <f>IF('Data Sheet'!B30&gt;0, 'Data Sheet'!B31/'Data Sheet'!B30, 0)</f>
      </c>
      <c r="C22" s="6">
        <f>IF('Data Sheet'!C30&gt;0, 'Data Sheet'!C31/'Data Sheet'!C30, 0)</f>
      </c>
      <c r="D22" s="6">
        <f>IF('Data Sheet'!D30&gt;0, 'Data Sheet'!D31/'Data Sheet'!D30, 0)</f>
      </c>
      <c r="E22" s="6">
        <f>IF('Data Sheet'!E30&gt;0, 'Data Sheet'!E31/'Data Sheet'!E30, 0)</f>
      </c>
      <c r="F22" s="6">
        <f>IF('Data Sheet'!F30&gt;0, 'Data Sheet'!F31/'Data Sheet'!F30, 0)</f>
      </c>
      <c r="G22" s="6">
        <f>IF('Data Sheet'!G30&gt;0, 'Data Sheet'!G31/'Data Sheet'!G30, 0)</f>
      </c>
      <c r="H22" s="6">
        <f>IF('Data Sheet'!H30&gt;0, 'Data Sheet'!H31/'Data Sheet'!H30, 0)</f>
      </c>
      <c r="I22" s="6">
        <f>IF('Data Sheet'!I30&gt;0, 'Data Sheet'!I31/'Data Sheet'!I30, 0)</f>
      </c>
      <c r="J22" s="6">
        <f>IF('Data Sheet'!J30&gt;0, 'Data Sheet'!J31/'Data Sheet'!J30, 0)</f>
      </c>
      <c r="K22" s="6">
        <f>IF('Data Sheet'!K30&gt;0, 'Data Sheet'!K31/'Data Sheet'!K30, 0)</f>
      </c>
    </row>
    <row r="23" spans="1:14" x14ac:dyDescent="0.25">
      <c r="A23" s="5" t="s">
        <v>18</v>
      </c>
      <c r="B23" s="6">
        <f t="shared" ref="B23:L23" si="3">IF(B7&gt;0,B7/B4,0)</f>
      </c>
      <c r="C23" s="6">
        <f t="shared" ref="C23:K23" si="4">IF(C7&gt;0,C7/C4,0)</f>
      </c>
      <c r="D23" s="6">
        <f t="shared" si="4"/>
      </c>
      <c r="E23" s="6">
        <f t="shared" si="4"/>
      </c>
      <c r="F23" s="6">
        <f t="shared" si="4"/>
      </c>
      <c r="G23" s="6">
        <f t="shared" si="4"/>
      </c>
      <c r="H23" s="6">
        <f t="shared" si="4"/>
      </c>
      <c r="I23" s="6">
        <f t="shared" si="4"/>
      </c>
      <c r="J23" s="6">
        <f t="shared" si="4"/>
      </c>
      <c r="K23" s="6">
        <f t="shared" si="4"/>
      </c>
      <c r="L23" s="6">
        <f t="shared" si="3"/>
      </c>
    </row>
    <row r="24" spans="1:14" x14ac:dyDescent="0.25">
      <c r="A24" s="33" t="s">
        <v>97</v>
      </c>
      <c r="B24" s="46">
        <f>AVERAGE(B23)</f>
      </c>
      <c r="C24" s="46">
        <f>AVERAGE(B23:C23)</f>
      </c>
      <c r="D24" s="46">
        <f>AVERAGE(B23:D23)</f>
      </c>
      <c r="E24" s="46">
        <f>AVERAGE(B23:E23)</f>
      </c>
      <c r="F24" s="46">
        <f>AVERAGE(B23:F23)</f>
      </c>
      <c r="G24" s="46">
        <f>AVERAGE(B23:G23)</f>
      </c>
      <c r="H24" s="46">
        <f>AVERAGE(B23:H23)</f>
      </c>
      <c r="I24" s="46">
        <f>AVERAGE(B23:I23)</f>
      </c>
      <c r="J24" s="46">
        <f>AVERAGE(B23:J23)</f>
      </c>
      <c r="K24" s="46">
        <f>AVERAGE(B23:K23)</f>
      </c>
      <c r="L24" s="46">
        <f>AVERAGE(B23:L23)</f>
      </c>
      <c r="M24" s="46">
        <f>Annual[[#This Row],[Column12]]</f>
      </c>
      <c r="N24" s="46">
        <f>Annual[[#This Row],[Column12]]</f>
      </c>
    </row>
    <row r="25" spans="1:14" x14ac:dyDescent="0.25"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</row>
    <row r="26" spans="1:14" s="2" customFormat="1" x14ac:dyDescent="0.25">
      <c r="A26" s="14"/>
      <c r="B26" s="15"/>
      <c r="C26" s="15"/>
      <c r="D26" s="15"/>
      <c r="E26" s="15"/>
      <c r="F26" s="15"/>
      <c r="G26" s="15" t="s">
        <v>19</v>
      </c>
      <c r="H26" s="15" t="s">
        <v>66</v>
      </c>
      <c r="I26" s="15" t="s">
        <v>67</v>
      </c>
      <c r="J26" s="15" t="s">
        <v>68</v>
      </c>
      <c r="K26" s="15" t="s">
        <v>69</v>
      </c>
      <c r="L26" s="16" t="s">
        <v>103</v>
      </c>
      <c r="M26" s="16" t="s">
        <v>20</v>
      </c>
      <c r="N26" s="16" t="s">
        <v>21</v>
      </c>
    </row>
    <row r="27" spans="1:14" s="7" customFormat="1" x14ac:dyDescent="0.25">
      <c r="A27" s="5"/>
      <c r="B27" s="5"/>
      <c r="C27" s="5"/>
      <c r="D27" s="5"/>
      <c r="E27" s="5"/>
      <c r="F27" s="5"/>
      <c r="G27" s="5" t="s">
        <v>22</v>
      </c>
      <c r="H27" s="6">
        <f>IF(B4=0,"",POWER($K4/B4,1/9)-1)</f>
      </c>
      <c r="I27" s="6">
        <f>IF(D4=0,"",POWER($K4/D4,1/7)-1)</f>
      </c>
      <c r="J27" s="6">
        <f>IF(F4=0,"",POWER($K4/F4,1/5)-1)</f>
      </c>
      <c r="K27" s="6">
        <f>IF(H4=0,"",POWER($K4/H4, 1/3)-1)</f>
      </c>
      <c r="L27" s="6">
        <f>IF(ISERROR(MAX(IF(J4=0,"",(K4-J4)/J4),IF(K4=0,"",(L4-K4)/K4))),"",MAX(IF(J4=0,"",(K4-J4)/J4),IF(K4=0,"",(L4-K4)/K4)))</f>
      </c>
      <c r="M27" s="21">
        <f>MAX(K27:L27)</f>
      </c>
      <c r="N27" s="21">
        <f>MIN(H27:L27)</f>
      </c>
    </row>
    <row r="28" spans="1:14" x14ac:dyDescent="0.25">
      <c r="G28" s="5" t="s">
        <v>18</v>
      </c>
      <c r="H28" s="6">
        <f>IF(SUM(B4:$K$4)=0,"",SUMPRODUCT(B23:$K$23,B4:$K$4)/SUM(B4:$K$4))</f>
      </c>
      <c r="I28" s="6">
        <f>IF(SUM(E4:$K$4)=0,"",SUMPRODUCT(E23:$K$23,E4:$K$4)/SUM(E4:$K$4))</f>
      </c>
      <c r="J28" s="6">
        <f>IF(SUM(G4:$K$4)=0,"",SUMPRODUCT(G23:$K$23,G4:$K$4)/SUM(G4:$K$4))</f>
      </c>
      <c r="K28" s="6">
        <f>IF(SUM(I4:$K$4)=0, "", SUMPRODUCT(I23:$K$23,I4:$K$4)/SUM(I4:$K$4))</f>
      </c>
      <c r="L28" s="6">
        <f>L23</f>
      </c>
      <c r="M28" s="21">
        <f>MAX(K28:L28)</f>
      </c>
      <c r="N28" s="21">
        <f>MIN(H28:L28)</f>
      </c>
    </row>
    <row r="29" spans="1:14" x14ac:dyDescent="0.25">
      <c r="G29" s="5" t="s">
        <v>23</v>
      </c>
      <c r="H29" s="8">
        <f>IF(ISERROR(AVERAGEIF(B17:$L17,"&gt;0")),"",AVERAGEIF(B17:$L17,"&gt;0"))</f>
      </c>
      <c r="I29" s="8">
        <f>IF(ISERROR(AVERAGEIF(E17:$L17,"&gt;0")),"",AVERAGEIF(E17:$L17,"&gt;0"))</f>
      </c>
      <c r="J29" s="8">
        <f>IF(ISERROR(AVERAGEIF(G17:$L17,"&gt;0")),"",AVERAGEIF(G17:$L17,"&gt;0"))</f>
      </c>
      <c r="K29" s="8">
        <f>IF(ISERROR(AVERAGEIF(I17:$L17,"&gt;0")),"",AVERAGEIF(I17:$L17,"&gt;0"))</f>
      </c>
      <c r="L29" s="8">
        <f>L17</f>
      </c>
      <c r="M29" s="1">
        <f>MAX(K29:L29)</f>
      </c>
      <c r="N29" s="1">
        <f>MIN(H29:L29)</f>
      </c>
    </row>
    <row r="30" spans="1:14" x14ac:dyDescent="0.25">
      <c r="G30" s="28" t="s">
        <v>58</v>
      </c>
      <c r="H30" s="47"/>
      <c r="I30" s="47"/>
      <c r="J30" s="47">
        <f>IF(F15&lt;=0,POWER(($K15+(F15*-1)),1/5)-1,POWER($K15/F15,1/5)-1)</f>
      </c>
      <c r="K30" s="47">
        <f>IF(H15&lt;=0,POWER(($K15+(H15*-1)),1/3)-1,POWER($K15/H15,1/3)-1)</f>
      </c>
      <c r="L30" s="47"/>
    </row>
    <row r="31" spans="1:14" x14ac:dyDescent="0.25">
      <c r="G31" s="28" t="s">
        <v>102</v>
      </c>
      <c r="J31" s="48">
        <f>J30*($L$18/$L$17)*100</f>
      </c>
      <c r="K31" s="48">
        <f>K30*100*L18/L17</f>
      </c>
      <c r="L31" s="48">
        <f>L18</f>
      </c>
    </row>
    <row r="34" spans="1:14" s="2" customFormat="1" x14ac:dyDescent="0.25">
      <c r="A34" s="14" t="s">
        <v>2</v>
      </c>
      <c r="B34" s="15">
        <f>'Data Sheet'!B16</f>
      </c>
      <c r="C34" s="15">
        <f>'Data Sheet'!C16</f>
      </c>
      <c r="D34" s="15">
        <f>'Data Sheet'!D16</f>
      </c>
      <c r="E34" s="15">
        <f>'Data Sheet'!E16</f>
      </c>
      <c r="F34" s="15">
        <f>'Data Sheet'!F16</f>
      </c>
      <c r="G34" s="15">
        <f>'Data Sheet'!G16</f>
      </c>
      <c r="H34" s="15">
        <f>'Data Sheet'!H16</f>
      </c>
      <c r="I34" s="15">
        <f>'Data Sheet'!I16</f>
      </c>
      <c r="J34" s="15">
        <f>'Data Sheet'!J16</f>
      </c>
      <c r="K34" s="15">
        <f>'Data Sheet'!K16</f>
      </c>
      <c r="L34" s="16" t="s">
        <v>3</v>
      </c>
      <c r="M34" s="16" t="s">
        <v>4</v>
      </c>
      <c r="N34" s="16" t="s">
        <v>5</v>
      </c>
    </row>
    <row r="35" spans="1:14" x14ac:dyDescent="0.25">
      <c r="A35" s="5" t="s">
        <v>189</v>
      </c>
      <c r="B35" s="86">
        <f>B7/B4</f>
      </c>
      <c r="C35" s="86">
        <f t="shared" ref="C35:L35" si="5">C7/C4</f>
      </c>
      <c r="D35" s="86">
        <f t="shared" si="5"/>
      </c>
      <c r="E35" s="86">
        <f t="shared" si="5"/>
      </c>
      <c r="F35" s="86">
        <f t="shared" si="5"/>
      </c>
      <c r="G35" s="86">
        <f t="shared" si="5"/>
      </c>
      <c r="H35" s="86">
        <f t="shared" si="5"/>
      </c>
      <c r="I35" s="86">
        <f t="shared" si="5"/>
      </c>
      <c r="J35" s="86">
        <f t="shared" si="5"/>
      </c>
      <c r="K35" s="86">
        <f t="shared" si="5"/>
      </c>
      <c r="L35" s="86">
        <f t="shared" si="5"/>
      </c>
    </row>
    <row r="36" spans="1:14" x14ac:dyDescent="0.25">
      <c r="A36" s="5" t="s">
        <v>190</v>
      </c>
      <c r="B36" s="86">
        <f>B13/B4</f>
      </c>
      <c r="C36" s="86">
        <f t="shared" ref="C36:L36" si="6">C13/C4</f>
      </c>
      <c r="D36" s="86">
        <f t="shared" si="6"/>
      </c>
      <c r="E36" s="86">
        <f t="shared" si="6"/>
      </c>
      <c r="F36" s="86">
        <f t="shared" si="6"/>
      </c>
      <c r="G36" s="86">
        <f t="shared" si="6"/>
      </c>
      <c r="H36" s="86">
        <f t="shared" si="6"/>
      </c>
      <c r="I36" s="86">
        <f t="shared" si="6"/>
      </c>
      <c r="J36" s="86">
        <f t="shared" si="6"/>
      </c>
      <c r="K36" s="86">
        <f t="shared" si="6"/>
      </c>
      <c r="L36" s="86">
        <f t="shared" si="6"/>
      </c>
    </row>
  </sheetData>
  <hyperlinks>
    <hyperlink ref="M1" r:id="rId1" xr:uid="{00000000-0004-0000-0000-000000000000}"/>
  </hyperlinks>
  <printOptions gridLines="1"/>
  <pageMargins left="0.7" right="0.7" top="0.75" bottom="0.75" header="0.3" footer="0.3"/>
  <pageSetup paperSize="9" orientation="landscape" horizontalDpi="300" verticalDpi="300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A1:K25"/>
  <sheetViews>
    <sheetView workbookViewId="0">
      <pane xSplit="1" ySplit="3" topLeftCell="B4" activePane="bottomRight" state="frozen"/>
      <selection activeCell="Q21" sqref="Q21"/>
      <selection pane="topRight" activeCell="Q21" sqref="Q21"/>
      <selection pane="bottomLeft" activeCell="Q21" sqref="Q21"/>
      <selection pane="bottomRight" activeCell="Q21" sqref="Q21"/>
    </sheetView>
  </sheetViews>
  <sheetFormatPr defaultColWidth="9.140625" defaultRowHeight="15" x14ac:dyDescent="0.25"/>
  <cols>
    <col min="1" max="1" width="20.7109375" style="5" customWidth="1"/>
    <col min="2" max="11" width="13.5703125" style="5" bestFit="1" customWidth="1"/>
    <col min="12" max="16384" width="9.140625" style="5"/>
  </cols>
  <sheetData>
    <row r="1" spans="1:11" s="7" customFormat="1" ht="30" x14ac:dyDescent="0.25">
      <c r="A1" s="38" t="str">
        <f>'Profit &amp; Loss'!A1</f>
      </c>
      <c r="C1" s="39" t="s">
        <v>98</v>
      </c>
      <c r="D1" s="39" t="s">
        <v>99</v>
      </c>
      <c r="E1" s="39" t="s">
        <v>100</v>
      </c>
      <c r="F1" s="39" t="s">
        <v>101</v>
      </c>
      <c r="J1" s="3" t="s">
        <v>1</v>
      </c>
      <c r="K1" s="3"/>
    </row>
    <row r="2" spans="1:11" x14ac:dyDescent="0.25">
      <c r="C2" s="43">
        <v>0.05</v>
      </c>
      <c r="D2" s="44">
        <v>0.05</v>
      </c>
      <c r="E2" s="44">
        <v>0.05</v>
      </c>
      <c r="F2" s="44">
        <v>0.05</v>
      </c>
    </row>
    <row r="3" spans="1:11" s="2" customFormat="1" x14ac:dyDescent="0.25">
      <c r="A3" s="14" t="s">
        <v>2</v>
      </c>
      <c r="B3" s="15">
        <f>'Data Sheet'!B41</f>
      </c>
      <c r="C3" s="15">
        <f>'Data Sheet'!C41</f>
      </c>
      <c r="D3" s="15">
        <f>'Data Sheet'!D41</f>
      </c>
      <c r="E3" s="15">
        <f>'Data Sheet'!E41</f>
      </c>
      <c r="F3" s="15">
        <f>'Data Sheet'!F41</f>
      </c>
      <c r="G3" s="15">
        <f>'Data Sheet'!G41</f>
      </c>
      <c r="H3" s="15">
        <f>'Data Sheet'!H41</f>
      </c>
      <c r="I3" s="15">
        <f>'Data Sheet'!I41</f>
      </c>
      <c r="J3" s="15">
        <f>'Data Sheet'!J41</f>
      </c>
      <c r="K3" s="15">
        <f>'Data Sheet'!K41</f>
      </c>
    </row>
    <row r="4" spans="1:11" s="7" customFormat="1" x14ac:dyDescent="0.25">
      <c r="A4" s="7" t="s">
        <v>6</v>
      </c>
      <c r="B4" s="1">
        <f>'Data Sheet'!B42</f>
      </c>
      <c r="C4" s="1">
        <f>'Data Sheet'!C42</f>
      </c>
      <c r="D4" s="1">
        <f>'Data Sheet'!D42</f>
      </c>
      <c r="E4" s="1">
        <f>'Data Sheet'!E42</f>
      </c>
      <c r="F4" s="1">
        <f>'Data Sheet'!F42</f>
      </c>
      <c r="G4" s="1">
        <f>'Data Sheet'!G42</f>
      </c>
      <c r="H4" s="1">
        <f>'Data Sheet'!H42</f>
      </c>
      <c r="I4" s="1">
        <f>'Data Sheet'!I42</f>
      </c>
      <c r="J4" s="1">
        <f>'Data Sheet'!J42</f>
      </c>
      <c r="K4" s="1">
        <f>'Data Sheet'!K42</f>
      </c>
    </row>
    <row r="5" spans="1:11" s="7" customFormat="1" x14ac:dyDescent="0.25">
      <c r="A5" s="36" t="s">
        <v>93</v>
      </c>
      <c r="B5" s="34">
        <f>B4</f>
      </c>
      <c r="C5" s="34">
        <f>Quarters[[#This Row],[Column2]]*(1+$C$2)</f>
      </c>
      <c r="D5" s="34">
        <f>Quarters[[#This Row],[Column3]]*(1+$C$2)</f>
      </c>
      <c r="E5" s="34">
        <f>Quarters[[#This Row],[Column4]]*(1+$C$2)</f>
      </c>
      <c r="F5" s="34">
        <f>Quarters[[#This Row],[Column5]]*(1+$C$2)</f>
      </c>
      <c r="G5" s="34">
        <f>Quarters[[#This Row],[Column6]]*(1+$C$2)</f>
      </c>
      <c r="H5" s="34">
        <f>Quarters[[#This Row],[Column7]]*(1+$C$2)</f>
      </c>
      <c r="I5" s="34">
        <f>Quarters[[#This Row],[Column8]]*(1+$C$2)</f>
      </c>
      <c r="J5" s="34">
        <f>Quarters[[#This Row],[Column9]]*(1+$C$2)</f>
      </c>
      <c r="K5" s="34">
        <f>Quarters[[#This Row],[Column10]]*(1+$C$2)</f>
      </c>
    </row>
    <row r="6" spans="1:11" x14ac:dyDescent="0.25">
      <c r="A6" s="5" t="s">
        <v>7</v>
      </c>
      <c r="B6" s="8">
        <f>'Data Sheet'!B43</f>
      </c>
      <c r="C6" s="8">
        <f>'Data Sheet'!C43</f>
      </c>
      <c r="D6" s="8">
        <f>'Data Sheet'!D43</f>
      </c>
      <c r="E6" s="8">
        <f>'Data Sheet'!E43</f>
      </c>
      <c r="F6" s="8">
        <f>'Data Sheet'!F43</f>
      </c>
      <c r="G6" s="8">
        <f>'Data Sheet'!G43</f>
      </c>
      <c r="H6" s="8">
        <f>'Data Sheet'!H43</f>
      </c>
      <c r="I6" s="8">
        <f>'Data Sheet'!I43</f>
      </c>
      <c r="J6" s="8">
        <f>'Data Sheet'!J43</f>
      </c>
      <c r="K6" s="8">
        <f>'Data Sheet'!K43</f>
      </c>
    </row>
    <row r="7" spans="1:11" x14ac:dyDescent="0.25">
      <c r="A7" s="5" t="s">
        <v>8</v>
      </c>
      <c r="B7" s="8">
        <f>'Data Sheet'!B50</f>
      </c>
      <c r="C7" s="8">
        <f>'Data Sheet'!C50</f>
      </c>
      <c r="D7" s="8">
        <f>'Data Sheet'!D50</f>
      </c>
      <c r="E7" s="8">
        <f>'Data Sheet'!E50</f>
      </c>
      <c r="F7" s="8">
        <f>'Data Sheet'!F50</f>
      </c>
      <c r="G7" s="8">
        <f>'Data Sheet'!G50</f>
      </c>
      <c r="H7" s="8">
        <f>'Data Sheet'!H50</f>
      </c>
      <c r="I7" s="8">
        <f>'Data Sheet'!I50</f>
      </c>
      <c r="J7" s="8">
        <f>'Data Sheet'!J50</f>
      </c>
      <c r="K7" s="8">
        <f>'Data Sheet'!K50</f>
      </c>
    </row>
    <row r="8" spans="1:11" x14ac:dyDescent="0.25">
      <c r="A8" s="5" t="s">
        <v>9</v>
      </c>
      <c r="B8" s="8">
        <f>'Data Sheet'!B44</f>
      </c>
      <c r="C8" s="8">
        <f>'Data Sheet'!C44</f>
      </c>
      <c r="D8" s="8">
        <f>'Data Sheet'!D44</f>
      </c>
      <c r="E8" s="8">
        <f>'Data Sheet'!E44</f>
      </c>
      <c r="F8" s="8">
        <f>'Data Sheet'!F44</f>
      </c>
      <c r="G8" s="8">
        <f>'Data Sheet'!G44</f>
      </c>
      <c r="H8" s="8">
        <f>'Data Sheet'!H44</f>
      </c>
      <c r="I8" s="8">
        <f>'Data Sheet'!I44</f>
      </c>
      <c r="J8" s="8">
        <f>'Data Sheet'!J44</f>
      </c>
      <c r="K8" s="8">
        <f>'Data Sheet'!K44</f>
      </c>
    </row>
    <row r="9" spans="1:11" x14ac:dyDescent="0.25">
      <c r="A9" s="5" t="s">
        <v>10</v>
      </c>
      <c r="B9" s="8">
        <f>'Data Sheet'!B45</f>
      </c>
      <c r="C9" s="8">
        <f>'Data Sheet'!C45</f>
      </c>
      <c r="D9" s="8">
        <f>'Data Sheet'!D45</f>
      </c>
      <c r="E9" s="8">
        <f>'Data Sheet'!E45</f>
      </c>
      <c r="F9" s="8">
        <f>'Data Sheet'!F45</f>
      </c>
      <c r="G9" s="8">
        <f>'Data Sheet'!G45</f>
      </c>
      <c r="H9" s="8">
        <f>'Data Sheet'!H45</f>
      </c>
      <c r="I9" s="8">
        <f>'Data Sheet'!I45</f>
      </c>
      <c r="J9" s="8">
        <f>'Data Sheet'!J45</f>
      </c>
      <c r="K9" s="8">
        <f>'Data Sheet'!K45</f>
      </c>
    </row>
    <row r="10" spans="1:11" x14ac:dyDescent="0.25">
      <c r="A10" s="5" t="s">
        <v>11</v>
      </c>
      <c r="B10" s="8">
        <f>'Data Sheet'!B46</f>
      </c>
      <c r="C10" s="8">
        <f>'Data Sheet'!C46</f>
      </c>
      <c r="D10" s="8">
        <f>'Data Sheet'!D46</f>
      </c>
      <c r="E10" s="8">
        <f>'Data Sheet'!E46</f>
      </c>
      <c r="F10" s="8">
        <f>'Data Sheet'!F46</f>
      </c>
      <c r="G10" s="8">
        <f>'Data Sheet'!G46</f>
      </c>
      <c r="H10" s="8">
        <f>'Data Sheet'!H46</f>
      </c>
      <c r="I10" s="8">
        <f>'Data Sheet'!I46</f>
      </c>
      <c r="J10" s="8">
        <f>'Data Sheet'!J46</f>
      </c>
      <c r="K10" s="8">
        <f>'Data Sheet'!K46</f>
      </c>
    </row>
    <row r="11" spans="1:11" x14ac:dyDescent="0.25">
      <c r="A11" s="5" t="s">
        <v>12</v>
      </c>
      <c r="B11" s="8">
        <f>'Data Sheet'!B47</f>
      </c>
      <c r="C11" s="8">
        <f>'Data Sheet'!C47</f>
      </c>
      <c r="D11" s="8">
        <f>'Data Sheet'!D47</f>
      </c>
      <c r="E11" s="8">
        <f>'Data Sheet'!E47</f>
      </c>
      <c r="F11" s="8">
        <f>'Data Sheet'!F47</f>
      </c>
      <c r="G11" s="8">
        <f>'Data Sheet'!G47</f>
      </c>
      <c r="H11" s="8">
        <f>'Data Sheet'!H47</f>
      </c>
      <c r="I11" s="8">
        <f>'Data Sheet'!I47</f>
      </c>
      <c r="J11" s="8">
        <f>'Data Sheet'!J47</f>
      </c>
      <c r="K11" s="8">
        <f>'Data Sheet'!K47</f>
      </c>
    </row>
    <row r="12" spans="1:11" x14ac:dyDescent="0.25">
      <c r="A12" s="5" t="s">
        <v>13</v>
      </c>
      <c r="B12" s="8">
        <f>'Data Sheet'!B48</f>
      </c>
      <c r="C12" s="8">
        <f>'Data Sheet'!C48</f>
      </c>
      <c r="D12" s="8">
        <f>'Data Sheet'!D48</f>
      </c>
      <c r="E12" s="8">
        <f>'Data Sheet'!E48</f>
      </c>
      <c r="F12" s="8">
        <f>'Data Sheet'!F48</f>
      </c>
      <c r="G12" s="8">
        <f>'Data Sheet'!G48</f>
      </c>
      <c r="H12" s="8">
        <f>'Data Sheet'!H48</f>
      </c>
      <c r="I12" s="8">
        <f>'Data Sheet'!I48</f>
      </c>
      <c r="J12" s="8">
        <f>'Data Sheet'!J48</f>
      </c>
      <c r="K12" s="8">
        <f>'Data Sheet'!K48</f>
      </c>
    </row>
    <row r="13" spans="1:11" s="7" customFormat="1" x14ac:dyDescent="0.25">
      <c r="A13" s="7" t="s">
        <v>14</v>
      </c>
      <c r="B13" s="1">
        <f>'Data Sheet'!B49</f>
      </c>
      <c r="C13" s="1">
        <f>'Data Sheet'!C49</f>
      </c>
      <c r="D13" s="1">
        <f>'Data Sheet'!D49</f>
      </c>
      <c r="E13" s="1">
        <f>'Data Sheet'!E49</f>
      </c>
      <c r="F13" s="1">
        <f>'Data Sheet'!F49</f>
      </c>
      <c r="G13" s="1">
        <f>'Data Sheet'!G49</f>
      </c>
      <c r="H13" s="1">
        <f>'Data Sheet'!H49</f>
      </c>
      <c r="I13" s="1">
        <f>'Data Sheet'!I49</f>
      </c>
      <c r="J13" s="1">
        <f>'Data Sheet'!J49</f>
      </c>
      <c r="K13" s="1">
        <f>'Data Sheet'!K49</f>
      </c>
    </row>
    <row r="14" spans="1:11" s="7" customFormat="1" x14ac:dyDescent="0.25">
      <c r="A14" s="36" t="s">
        <v>94</v>
      </c>
      <c r="B14" s="34">
        <f>B13</f>
      </c>
      <c r="C14" s="34">
        <f>Quarters[[#This Row],[Column2]]*(1+$D$2)</f>
      </c>
      <c r="D14" s="34">
        <f>Quarters[[#This Row],[Column3]]*(1+$D$2)</f>
      </c>
      <c r="E14" s="34">
        <f>Quarters[[#This Row],[Column4]]*(1+$D$2)</f>
      </c>
      <c r="F14" s="34">
        <f>Quarters[[#This Row],[Column5]]*(1+$D$2)</f>
      </c>
      <c r="G14" s="34">
        <f>Quarters[[#This Row],[Column6]]*(1+$D$2)</f>
      </c>
      <c r="H14" s="34">
        <f>Quarters[[#This Row],[Column7]]*(1+$D$2)</f>
      </c>
      <c r="I14" s="34">
        <f>Quarters[[#This Row],[Column8]]*(1+$D$2)</f>
      </c>
      <c r="J14" s="34">
        <f>Quarters[[#This Row],[Column9]]*(1+$D$2)</f>
      </c>
      <c r="K14" s="34">
        <f>Quarters[[#This Row],[Column10]]*(1+$D$2)</f>
      </c>
    </row>
    <row r="16" spans="1:11" s="7" customFormat="1" x14ac:dyDescent="0.25">
      <c r="A16" s="2" t="s">
        <v>18</v>
      </c>
      <c r="B16" s="13">
        <f>IF(B4&gt;0,B7/B4,"")</f>
      </c>
      <c r="C16" s="13">
        <f t="shared" ref="C16:K16" si="0">IF(C4&gt;0,C7/C4,"")</f>
      </c>
      <c r="D16" s="13">
        <f t="shared" si="0"/>
      </c>
      <c r="E16" s="13">
        <f t="shared" si="0"/>
      </c>
      <c r="F16" s="13">
        <f t="shared" si="0"/>
      </c>
      <c r="G16" s="13">
        <f t="shared" si="0"/>
      </c>
      <c r="H16" s="13">
        <f t="shared" si="0"/>
      </c>
      <c r="I16" s="13">
        <f t="shared" si="0"/>
      </c>
      <c r="J16" s="13">
        <f t="shared" si="0"/>
      </c>
      <c r="K16" s="13">
        <f t="shared" si="0"/>
      </c>
    </row>
    <row r="17" spans="1:11" s="7" customFormat="1" x14ac:dyDescent="0.25">
      <c r="A17" s="2" t="s">
        <v>97</v>
      </c>
      <c r="B17" s="13">
        <f>AVERAGE(B16)</f>
      </c>
      <c r="C17" s="13">
        <f>AVERAGE(B16:C16)</f>
      </c>
      <c r="D17" s="13">
        <f>AVERAGE(B16:D16)</f>
      </c>
      <c r="E17" s="13">
        <f>AVERAGE(B16:E16)</f>
      </c>
      <c r="F17" s="13">
        <f>AVERAGE(B16:F16)</f>
      </c>
      <c r="G17" s="13">
        <f>AVERAGE(B16:G16)</f>
      </c>
      <c r="H17" s="13">
        <f>AVERAGE(B16:H16)</f>
      </c>
      <c r="I17" s="13">
        <f>AVERAGE(B16:I16)</f>
      </c>
      <c r="J17" s="13">
        <f>AVERAGE(B16:J16)</f>
      </c>
      <c r="K17" s="13">
        <f>AVERAGE(B16:K16)</f>
      </c>
    </row>
    <row r="25" spans="1:11" s="29" customFormat="1" x14ac:dyDescent="0.25"/>
  </sheetData>
  <hyperlinks>
    <hyperlink ref="J1" r:id="rId1" xr:uid="{00000000-0004-0000-0100-000000000000}"/>
  </hyperlinks>
  <printOptions gridLines="1"/>
  <pageMargins left="0.7" right="0.7" top="0.75" bottom="0.75" header="0.3" footer="0.3"/>
  <pageSetup paperSize="9" scale="83" orientation="landscape" horizontalDpi="300" verticalDpi="300"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L33"/>
  <sheetViews>
    <sheetView workbookViewId="0">
      <pane xSplit="1" ySplit="3" topLeftCell="B11" activePane="bottomRight" state="frozen"/>
      <selection activeCell="Q21" sqref="Q21"/>
      <selection pane="topRight" activeCell="Q21" sqref="Q21"/>
      <selection pane="bottomLeft" activeCell="Q21" sqref="Q21"/>
      <selection pane="bottomRight" activeCell="B33" sqref="B33:K33"/>
    </sheetView>
  </sheetViews>
  <sheetFormatPr defaultColWidth="9.140625" defaultRowHeight="15" x14ac:dyDescent="0.25"/>
  <cols>
    <col min="1" max="1" width="22.85546875" style="10" bestFit="1" customWidth="1"/>
    <col min="2" max="2" width="13.5703125" style="10" customWidth="1"/>
    <col min="3" max="11" width="15.5703125" style="10" customWidth="1"/>
    <col min="12" max="16384" width="9.140625" style="10"/>
  </cols>
  <sheetData>
    <row r="1" spans="1:11" s="7" customFormat="1" x14ac:dyDescent="0.25">
      <c r="A1" s="7" t="str">
        <f>'Profit &amp; Loss'!A1</f>
      </c>
      <c r="E1" t="str">
        <f>UPDATE</f>
      </c>
      <c r="G1"/>
      <c r="J1" s="3" t="s">
        <v>1</v>
      </c>
      <c r="K1" s="3"/>
    </row>
    <row r="2" spans="1:11" x14ac:dyDescent="0.25">
      <c r="G2" s="7"/>
      <c r="H2" s="7"/>
    </row>
    <row r="3" spans="1:11" s="17" customFormat="1" x14ac:dyDescent="0.25">
      <c r="A3" s="14" t="s">
        <v>2</v>
      </c>
      <c r="B3" s="15">
        <f>'Data Sheet'!B56</f>
      </c>
      <c r="C3" s="15">
        <f>'Data Sheet'!C56</f>
      </c>
      <c r="D3" s="15">
        <f>'Data Sheet'!D56</f>
      </c>
      <c r="E3" s="15">
        <f>'Data Sheet'!E56</f>
      </c>
      <c r="F3" s="15">
        <f>'Data Sheet'!F56</f>
      </c>
      <c r="G3" s="15">
        <f>'Data Sheet'!G56</f>
      </c>
      <c r="H3" s="15">
        <f>'Data Sheet'!H56</f>
      </c>
      <c r="I3" s="15">
        <f>'Data Sheet'!I56</f>
      </c>
      <c r="J3" s="15">
        <f>'Data Sheet'!J56</f>
      </c>
      <c r="K3" s="15">
        <f>'Data Sheet'!K56</f>
      </c>
    </row>
    <row r="4" spans="1:11" x14ac:dyDescent="0.25">
      <c r="A4" s="5" t="s">
        <v>187</v>
      </c>
      <c r="B4" s="18">
        <f>B5+B6</f>
      </c>
      <c r="C4" s="18">
        <f>C5+C6</f>
      </c>
      <c r="D4" s="18">
        <f t="shared" ref="D4:K4" si="0">D5+D6</f>
      </c>
      <c r="E4" s="18">
        <f t="shared" si="0"/>
      </c>
      <c r="F4" s="18">
        <f t="shared" si="0"/>
      </c>
      <c r="G4" s="18">
        <f t="shared" si="0"/>
      </c>
      <c r="H4" s="18">
        <f t="shared" si="0"/>
      </c>
      <c r="I4" s="18">
        <f t="shared" si="0"/>
      </c>
      <c r="J4" s="18">
        <f t="shared" si="0"/>
      </c>
      <c r="K4" s="18">
        <f t="shared" si="0"/>
      </c>
    </row>
    <row r="5" spans="1:11" x14ac:dyDescent="0.25">
      <c r="A5" s="5" t="s">
        <v>24</v>
      </c>
      <c r="B5" s="18">
        <f>'Data Sheet'!B57</f>
      </c>
      <c r="C5" s="18">
        <f>'Data Sheet'!C57</f>
      </c>
      <c r="D5" s="18">
        <f>'Data Sheet'!D57</f>
      </c>
      <c r="E5" s="18">
        <f>'Data Sheet'!E57</f>
      </c>
      <c r="F5" s="18">
        <f>'Data Sheet'!F57</f>
      </c>
      <c r="G5" s="18">
        <f>'Data Sheet'!G57</f>
      </c>
      <c r="H5" s="18">
        <f>'Data Sheet'!H57</f>
      </c>
      <c r="I5" s="18">
        <f>'Data Sheet'!I57</f>
      </c>
      <c r="J5" s="18">
        <f>'Data Sheet'!J57</f>
      </c>
      <c r="K5" s="18">
        <f>'Data Sheet'!K57</f>
      </c>
    </row>
    <row r="6" spans="1:11" s="5" customFormat="1" x14ac:dyDescent="0.25">
      <c r="A6" s="5" t="s">
        <v>25</v>
      </c>
      <c r="B6" s="18">
        <f>'Data Sheet'!B58</f>
      </c>
      <c r="C6" s="18">
        <f>'Data Sheet'!C58</f>
      </c>
      <c r="D6" s="18">
        <f>'Data Sheet'!D58</f>
      </c>
      <c r="E6" s="18">
        <f>'Data Sheet'!E58</f>
      </c>
      <c r="F6" s="18">
        <f>'Data Sheet'!F58</f>
      </c>
      <c r="G6" s="18">
        <f>'Data Sheet'!G58</f>
      </c>
      <c r="H6" s="18">
        <f>'Data Sheet'!H58</f>
      </c>
      <c r="I6" s="18">
        <f>'Data Sheet'!I58</f>
      </c>
      <c r="J6" s="18">
        <f>'Data Sheet'!J58</f>
      </c>
      <c r="K6" s="18">
        <f>'Data Sheet'!K58</f>
      </c>
    </row>
    <row r="7" spans="1:11" x14ac:dyDescent="0.25">
      <c r="A7" s="10" t="s">
        <v>71</v>
      </c>
      <c r="B7" s="18">
        <f>'Data Sheet'!B59</f>
      </c>
      <c r="C7" s="18">
        <f>'Data Sheet'!C59</f>
      </c>
      <c r="D7" s="18">
        <f>'Data Sheet'!D59</f>
      </c>
      <c r="E7" s="18">
        <f>'Data Sheet'!E59</f>
      </c>
      <c r="F7" s="18">
        <f>'Data Sheet'!F59</f>
      </c>
      <c r="G7" s="18">
        <f>'Data Sheet'!G59</f>
      </c>
      <c r="H7" s="18">
        <f>'Data Sheet'!H59</f>
      </c>
      <c r="I7" s="18">
        <f>'Data Sheet'!I59</f>
      </c>
      <c r="J7" s="18">
        <f>'Data Sheet'!J59</f>
      </c>
      <c r="K7" s="18">
        <f>'Data Sheet'!K59</f>
      </c>
    </row>
    <row r="8" spans="1:11" s="5" customFormat="1" x14ac:dyDescent="0.25">
      <c r="A8" s="10" t="s">
        <v>72</v>
      </c>
      <c r="B8" s="18">
        <f>'Data Sheet'!B60</f>
      </c>
      <c r="C8" s="18">
        <f>'Data Sheet'!C60</f>
      </c>
      <c r="D8" s="18">
        <f>'Data Sheet'!D60</f>
      </c>
      <c r="E8" s="18">
        <f>'Data Sheet'!E60</f>
      </c>
      <c r="F8" s="18">
        <f>'Data Sheet'!F60</f>
      </c>
      <c r="G8" s="18">
        <f>'Data Sheet'!G60</f>
      </c>
      <c r="H8" s="18">
        <f>'Data Sheet'!H60</f>
      </c>
      <c r="I8" s="18">
        <f>'Data Sheet'!I60</f>
      </c>
      <c r="J8" s="18">
        <f>'Data Sheet'!J60</f>
      </c>
      <c r="K8" s="18">
        <f>'Data Sheet'!K60</f>
      </c>
    </row>
    <row r="9" spans="1:11" s="7" customFormat="1" x14ac:dyDescent="0.25">
      <c r="A9" s="7" t="s">
        <v>26</v>
      </c>
      <c r="B9" s="19">
        <f>'Data Sheet'!B61</f>
      </c>
      <c r="C9" s="19">
        <f>'Data Sheet'!C61</f>
      </c>
      <c r="D9" s="19">
        <f>'Data Sheet'!D61</f>
      </c>
      <c r="E9" s="19">
        <f>'Data Sheet'!E61</f>
      </c>
      <c r="F9" s="19">
        <f>'Data Sheet'!F61</f>
      </c>
      <c r="G9" s="19">
        <f>'Data Sheet'!G61</f>
      </c>
      <c r="H9" s="19">
        <f>'Data Sheet'!H61</f>
      </c>
      <c r="I9" s="19">
        <f>'Data Sheet'!I61</f>
      </c>
      <c r="J9" s="19">
        <f>'Data Sheet'!J61</f>
      </c>
      <c r="K9" s="19">
        <f>'Data Sheet'!K61</f>
      </c>
    </row>
    <row r="10" spans="1:11" s="7" customFormat="1" x14ac:dyDescent="0.25">
      <c r="B10" s="19"/>
      <c r="C10" s="19"/>
      <c r="D10" s="19"/>
      <c r="E10" s="19"/>
      <c r="F10" s="19"/>
      <c r="G10" s="19"/>
      <c r="H10" s="19"/>
      <c r="I10" s="19"/>
      <c r="J10" s="19"/>
      <c r="K10" s="19"/>
    </row>
    <row r="11" spans="1:11" x14ac:dyDescent="0.25">
      <c r="A11" s="5" t="s">
        <v>27</v>
      </c>
      <c r="B11" s="18">
        <f>'Data Sheet'!B62</f>
      </c>
      <c r="C11" s="18">
        <f>'Data Sheet'!C62</f>
      </c>
      <c r="D11" s="18">
        <f>'Data Sheet'!D62</f>
      </c>
      <c r="E11" s="18">
        <f>'Data Sheet'!E62</f>
      </c>
      <c r="F11" s="18">
        <f>'Data Sheet'!F62</f>
      </c>
      <c r="G11" s="18">
        <f>'Data Sheet'!G62</f>
      </c>
      <c r="H11" s="18">
        <f>'Data Sheet'!H62</f>
      </c>
      <c r="I11" s="18">
        <f>'Data Sheet'!I62</f>
      </c>
      <c r="J11" s="18">
        <f>'Data Sheet'!J62</f>
      </c>
      <c r="K11" s="18">
        <f>'Data Sheet'!K62</f>
      </c>
    </row>
    <row r="12" spans="1:11" x14ac:dyDescent="0.25">
      <c r="A12" s="5" t="s">
        <v>28</v>
      </c>
      <c r="B12" s="18">
        <f>'Data Sheet'!B63</f>
      </c>
      <c r="C12" s="18">
        <f>'Data Sheet'!C63</f>
      </c>
      <c r="D12" s="18">
        <f>'Data Sheet'!D63</f>
      </c>
      <c r="E12" s="18">
        <f>'Data Sheet'!E63</f>
      </c>
      <c r="F12" s="18">
        <f>'Data Sheet'!F63</f>
      </c>
      <c r="G12" s="18">
        <f>'Data Sheet'!G63</f>
      </c>
      <c r="H12" s="18">
        <f>'Data Sheet'!H63</f>
      </c>
      <c r="I12" s="18">
        <f>'Data Sheet'!I63</f>
      </c>
      <c r="J12" s="18">
        <f>'Data Sheet'!J63</f>
      </c>
      <c r="K12" s="18">
        <f>'Data Sheet'!K63</f>
      </c>
    </row>
    <row r="13" spans="1:11" x14ac:dyDescent="0.25">
      <c r="A13" s="5" t="s">
        <v>29</v>
      </c>
      <c r="B13" s="18">
        <f>'Data Sheet'!B64</f>
      </c>
      <c r="C13" s="18">
        <f>'Data Sheet'!C64</f>
      </c>
      <c r="D13" s="18">
        <f>'Data Sheet'!D64</f>
      </c>
      <c r="E13" s="18">
        <f>'Data Sheet'!E64</f>
      </c>
      <c r="F13" s="18">
        <f>'Data Sheet'!F64</f>
      </c>
      <c r="G13" s="18">
        <f>'Data Sheet'!G64</f>
      </c>
      <c r="H13" s="18">
        <f>'Data Sheet'!H64</f>
      </c>
      <c r="I13" s="18">
        <f>'Data Sheet'!I64</f>
      </c>
      <c r="J13" s="18">
        <f>'Data Sheet'!J64</f>
      </c>
      <c r="K13" s="18">
        <f>'Data Sheet'!K64</f>
      </c>
    </row>
    <row r="14" spans="1:11" x14ac:dyDescent="0.25">
      <c r="A14" s="10" t="s">
        <v>73</v>
      </c>
      <c r="B14" s="18">
        <f>'Data Sheet'!B65</f>
      </c>
      <c r="C14" s="18">
        <f>'Data Sheet'!C65</f>
      </c>
      <c r="D14" s="18">
        <f>'Data Sheet'!D65</f>
      </c>
      <c r="E14" s="18">
        <f>'Data Sheet'!E65</f>
      </c>
      <c r="F14" s="18">
        <f>'Data Sheet'!F65</f>
      </c>
      <c r="G14" s="18">
        <f>'Data Sheet'!G65</f>
      </c>
      <c r="H14" s="18">
        <f>'Data Sheet'!H65</f>
      </c>
      <c r="I14" s="18">
        <f>'Data Sheet'!I65</f>
      </c>
      <c r="J14" s="18">
        <f>'Data Sheet'!J65</f>
      </c>
      <c r="K14" s="18">
        <f>'Data Sheet'!K65</f>
      </c>
    </row>
    <row r="15" spans="1:11" s="7" customFormat="1" x14ac:dyDescent="0.25">
      <c r="A15" s="7" t="s">
        <v>26</v>
      </c>
      <c r="B15" s="18">
        <f>'Data Sheet'!B66</f>
      </c>
      <c r="C15" s="18">
        <f>'Data Sheet'!C66</f>
      </c>
      <c r="D15" s="18">
        <f>'Data Sheet'!D66</f>
      </c>
      <c r="E15" s="18">
        <f>'Data Sheet'!E66</f>
      </c>
      <c r="F15" s="18">
        <f>'Data Sheet'!F66</f>
      </c>
      <c r="G15" s="18">
        <f>'Data Sheet'!G66</f>
      </c>
      <c r="H15" s="18">
        <f>'Data Sheet'!H66</f>
      </c>
      <c r="I15" s="18">
        <f>'Data Sheet'!I66</f>
      </c>
      <c r="J15" s="18">
        <f>'Data Sheet'!J66</f>
      </c>
      <c r="K15" s="18">
        <f>'Data Sheet'!K66</f>
      </c>
    </row>
    <row r="16" spans="1:11" x14ac:dyDescent="0.25">
      <c r="A16" s="5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1:12" x14ac:dyDescent="0.25">
      <c r="A17" s="28" t="s">
        <v>30</v>
      </c>
      <c r="B17" s="20">
        <f>B14-B8</f>
      </c>
      <c r="C17" s="20">
        <f t="shared" ref="C17:K17" si="1">C14-C8</f>
      </c>
      <c r="D17" s="20">
        <f t="shared" si="1"/>
      </c>
      <c r="E17" s="20">
        <f t="shared" si="1"/>
      </c>
      <c r="F17" s="20">
        <f t="shared" si="1"/>
      </c>
      <c r="G17" s="20">
        <f t="shared" si="1"/>
      </c>
      <c r="H17" s="20">
        <f t="shared" si="1"/>
      </c>
      <c r="I17" s="20">
        <f t="shared" si="1"/>
      </c>
      <c r="J17" s="20">
        <f t="shared" si="1"/>
      </c>
      <c r="K17" s="20">
        <f t="shared" si="1"/>
      </c>
    </row>
    <row r="18" spans="1:12" x14ac:dyDescent="0.25">
      <c r="A18" s="10" t="s">
        <v>44</v>
      </c>
      <c r="B18" s="20">
        <f>'Data Sheet'!B67</f>
      </c>
      <c r="C18" s="20">
        <f>'Data Sheet'!C67</f>
      </c>
      <c r="D18" s="20">
        <f>'Data Sheet'!D67</f>
      </c>
      <c r="E18" s="20">
        <f>'Data Sheet'!E67</f>
      </c>
      <c r="F18" s="20">
        <f>'Data Sheet'!F67</f>
      </c>
      <c r="G18" s="20">
        <f>'Data Sheet'!G67</f>
      </c>
      <c r="H18" s="20">
        <f>'Data Sheet'!H67</f>
      </c>
      <c r="I18" s="20">
        <f>'Data Sheet'!I67</f>
      </c>
      <c r="J18" s="20">
        <f>'Data Sheet'!J67</f>
      </c>
      <c r="K18" s="20">
        <f>'Data Sheet'!K67</f>
      </c>
    </row>
    <row r="19" spans="1:12" x14ac:dyDescent="0.25">
      <c r="A19" s="10" t="s">
        <v>45</v>
      </c>
      <c r="B19" s="20">
        <f>'Data Sheet'!B68</f>
      </c>
      <c r="C19" s="20">
        <f>'Data Sheet'!C68</f>
      </c>
      <c r="D19" s="20">
        <f>'Data Sheet'!D68</f>
      </c>
      <c r="E19" s="20">
        <f>'Data Sheet'!E68</f>
      </c>
      <c r="F19" s="20">
        <f>'Data Sheet'!F68</f>
      </c>
      <c r="G19" s="20">
        <f>'Data Sheet'!G68</f>
      </c>
      <c r="H19" s="20">
        <f>'Data Sheet'!H68</f>
      </c>
      <c r="I19" s="20">
        <f>'Data Sheet'!I68</f>
      </c>
      <c r="J19" s="20">
        <f>'Data Sheet'!J68</f>
      </c>
      <c r="K19" s="20">
        <f>'Data Sheet'!K68</f>
      </c>
    </row>
    <row r="21" spans="1:12" x14ac:dyDescent="0.25">
      <c r="A21" s="10" t="s">
        <v>46</v>
      </c>
      <c r="B21" s="4">
        <f>IF('Profit &amp; Loss'!B4&gt;0,'Balance Sheet'!B18/('Profit &amp; Loss'!B4/365),0)</f>
      </c>
      <c r="C21" s="4">
        <f>IF('Profit &amp; Loss'!C4&gt;0,'Balance Sheet'!C18/('Profit &amp; Loss'!C4/365),0)</f>
      </c>
      <c r="D21" s="4">
        <f>IF('Profit &amp; Loss'!D4&gt;0,'Balance Sheet'!D18/('Profit &amp; Loss'!D4/365),0)</f>
      </c>
      <c r="E21" s="4">
        <f>IF('Profit &amp; Loss'!E4&gt;0,'Balance Sheet'!E18/('Profit &amp; Loss'!E4/365),0)</f>
      </c>
      <c r="F21" s="4">
        <f>IF('Profit &amp; Loss'!F4&gt;0,'Balance Sheet'!F18/('Profit &amp; Loss'!F4/365),0)</f>
      </c>
      <c r="G21" s="4">
        <f>IF('Profit &amp; Loss'!G4&gt;0,'Balance Sheet'!G18/('Profit &amp; Loss'!G4/365),0)</f>
      </c>
      <c r="H21" s="4">
        <f>IF('Profit &amp; Loss'!H4&gt;0,'Balance Sheet'!H18/('Profit &amp; Loss'!H4/365),0)</f>
      </c>
      <c r="I21" s="4">
        <f>IF('Profit &amp; Loss'!I4&gt;0,'Balance Sheet'!I18/('Profit &amp; Loss'!I4/365),0)</f>
      </c>
      <c r="J21" s="4">
        <f>IF('Profit &amp; Loss'!J4&gt;0,'Balance Sheet'!J18/('Profit &amp; Loss'!J4/365),0)</f>
      </c>
      <c r="K21" s="4">
        <f>IF('Profit &amp; Loss'!K4&gt;0,'Balance Sheet'!K18/('Profit &amp; Loss'!K4/365),0)</f>
      </c>
    </row>
    <row r="22" spans="1:12" x14ac:dyDescent="0.25">
      <c r="A22" s="10" t="s">
        <v>47</v>
      </c>
      <c r="B22" s="4">
        <f>IF('Balance Sheet'!B19&gt;0,'Profit &amp; Loss'!B4/'Balance Sheet'!B19,0)</f>
      </c>
      <c r="C22" s="4">
        <f>IF('Balance Sheet'!C19&gt;0,'Profit &amp; Loss'!C4/'Balance Sheet'!C19,0)</f>
      </c>
      <c r="D22" s="4">
        <f>IF('Balance Sheet'!D19&gt;0,'Profit &amp; Loss'!D4/'Balance Sheet'!D19,0)</f>
      </c>
      <c r="E22" s="4">
        <f>IF('Balance Sheet'!E19&gt;0,'Profit &amp; Loss'!E4/'Balance Sheet'!E19,0)</f>
      </c>
      <c r="F22" s="4">
        <f>IF('Balance Sheet'!F19&gt;0,'Profit &amp; Loss'!F4/'Balance Sheet'!F19,0)</f>
      </c>
      <c r="G22" s="4">
        <f>IF('Balance Sheet'!G19&gt;0,'Profit &amp; Loss'!G4/'Balance Sheet'!G19,0)</f>
      </c>
      <c r="H22" s="4">
        <f>IF('Balance Sheet'!H19&gt;0,'Profit &amp; Loss'!H4/'Balance Sheet'!H19,0)</f>
      </c>
      <c r="I22" s="4">
        <f>IF('Balance Sheet'!I19&gt;0,'Profit &amp; Loss'!I4/'Balance Sheet'!I19,0)</f>
      </c>
      <c r="J22" s="4">
        <f>IF('Balance Sheet'!J19&gt;0,'Profit &amp; Loss'!J4/'Balance Sheet'!J19,0)</f>
      </c>
      <c r="K22" s="4">
        <f>IF('Balance Sheet'!K19&gt;0,'Profit &amp; Loss'!K4/'Balance Sheet'!K19,0)</f>
      </c>
    </row>
    <row r="24" spans="1:12" s="7" customFormat="1" x14ac:dyDescent="0.25">
      <c r="A24" s="7" t="s">
        <v>60</v>
      </c>
      <c r="B24" s="13">
        <f>IF(SUM('Balance Sheet'!B5:B6)&gt;0,'Profit &amp; Loss'!B13/SUM('Balance Sheet'!B5:B6),"")</f>
      </c>
      <c r="C24" s="13">
        <f>IF(SUM('Balance Sheet'!C5:C6)&gt;0,'Profit &amp; Loss'!C13/SUM('Balance Sheet'!C5:C6),"")</f>
      </c>
      <c r="D24" s="13">
        <f>IF(SUM('Balance Sheet'!D5:D6)&gt;0,'Profit &amp; Loss'!D13/SUM('Balance Sheet'!D5:D6),"")</f>
      </c>
      <c r="E24" s="13">
        <f>IF(SUM('Balance Sheet'!E5:E6)&gt;0,'Profit &amp; Loss'!E13/SUM('Balance Sheet'!E5:E6),"")</f>
      </c>
      <c r="F24" s="13">
        <f>IF(SUM('Balance Sheet'!F5:F6)&gt;0,'Profit &amp; Loss'!F13/SUM('Balance Sheet'!F5:F6),"")</f>
      </c>
      <c r="G24" s="13">
        <f>IF(SUM('Balance Sheet'!G5:G6)&gt;0,'Profit &amp; Loss'!G13/SUM('Balance Sheet'!G5:G6),"")</f>
      </c>
      <c r="H24" s="13">
        <f>IF(SUM('Balance Sheet'!H5:H6)&gt;0,'Profit &amp; Loss'!H13/SUM('Balance Sheet'!H5:H6),"")</f>
      </c>
      <c r="I24" s="13">
        <f>IF(SUM('Balance Sheet'!I5:I6)&gt;0,'Profit &amp; Loss'!I13/SUM('Balance Sheet'!I5:I6),"")</f>
      </c>
      <c r="J24" s="13">
        <f>IF(SUM('Balance Sheet'!J5:J6)&gt;0,'Profit &amp; Loss'!J13/SUM('Balance Sheet'!J5:J6),"")</f>
      </c>
      <c r="K24" s="13">
        <f>IF(SUM('Balance Sheet'!K5:K6)&gt;0,'Profit &amp; Loss'!K13/SUM('Balance Sheet'!K5:K6),"")</f>
      </c>
    </row>
    <row r="25" spans="1:12" s="7" customFormat="1" x14ac:dyDescent="0.25">
      <c r="A25" s="7" t="s">
        <v>61</v>
      </c>
      <c r="B25" s="13">
        <f>IF(('Balance Sheet'!B11+'Balance Sheet'!B17)&gt;0,('Profit &amp; Loss'!B7-'Profit &amp; Loss'!B9-'Profit &amp; Loss'!B12)/('Balance Sheet'!B11+'Balance Sheet'!B17),"")</f>
      </c>
      <c r="C25" s="13">
        <f>IF(('Balance Sheet'!C11+'Balance Sheet'!C17)&gt;0,('Profit &amp; Loss'!C7-'Profit &amp; Loss'!C9-'Profit &amp; Loss'!C12)/('Balance Sheet'!C11+'Balance Sheet'!C17),"")</f>
      </c>
      <c r="D25" s="13">
        <f>IF(('Balance Sheet'!D11+'Balance Sheet'!D17)&gt;0,('Profit &amp; Loss'!D7-'Profit &amp; Loss'!D9-'Profit &amp; Loss'!D12)/('Balance Sheet'!D11+'Balance Sheet'!D17),"")</f>
      </c>
      <c r="E25" s="13">
        <f>IF(('Balance Sheet'!E11+'Balance Sheet'!E17)&gt;0,('Profit &amp; Loss'!E7-'Profit &amp; Loss'!E9-'Profit &amp; Loss'!E12)/('Balance Sheet'!E11+'Balance Sheet'!E17),"")</f>
      </c>
      <c r="F25" s="13">
        <f>IF(('Balance Sheet'!F11+'Balance Sheet'!F17)&gt;0,('Profit &amp; Loss'!F7-'Profit &amp; Loss'!F9-'Profit &amp; Loss'!F12)/('Balance Sheet'!F11+'Balance Sheet'!F17),"")</f>
      </c>
      <c r="G25" s="13">
        <f>IF(('Balance Sheet'!G11+'Balance Sheet'!G17)&gt;0,('Profit &amp; Loss'!G7-'Profit &amp; Loss'!G9-'Profit &amp; Loss'!G12)/('Balance Sheet'!G11+'Balance Sheet'!G17),"")</f>
      </c>
      <c r="H25" s="13">
        <f>IF(('Balance Sheet'!H11+'Balance Sheet'!H17)&gt;0,('Profit &amp; Loss'!H7-'Profit &amp; Loss'!H9-'Profit &amp; Loss'!H12)/('Balance Sheet'!H11+'Balance Sheet'!H17),"")</f>
      </c>
      <c r="I25" s="13">
        <f>IF(('Balance Sheet'!I11+'Balance Sheet'!I17)&gt;0,('Profit &amp; Loss'!I7-'Profit &amp; Loss'!I9-'Profit &amp; Loss'!I12)/('Balance Sheet'!I11+'Balance Sheet'!I17),"")</f>
      </c>
      <c r="J25" s="13">
        <f>IF(('Balance Sheet'!J11+'Balance Sheet'!J17)&gt;0,('Profit &amp; Loss'!J7-'Profit &amp; Loss'!J9-'Profit &amp; Loss'!J12)/('Balance Sheet'!J11+'Balance Sheet'!J17),"")</f>
      </c>
      <c r="K25" s="13">
        <f>IF(('Balance Sheet'!K11+'Balance Sheet'!K17)&gt;0,('Profit &amp; Loss'!K7-'Profit &amp; Loss'!K9-'Profit &amp; Loss'!K12)/('Balance Sheet'!K11+'Balance Sheet'!K17),"")</f>
      </c>
    </row>
    <row r="26" spans="1:12" s="17" customFormat="1" x14ac:dyDescent="0.25"/>
    <row r="27" spans="1:12" x14ac:dyDescent="0.25">
      <c r="A27" s="22" t="s">
        <v>38</v>
      </c>
      <c r="B27" s="15">
        <f>'Data Sheet'!B56</f>
      </c>
      <c r="C27" s="15">
        <f>'Data Sheet'!C56</f>
      </c>
      <c r="D27" s="15">
        <f>'Data Sheet'!D56</f>
      </c>
      <c r="E27" s="15">
        <f>'Data Sheet'!E56</f>
      </c>
      <c r="F27" s="15">
        <f>'Data Sheet'!F56</f>
      </c>
      <c r="G27" s="15">
        <f>'Data Sheet'!G56</f>
      </c>
      <c r="H27" s="15">
        <f>'Data Sheet'!H56</f>
      </c>
      <c r="I27" s="15">
        <f>'Data Sheet'!I56</f>
      </c>
      <c r="J27" s="15">
        <f>'Data Sheet'!J56</f>
      </c>
      <c r="K27" s="15">
        <f>'Data Sheet'!K56</f>
      </c>
    </row>
    <row r="28" spans="1:12" x14ac:dyDescent="0.25">
      <c r="A28" s="8" t="s">
        <v>24</v>
      </c>
      <c r="B28">
        <f>B29</f>
      </c>
      <c r="C28" s="10">
        <f t="shared" ref="C28:K28" si="2">C29-B29</f>
      </c>
      <c r="D28" s="10">
        <f t="shared" si="2"/>
      </c>
      <c r="E28" s="10">
        <f t="shared" si="2"/>
      </c>
      <c r="F28" s="10">
        <f t="shared" si="2"/>
      </c>
      <c r="G28" s="10">
        <f t="shared" si="2"/>
      </c>
      <c r="H28" s="10">
        <f t="shared" si="2"/>
      </c>
      <c r="I28" s="10">
        <f t="shared" si="2"/>
      </c>
      <c r="J28" s="10">
        <f t="shared" si="2"/>
      </c>
      <c r="K28" s="10">
        <f t="shared" si="2"/>
      </c>
      <c r="L28" s="17"/>
    </row>
    <row r="29" spans="1:12" s="4" customFormat="1" x14ac:dyDescent="0.25">
      <c r="A29" s="8" t="s">
        <v>24</v>
      </c>
      <c r="B29">
        <f>'Data Sheet'!B57</f>
      </c>
      <c r="C29">
        <f>'Data Sheet'!C57</f>
      </c>
      <c r="D29">
        <f>'Data Sheet'!D57</f>
      </c>
      <c r="E29">
        <f>'Data Sheet'!E57</f>
      </c>
      <c r="F29">
        <f>'Data Sheet'!F57</f>
      </c>
      <c r="G29">
        <f>'Data Sheet'!G57</f>
      </c>
      <c r="H29">
        <f>'Data Sheet'!H57</f>
      </c>
      <c r="I29">
        <f>'Data Sheet'!I57</f>
      </c>
      <c r="J29">
        <f>'Data Sheet'!J57</f>
      </c>
      <c r="K29">
        <f>'Data Sheet'!K57</f>
      </c>
    </row>
    <row r="32" spans="1:12" s="23" customFormat="1" x14ac:dyDescent="0.25">
      <c r="A32" s="22" t="s">
        <v>38</v>
      </c>
      <c r="B32" s="15">
        <f>'Data Sheet'!B56</f>
      </c>
      <c r="C32" s="15">
        <f>'Data Sheet'!C56</f>
      </c>
      <c r="D32" s="15">
        <f>'Data Sheet'!D56</f>
      </c>
      <c r="E32" s="15">
        <f>'Data Sheet'!E56</f>
      </c>
      <c r="F32" s="15">
        <f>'Data Sheet'!F56</f>
      </c>
      <c r="G32" s="15">
        <f>'Data Sheet'!G56</f>
      </c>
      <c r="H32" s="15">
        <f>'Data Sheet'!H56</f>
      </c>
      <c r="I32" s="15">
        <f>'Data Sheet'!I56</f>
      </c>
      <c r="J32" s="15">
        <f>'Data Sheet'!J56</f>
      </c>
      <c r="K32" s="15">
        <f>'Data Sheet'!K56</f>
      </c>
    </row>
    <row r="33" spans="1:11" s="4" customFormat="1" x14ac:dyDescent="0.25">
      <c r="A33" s="4" t="s">
        <v>87</v>
      </c>
      <c r="B33">
        <f>'Data Sheet'!B69</f>
      </c>
      <c r="C33">
        <f>'Data Sheet'!C69</f>
      </c>
      <c r="D33">
        <f>'Data Sheet'!D69</f>
      </c>
      <c r="E33">
        <f>'Data Sheet'!E69</f>
      </c>
      <c r="F33">
        <f>'Data Sheet'!F69</f>
      </c>
      <c r="G33">
        <f>'Data Sheet'!G69</f>
      </c>
      <c r="H33">
        <f>'Data Sheet'!H69</f>
      </c>
      <c r="I33">
        <f>'Data Sheet'!I69</f>
      </c>
      <c r="J33">
        <f>'Data Sheet'!J69</f>
      </c>
      <c r="K33">
        <f>'Data Sheet'!K69</f>
      </c>
    </row>
  </sheetData>
  <hyperlinks>
    <hyperlink ref="J1" r:id="rId1" xr:uid="{00000000-0004-0000-0200-000000000000}"/>
  </hyperlinks>
  <printOptions gridLines="1"/>
  <pageMargins left="0.7" right="0.7" top="0.75" bottom="0.75" header="0.3" footer="0.3"/>
  <pageSetup paperSize="9" orientation="landscape" horizontalDpi="0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1:K24"/>
  <sheetViews>
    <sheetView workbookViewId="0">
      <pane xSplit="1" ySplit="3" topLeftCell="D4" activePane="bottomRight" state="frozen"/>
      <selection activeCell="Q21" sqref="Q21"/>
      <selection pane="topRight" activeCell="Q21" sqref="Q21"/>
      <selection pane="bottomLeft" activeCell="Q21" sqref="Q21"/>
      <selection pane="bottomRight" activeCell="Q21" sqref="Q21"/>
    </sheetView>
  </sheetViews>
  <sheetFormatPr defaultColWidth="9.140625" defaultRowHeight="15" x14ac:dyDescent="0.25"/>
  <cols>
    <col min="1" max="1" width="26.85546875" style="5" bestFit="1" customWidth="1"/>
    <col min="2" max="6" width="13.5703125" style="5" customWidth="1"/>
    <col min="7" max="11" width="13.5703125" style="5" bestFit="1" customWidth="1"/>
    <col min="12" max="16384" width="9.140625" style="5"/>
  </cols>
  <sheetData>
    <row r="1" spans="1:11" s="7" customFormat="1" x14ac:dyDescent="0.25">
      <c r="A1" s="7" t="str">
        <f>'Balance Sheet'!A1</f>
      </c>
      <c r="E1" t="str">
        <f>UPDATE</f>
      </c>
      <c r="F1"/>
      <c r="J1" s="3" t="s">
        <v>1</v>
      </c>
      <c r="K1" s="3"/>
    </row>
    <row r="3" spans="1:11" s="2" customFormat="1" x14ac:dyDescent="0.25">
      <c r="A3" s="14" t="s">
        <v>2</v>
      </c>
      <c r="B3" s="15">
        <f>'Data Sheet'!B81</f>
      </c>
      <c r="C3" s="15">
        <f>'Data Sheet'!C81</f>
      </c>
      <c r="D3" s="15">
        <f>'Data Sheet'!D81</f>
      </c>
      <c r="E3" s="15">
        <f>'Data Sheet'!E81</f>
      </c>
      <c r="F3" s="15">
        <f>'Data Sheet'!F81</f>
      </c>
      <c r="G3" s="15">
        <f>'Data Sheet'!G81</f>
      </c>
      <c r="H3" s="15">
        <f>'Data Sheet'!H81</f>
      </c>
      <c r="I3" s="15">
        <f>'Data Sheet'!I81</f>
      </c>
      <c r="J3" s="15">
        <f>'Data Sheet'!J81</f>
      </c>
      <c r="K3" s="15">
        <f>'Data Sheet'!K81</f>
      </c>
    </row>
    <row r="4" spans="1:11" s="7" customFormat="1" x14ac:dyDescent="0.25">
      <c r="A4" s="7" t="s">
        <v>32</v>
      </c>
      <c r="B4" s="1">
        <f>'Data Sheet'!B82</f>
      </c>
      <c r="C4" s="1">
        <f>'Data Sheet'!C82</f>
      </c>
      <c r="D4" s="1">
        <f>'Data Sheet'!D82</f>
      </c>
      <c r="E4" s="1">
        <f>'Data Sheet'!E82</f>
      </c>
      <c r="F4" s="1">
        <f>'Data Sheet'!F82</f>
      </c>
      <c r="G4" s="1">
        <f>'Data Sheet'!G82</f>
      </c>
      <c r="H4" s="1">
        <f>'Data Sheet'!H82</f>
      </c>
      <c r="I4" s="1">
        <f>'Data Sheet'!I82</f>
      </c>
      <c r="J4" s="1">
        <f>'Data Sheet'!J82</f>
      </c>
      <c r="K4" s="1">
        <f>'Data Sheet'!K82</f>
      </c>
    </row>
    <row r="5" spans="1:11" x14ac:dyDescent="0.25">
      <c r="A5" s="5" t="s">
        <v>33</v>
      </c>
      <c r="B5" s="8">
        <f>'Data Sheet'!B83</f>
      </c>
      <c r="C5" s="8">
        <f>'Data Sheet'!C83</f>
      </c>
      <c r="D5" s="8">
        <f>'Data Sheet'!D83</f>
      </c>
      <c r="E5" s="8">
        <f>'Data Sheet'!E83</f>
      </c>
      <c r="F5" s="8">
        <f>'Data Sheet'!F83</f>
      </c>
      <c r="G5" s="8">
        <f>'Data Sheet'!G83</f>
      </c>
      <c r="H5" s="8">
        <f>'Data Sheet'!H83</f>
      </c>
      <c r="I5" s="8">
        <f>'Data Sheet'!I83</f>
      </c>
      <c r="J5" s="8">
        <f>'Data Sheet'!J83</f>
      </c>
      <c r="K5" s="8">
        <f>'Data Sheet'!K83</f>
      </c>
    </row>
    <row r="6" spans="1:11" x14ac:dyDescent="0.25">
      <c r="A6" s="5" t="s">
        <v>34</v>
      </c>
      <c r="B6" s="8">
        <f>'Data Sheet'!B84</f>
      </c>
      <c r="C6" s="8">
        <f>'Data Sheet'!C84</f>
      </c>
      <c r="D6" s="8">
        <f>'Data Sheet'!D84</f>
      </c>
      <c r="E6" s="8">
        <f>'Data Sheet'!E84</f>
      </c>
      <c r="F6" s="8">
        <f>'Data Sheet'!F84</f>
      </c>
      <c r="G6" s="8">
        <f>'Data Sheet'!G84</f>
      </c>
      <c r="H6" s="8">
        <f>'Data Sheet'!H84</f>
      </c>
      <c r="I6" s="8">
        <f>'Data Sheet'!I84</f>
      </c>
      <c r="J6" s="8">
        <f>'Data Sheet'!J84</f>
      </c>
      <c r="K6" s="8">
        <f>'Data Sheet'!K84</f>
      </c>
    </row>
    <row r="7" spans="1:11" s="7" customFormat="1" x14ac:dyDescent="0.25">
      <c r="A7" s="7" t="s">
        <v>35</v>
      </c>
      <c r="B7" s="1">
        <f>'Data Sheet'!B85</f>
      </c>
      <c r="C7" s="1">
        <f>'Data Sheet'!C85</f>
      </c>
      <c r="D7" s="1">
        <f>'Data Sheet'!D85</f>
      </c>
      <c r="E7" s="1">
        <f>'Data Sheet'!E85</f>
      </c>
      <c r="F7" s="1">
        <f>'Data Sheet'!F85</f>
      </c>
      <c r="G7" s="1">
        <f>'Data Sheet'!G85</f>
      </c>
      <c r="H7" s="1">
        <f>'Data Sheet'!H85</f>
      </c>
      <c r="I7" s="1">
        <f>'Data Sheet'!I85</f>
      </c>
      <c r="J7" s="1">
        <f>'Data Sheet'!J85</f>
      </c>
      <c r="K7" s="1">
        <f>'Data Sheet'!K85</f>
      </c>
    </row>
    <row r="8" spans="1:11" x14ac:dyDescent="0.25">
      <c r="A8" s="28"/>
      <c r="B8" s="8"/>
      <c r="C8" s="8"/>
      <c r="D8" s="8"/>
      <c r="E8" s="8"/>
      <c r="F8" s="8"/>
      <c r="G8" s="8"/>
      <c r="H8" s="8"/>
      <c r="I8" s="8"/>
      <c r="J8" s="8"/>
      <c r="K8" s="8"/>
    </row>
    <row r="24" s="28" customFormat="1" x14ac:dyDescent="0.25"/>
  </sheetData>
  <hyperlinks>
    <hyperlink ref="J1" r:id="rId1" xr:uid="{00000000-0004-0000-0300-000000000000}"/>
  </hyperlinks>
  <printOptions gridLines="1"/>
  <pageMargins left="0.7" right="0.7" top="0.75" bottom="0.75" header="0.3" footer="0.3"/>
  <pageSetup paperSize="9" orientation="landscape" horizontalDpi="0" verticalDpi="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G16"/>
  <sheetViews>
    <sheetView workbookViewId="0">
      <selection activeCell="B16" sqref="B16"/>
    </sheetView>
  </sheetViews>
  <sheetFormatPr defaultColWidth="9.140625" defaultRowHeight="15" x14ac:dyDescent="0.25"/>
  <cols>
    <col min="1" max="1" width="9.140625" style="7"/>
    <col min="2" max="2" width="10.5703125" style="10" customWidth="1"/>
    <col min="3" max="3" width="13.28515625" style="25" customWidth="1"/>
    <col min="4" max="5" width="9.140625" style="10"/>
    <col min="6" max="6" width="6.85546875" style="10" customWidth="1"/>
    <col min="7" max="16384" width="9.140625" style="10"/>
  </cols>
  <sheetData>
    <row r="1" spans="1:7" ht="21" x14ac:dyDescent="0.35">
      <c r="A1" s="24" t="s">
        <v>57</v>
      </c>
    </row>
    <row r="3" spans="1:7" x14ac:dyDescent="0.25">
      <c r="A3" s="7" t="s">
        <v>48</v>
      </c>
    </row>
    <row r="4" spans="1:7" x14ac:dyDescent="0.25">
      <c r="B4" s="10" t="s">
        <v>90</v>
      </c>
    </row>
    <row r="5" spans="1:7" x14ac:dyDescent="0.25">
      <c r="B5" s="10" t="s">
        <v>49</v>
      </c>
    </row>
    <row r="7" spans="1:7" x14ac:dyDescent="0.25">
      <c r="A7" s="7" t="s">
        <v>50</v>
      </c>
    </row>
    <row r="8" spans="1:7" x14ac:dyDescent="0.25">
      <c r="B8" s="10" t="s">
        <v>51</v>
      </c>
      <c r="C8" s="26" t="s">
        <v>91</v>
      </c>
    </row>
    <row r="10" spans="1:7" x14ac:dyDescent="0.25">
      <c r="A10" s="7" t="s">
        <v>52</v>
      </c>
    </row>
    <row r="11" spans="1:7" x14ac:dyDescent="0.25">
      <c r="B11" s="10" t="s">
        <v>53</v>
      </c>
    </row>
    <row r="14" spans="1:7" x14ac:dyDescent="0.25">
      <c r="A14" s="7" t="s">
        <v>54</v>
      </c>
    </row>
    <row r="15" spans="1:7" x14ac:dyDescent="0.25">
      <c r="B15" s="10" t="s">
        <v>55</v>
      </c>
    </row>
    <row r="16" spans="1:7" x14ac:dyDescent="0.25">
      <c r="B16" s="10" t="s">
        <v>56</v>
      </c>
      <c r="G16" s="27" t="s">
        <v>92</v>
      </c>
    </row>
  </sheetData>
  <hyperlinks>
    <hyperlink ref="C8" r:id="rId1" display=" http://www.screener.in/excel" xr:uid="{00000000-0004-0000-04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INTRODUCTION</vt:lpstr>
      <vt:lpstr>Funda @ glance</vt:lpstr>
      <vt:lpstr>Additional Graphs</vt:lpstr>
      <vt:lpstr>FIVEX</vt:lpstr>
      <vt:lpstr>Profit &amp; Loss</vt:lpstr>
      <vt:lpstr>Quarters</vt:lpstr>
      <vt:lpstr>Balance Sheet</vt:lpstr>
      <vt:lpstr>Cash Flow</vt:lpstr>
      <vt:lpstr>Customization</vt:lpstr>
      <vt:lpstr>Data Sheet</vt:lpstr>
      <vt:lpstr>UPDATE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Pratyush</dc:creator>
  <cp:lastModifiedBy>Balakrishna Shenoy</cp:lastModifiedBy>
  <cp:lastPrinted>2012-12-06T18:14:13Z</cp:lastPrinted>
  <dcterms:created xsi:type="dcterms:W3CDTF">2012-08-17T09:55:37Z</dcterms:created>
  <dcterms:modified xsi:type="dcterms:W3CDTF">2017-11-27T11:22:09Z</dcterms:modified>
</cp:coreProperties>
</file>