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New\"/>
    </mc:Choice>
  </mc:AlternateContent>
  <bookViews>
    <workbookView xWindow="0" yWindow="0" windowWidth="15360" windowHeight="7650" tabRatio="877" firstSheet="1" activeTab="8"/>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sheetId="21" r:id="rId16"/>
    <sheet name="Shareholding input" sheetId="31" r:id="rId17"/>
    <sheet name="Annual Report input" sheetId="24" r:id="rId18"/>
    <sheet name="Phil Fisher" sheetId="25"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workbook>
</file>

<file path=xl/calcChain.xml><?xml version="1.0" encoding="utf-8"?>
<calcChain xmlns="http://schemas.openxmlformats.org/spreadsheetml/2006/main">
  <c r="M31" i="20" l="1"/>
  <c r="M93" i="20"/>
  <c r="H11" i="16" s="1"/>
  <c r="L93" i="20"/>
  <c r="K93" i="20"/>
  <c r="F11" i="16" s="1"/>
  <c r="J93" i="20"/>
  <c r="E11" i="16" s="1"/>
  <c r="I93" i="20"/>
  <c r="H93" i="20"/>
  <c r="G93" i="20"/>
  <c r="F93" i="20"/>
  <c r="E93" i="20"/>
  <c r="D93" i="20"/>
  <c r="C93" i="20"/>
  <c r="G11" i="16"/>
  <c r="D11" i="16"/>
  <c r="C11" i="16"/>
  <c r="J17" i="11" l="1"/>
  <c r="E20" i="11" s="1"/>
  <c r="E22" i="11"/>
  <c r="K43" i="11"/>
  <c r="B53" i="11"/>
  <c r="E52" i="11"/>
  <c r="C52" i="11"/>
  <c r="D52" i="11" s="1"/>
  <c r="B54" i="11" l="1"/>
  <c r="B55" i="11"/>
  <c r="I41" i="11"/>
  <c r="K93" i="21" l="1"/>
  <c r="J93" i="21"/>
  <c r="I93" i="21"/>
  <c r="H93" i="21"/>
  <c r="G93" i="21"/>
  <c r="F93" i="21"/>
  <c r="E93" i="21"/>
  <c r="D93" i="21"/>
  <c r="C93" i="21"/>
  <c r="B93" i="21"/>
  <c r="B6" i="21"/>
  <c r="E1" i="21"/>
  <c r="E5" i="31"/>
  <c r="F5" i="31" s="1"/>
  <c r="G5" i="31" s="1"/>
  <c r="H5" i="31" s="1"/>
  <c r="D5" i="24" l="1"/>
  <c r="H26" i="31"/>
  <c r="G26" i="31"/>
  <c r="F26" i="31"/>
  <c r="E26" i="31"/>
  <c r="D26" i="31"/>
  <c r="C26" i="31"/>
  <c r="D17" i="31"/>
  <c r="H13" i="31"/>
  <c r="H17" i="31" s="1"/>
  <c r="G13" i="31"/>
  <c r="G17" i="31" s="1"/>
  <c r="F13" i="31"/>
  <c r="F17" i="31" s="1"/>
  <c r="E13" i="31"/>
  <c r="E17" i="31" s="1"/>
  <c r="D13" i="31"/>
  <c r="C13" i="31"/>
  <c r="C17" i="31" s="1"/>
  <c r="M29" i="20" l="1"/>
  <c r="M34" i="20"/>
  <c r="M132" i="20" s="1"/>
  <c r="M32" i="20"/>
  <c r="M30" i="20"/>
  <c r="N29" i="20"/>
  <c r="N25" i="20"/>
  <c r="M25" i="20"/>
  <c r="B41" i="11" s="1"/>
  <c r="M130" i="20" l="1"/>
  <c r="M131" i="20"/>
  <c r="B8" i="1"/>
  <c r="I26" i="18"/>
  <c r="L26" i="18" s="1"/>
  <c r="I25" i="18"/>
  <c r="F4" i="30"/>
  <c r="E4" i="30"/>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M127" i="20" l="1"/>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B42" i="11" l="1"/>
  <c r="E186" i="20"/>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K191" i="20" s="1"/>
  <c r="L190" i="20"/>
  <c r="L191" i="20" s="1"/>
  <c r="F5" i="27" s="1"/>
  <c r="D190" i="20"/>
  <c r="H191" i="20" l="1"/>
  <c r="H193" i="20"/>
  <c r="D189" i="20"/>
  <c r="E189" i="20"/>
  <c r="F189" i="20"/>
  <c r="G189" i="20"/>
  <c r="H189" i="20"/>
  <c r="I189" i="20"/>
  <c r="J189" i="20"/>
  <c r="K189" i="20"/>
  <c r="L189" i="20"/>
  <c r="C189" i="20"/>
  <c r="E185" i="20" l="1"/>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M74" i="20" l="1"/>
  <c r="B9" i="11" l="1"/>
  <c r="H5" i="28"/>
  <c r="B8" i="11"/>
  <c r="B46" i="11" l="1"/>
  <c r="E21" i="11"/>
  <c r="B13" i="1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H25" i="20"/>
  <c r="G41" i="11" s="1"/>
  <c r="I25" i="20"/>
  <c r="F41" i="11" s="1"/>
  <c r="J25" i="20"/>
  <c r="E41" i="11" s="1"/>
  <c r="K25" i="20"/>
  <c r="D41" i="11" s="1"/>
  <c r="L25" i="20"/>
  <c r="C41" i="11" s="1"/>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H8" i="16" s="1"/>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J114" i="20" s="1"/>
  <c r="I54" i="20"/>
  <c r="I6" i="20" s="1"/>
  <c r="H54" i="20"/>
  <c r="H6" i="20" s="1"/>
  <c r="G54" i="20"/>
  <c r="G6" i="20" s="1"/>
  <c r="F54" i="20"/>
  <c r="F6" i="20" s="1"/>
  <c r="F114"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L132" i="20" s="1"/>
  <c r="K34" i="20"/>
  <c r="J34" i="20"/>
  <c r="I34" i="20"/>
  <c r="H34" i="20"/>
  <c r="H132" i="20" s="1"/>
  <c r="G34" i="20"/>
  <c r="F34" i="20"/>
  <c r="E34" i="20"/>
  <c r="D34" i="20"/>
  <c r="D132" i="20" s="1"/>
  <c r="C34" i="20"/>
  <c r="L32" i="20"/>
  <c r="K32" i="20"/>
  <c r="J32" i="20"/>
  <c r="I32" i="20"/>
  <c r="H32" i="20"/>
  <c r="G32" i="20"/>
  <c r="F32" i="20"/>
  <c r="E32" i="20"/>
  <c r="D32" i="20"/>
  <c r="C32" i="20"/>
  <c r="L30" i="20"/>
  <c r="L130" i="20" s="1"/>
  <c r="K30" i="20"/>
  <c r="J30" i="20"/>
  <c r="I30" i="20"/>
  <c r="H30" i="20"/>
  <c r="H130" i="20" s="1"/>
  <c r="G30" i="20"/>
  <c r="F30" i="20"/>
  <c r="E30" i="20"/>
  <c r="D30" i="20"/>
  <c r="D130" i="20" s="1"/>
  <c r="C30" i="20"/>
  <c r="L29" i="20"/>
  <c r="K29" i="20"/>
  <c r="J29" i="20"/>
  <c r="I29" i="20"/>
  <c r="H29" i="20"/>
  <c r="G29" i="20"/>
  <c r="F29" i="20"/>
  <c r="E29" i="20"/>
  <c r="D29" i="20"/>
  <c r="C29" i="20"/>
  <c r="A27" i="20"/>
  <c r="L26" i="20"/>
  <c r="K26" i="20"/>
  <c r="J26" i="20"/>
  <c r="J95" i="20" s="1"/>
  <c r="J96" i="20" s="1"/>
  <c r="I26" i="20"/>
  <c r="H26" i="20"/>
  <c r="G26" i="20"/>
  <c r="F26" i="20"/>
  <c r="F95" i="20" s="1"/>
  <c r="F96" i="20" s="1"/>
  <c r="E26" i="20"/>
  <c r="D26" i="20"/>
  <c r="C26" i="20"/>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H15" i="20"/>
  <c r="H27" i="20" s="1"/>
  <c r="H113" i="20" s="1"/>
  <c r="G15" i="20"/>
  <c r="G27" i="20" s="1"/>
  <c r="F15" i="20"/>
  <c r="F27" i="20" s="1"/>
  <c r="E15" i="20"/>
  <c r="E27"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I113" i="20" l="1"/>
  <c r="E13" i="19"/>
  <c r="H41" i="11"/>
  <c r="E113" i="20"/>
  <c r="C95" i="20"/>
  <c r="C96" i="20" s="1"/>
  <c r="G95" i="20"/>
  <c r="G96" i="20" s="1"/>
  <c r="K95" i="20"/>
  <c r="K96" i="20" s="1"/>
  <c r="F131" i="20"/>
  <c r="E130" i="20"/>
  <c r="I130" i="20"/>
  <c r="C131" i="20"/>
  <c r="G131" i="20"/>
  <c r="K131" i="20"/>
  <c r="E132" i="20"/>
  <c r="I132" i="20"/>
  <c r="C114" i="20"/>
  <c r="G114" i="20"/>
  <c r="K114" i="20"/>
  <c r="J131" i="20"/>
  <c r="F130" i="20"/>
  <c r="J130" i="20"/>
  <c r="D131" i="20"/>
  <c r="H131" i="20"/>
  <c r="L131" i="20"/>
  <c r="L134" i="20" s="1"/>
  <c r="F132" i="20"/>
  <c r="J132" i="20"/>
  <c r="L4" i="19"/>
  <c r="C5" i="29"/>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C5" i="27"/>
  <c r="J41" i="11" s="1"/>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K8"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I88" i="20" s="1"/>
  <c r="D86" i="20"/>
  <c r="C11" i="15"/>
  <c r="G4" i="19"/>
  <c r="F31" i="20"/>
  <c r="F88" i="20" s="1"/>
  <c r="J31" i="20"/>
  <c r="J33" i="20" s="1"/>
  <c r="J35" i="20" s="1"/>
  <c r="J133" i="20" s="1"/>
  <c r="D89" i="20"/>
  <c r="H89" i="20"/>
  <c r="L89" i="20"/>
  <c r="D11" i="20"/>
  <c r="L11" i="20"/>
  <c r="E11" i="20"/>
  <c r="D23" i="20"/>
  <c r="D63" i="20" s="1"/>
  <c r="D80" i="20" s="1"/>
  <c r="H23" i="20"/>
  <c r="H63" i="20" s="1"/>
  <c r="L23" i="20"/>
  <c r="E23" i="20"/>
  <c r="E63" i="20" s="1"/>
  <c r="I23" i="20"/>
  <c r="I63" i="20" s="1"/>
  <c r="E86" i="20"/>
  <c r="I86" i="20"/>
  <c r="H3" i="19"/>
  <c r="I3" i="19"/>
  <c r="C9" i="15"/>
  <c r="E31" i="20"/>
  <c r="E88" i="20" s="1"/>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C88" i="20" s="1"/>
  <c r="G31" i="20"/>
  <c r="G33" i="20" s="1"/>
  <c r="G35" i="20" s="1"/>
  <c r="K31" i="20"/>
  <c r="K33" i="20" s="1"/>
  <c r="K35" i="20" s="1"/>
  <c r="K133" i="20" s="1"/>
  <c r="F86" i="20"/>
  <c r="J86" i="20"/>
  <c r="J4" i="19"/>
  <c r="F11" i="20"/>
  <c r="J11" i="20"/>
  <c r="J106" i="20" s="1"/>
  <c r="D31" i="20"/>
  <c r="D33" i="20" s="1"/>
  <c r="H31" i="20"/>
  <c r="H88" i="20" s="1"/>
  <c r="L31" i="20"/>
  <c r="L33" i="20" s="1"/>
  <c r="L35" i="20" s="1"/>
  <c r="L133" i="20" s="1"/>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E28" i="20"/>
  <c r="I28" i="20"/>
  <c r="F28" i="20"/>
  <c r="J28" i="20"/>
  <c r="D82" i="20"/>
  <c r="L82" i="20"/>
  <c r="D84" i="20"/>
  <c r="L84" i="20"/>
  <c r="M41" i="11" l="1"/>
  <c r="K134" i="20"/>
  <c r="J134" i="20"/>
  <c r="M4" i="19"/>
  <c r="D4" i="16"/>
  <c r="K4" i="16" s="1"/>
  <c r="L8" i="18" s="1"/>
  <c r="F5" i="28"/>
  <c r="L5" i="28" s="1"/>
  <c r="L5" i="18" s="1"/>
  <c r="I12" i="19"/>
  <c r="G133" i="20"/>
  <c r="G134" i="20" s="1"/>
  <c r="H13" i="19"/>
  <c r="I18" i="18" s="1"/>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G118" i="20"/>
  <c r="H107" i="20"/>
  <c r="L5" i="27"/>
  <c r="L4" i="18" s="1"/>
  <c r="I4" i="18"/>
  <c r="K118" i="20"/>
  <c r="L107" i="20"/>
  <c r="J118" i="20"/>
  <c r="K107" i="20"/>
  <c r="F106" i="20"/>
  <c r="H106" i="20"/>
  <c r="D106" i="20"/>
  <c r="G106" i="20"/>
  <c r="E106" i="20"/>
  <c r="I106" i="20"/>
  <c r="L106" i="20"/>
  <c r="K119" i="20"/>
  <c r="C9" i="14"/>
  <c r="F5" i="29"/>
  <c r="L118" i="20"/>
  <c r="C18" i="14"/>
  <c r="J117" i="20"/>
  <c r="G119" i="20"/>
  <c r="L119" i="20"/>
  <c r="K117" i="20"/>
  <c r="J119" i="20"/>
  <c r="G117" i="20"/>
  <c r="L117" i="20"/>
  <c r="L127" i="20"/>
  <c r="C42" i="11" s="1"/>
  <c r="J9" i="11"/>
  <c r="G5" i="28"/>
  <c r="G139" i="20"/>
  <c r="G127" i="20"/>
  <c r="J139" i="20"/>
  <c r="J127" i="20"/>
  <c r="E42" i="11" s="1"/>
  <c r="K139" i="20"/>
  <c r="K127" i="20"/>
  <c r="D42" i="11" s="1"/>
  <c r="L139" i="20"/>
  <c r="L38" i="20"/>
  <c r="K140" i="20"/>
  <c r="L140" i="20"/>
  <c r="K80" i="20"/>
  <c r="G140" i="20"/>
  <c r="J140" i="20"/>
  <c r="E10" i="11"/>
  <c r="K10" i="11" s="1"/>
  <c r="B15" i="11"/>
  <c r="G70" i="20"/>
  <c r="G87" i="20" s="1"/>
  <c r="G92" i="20"/>
  <c r="E7" i="16"/>
  <c r="J92" i="20"/>
  <c r="L92" i="20"/>
  <c r="K7" i="16"/>
  <c r="F7" i="16"/>
  <c r="K92" i="20"/>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I78" i="20"/>
  <c r="H11" i="11" s="1"/>
  <c r="F69" i="20"/>
  <c r="F80" i="20"/>
  <c r="H80" i="20"/>
  <c r="F82" i="20"/>
  <c r="H8" i="11"/>
  <c r="F78" i="20"/>
  <c r="F79" i="20"/>
  <c r="F89" i="20"/>
  <c r="F84" i="20"/>
  <c r="F81" i="20"/>
  <c r="J69" i="20"/>
  <c r="J82" i="20"/>
  <c r="J80" i="20"/>
  <c r="B3" i="19"/>
  <c r="J79" i="20"/>
  <c r="E8" i="11"/>
  <c r="B4" i="19"/>
  <c r="J77" i="20"/>
  <c r="G8" i="11"/>
  <c r="C21" i="14"/>
  <c r="L66" i="20"/>
  <c r="L67" i="20" s="1"/>
  <c r="K78" i="20"/>
  <c r="F11" i="11" s="1"/>
  <c r="J88" i="20"/>
  <c r="C22" i="14"/>
  <c r="I57" i="20"/>
  <c r="H78" i="20"/>
  <c r="D78" i="20"/>
  <c r="I33" i="20"/>
  <c r="I35" i="20" s="1"/>
  <c r="I133" i="20" s="1"/>
  <c r="I134" i="20" s="1"/>
  <c r="K88" i="20"/>
  <c r="J78" i="20"/>
  <c r="G11" i="11" s="1"/>
  <c r="G7" i="16"/>
  <c r="G78" i="20"/>
  <c r="M12" i="19"/>
  <c r="C4" i="14"/>
  <c r="C8" i="14"/>
  <c r="C14" i="14" s="1"/>
  <c r="J70" i="20"/>
  <c r="J87" i="20" s="1"/>
  <c r="E8" i="14"/>
  <c r="E4" i="14"/>
  <c r="K70" i="20"/>
  <c r="K87" i="20" s="1"/>
  <c r="D8" i="14"/>
  <c r="D4" i="14"/>
  <c r="M13" i="19"/>
  <c r="D35" i="20"/>
  <c r="D133" i="20" s="1"/>
  <c r="D134" i="20" s="1"/>
  <c r="D66" i="20"/>
  <c r="D67" i="20" s="1"/>
  <c r="L77" i="20"/>
  <c r="D88" i="20"/>
  <c r="C78" i="20"/>
  <c r="K13" i="19"/>
  <c r="L63" i="20"/>
  <c r="M9" i="19" s="1"/>
  <c r="K12" i="19"/>
  <c r="J9" i="19"/>
  <c r="F9" i="19"/>
  <c r="L8" i="19"/>
  <c r="K9" i="19"/>
  <c r="G9" i="19"/>
  <c r="E8" i="19"/>
  <c r="I9" i="19"/>
  <c r="E9" i="19"/>
  <c r="K8" i="19"/>
  <c r="G8" i="19"/>
  <c r="I8" i="19"/>
  <c r="L9" i="19"/>
  <c r="H9" i="19"/>
  <c r="J8" i="19"/>
  <c r="F8" i="19"/>
  <c r="K66" i="20"/>
  <c r="K67" i="20" s="1"/>
  <c r="L70" i="20"/>
  <c r="N4" i="19"/>
  <c r="O4" i="19"/>
  <c r="B12" i="11"/>
  <c r="J66" i="20"/>
  <c r="J67" i="20" s="1"/>
  <c r="L79" i="20"/>
  <c r="G66" i="20"/>
  <c r="G67" i="20" s="1"/>
  <c r="B22" i="11" l="1"/>
  <c r="B21" i="11"/>
  <c r="I44" i="11"/>
  <c r="H42" i="11"/>
  <c r="I42" i="11"/>
  <c r="I8" i="18"/>
  <c r="I5" i="18"/>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F42" i="11" s="1"/>
  <c r="H127" i="20"/>
  <c r="G42" i="11" s="1"/>
  <c r="C5" i="28"/>
  <c r="P5" i="28" s="1"/>
  <c r="D127" i="20"/>
  <c r="C127" i="20"/>
  <c r="J42" i="11" s="1"/>
  <c r="E127" i="20"/>
  <c r="F127" i="20"/>
  <c r="L142" i="20"/>
  <c r="G5" i="27" s="1"/>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C16" i="14"/>
  <c r="F4" i="14"/>
  <c r="I11" i="11"/>
  <c r="C5" i="19"/>
  <c r="C3" i="19"/>
  <c r="K9" i="11"/>
  <c r="C17" i="14"/>
  <c r="L12" i="19"/>
  <c r="L13" i="19"/>
  <c r="N9" i="19"/>
  <c r="N8" i="19"/>
  <c r="L80" i="20"/>
  <c r="K44" i="11" l="1"/>
  <c r="E23" i="11"/>
  <c r="E24" i="11" s="1"/>
  <c r="K7" i="1" s="1"/>
  <c r="M42" i="11"/>
  <c r="M43" i="11" s="1"/>
  <c r="M45" i="11" s="1"/>
  <c r="L7" i="18"/>
  <c r="I7" i="18"/>
  <c r="M5" i="29"/>
  <c r="L10" i="18" s="1"/>
  <c r="I10" i="18"/>
  <c r="G142" i="20"/>
  <c r="K142" i="20"/>
  <c r="J142" i="20"/>
  <c r="I142" i="20"/>
  <c r="F142" i="20"/>
  <c r="H142" i="20"/>
  <c r="E142" i="20"/>
  <c r="B25" i="11"/>
  <c r="B17" i="11"/>
  <c r="N7" i="1" s="1"/>
  <c r="B19" i="11"/>
  <c r="C15" i="14"/>
  <c r="C23" i="14" s="1"/>
  <c r="J19" i="16"/>
  <c r="D53" i="11" l="1"/>
  <c r="E53" i="11"/>
  <c r="C53" i="11"/>
  <c r="K8" i="1" s="1"/>
  <c r="E55" i="11"/>
  <c r="L8" i="1" s="1"/>
  <c r="D54" i="11"/>
  <c r="E54" i="11"/>
  <c r="D55" i="11"/>
  <c r="C54" i="11"/>
  <c r="C55" i="11"/>
  <c r="M47" i="11"/>
  <c r="M46" i="11"/>
  <c r="K6" i="1"/>
  <c r="L3" i="18"/>
  <c r="C5" i="18" s="1"/>
  <c r="C4" i="18" s="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F10" i="16"/>
  <c r="F3" i="17" l="1"/>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C14" i="15" l="1"/>
  <c r="P3" i="17"/>
  <c r="O5" i="17"/>
  <c r="O6" i="17" s="1"/>
  <c r="O8" i="17" s="1"/>
  <c r="O9" i="17" s="1"/>
  <c r="K12" i="14"/>
  <c r="K14" i="14" s="1"/>
  <c r="F14" i="11"/>
  <c r="E14" i="11"/>
  <c r="B14" i="11"/>
  <c r="H14" i="11"/>
  <c r="I14" i="11"/>
  <c r="P5" i="17" l="1"/>
  <c r="P6" i="17" s="1"/>
  <c r="P8" i="17" s="1"/>
  <c r="P9" i="17" s="1"/>
  <c r="Q3" i="17"/>
  <c r="E27" i="11"/>
  <c r="E28" i="11" s="1"/>
  <c r="G14" i="11"/>
  <c r="B20" i="11" s="1"/>
  <c r="E29" i="11" l="1"/>
  <c r="Q5" i="17"/>
  <c r="Q6" i="17" s="1"/>
  <c r="Q8" i="17" s="1"/>
  <c r="Q9" i="17" s="1"/>
  <c r="R3" i="17"/>
  <c r="R5" i="17" l="1"/>
  <c r="R6" i="17" s="1"/>
  <c r="R8" i="17" s="1"/>
  <c r="R9" i="17" s="1"/>
  <c r="S3" i="17"/>
  <c r="F27" i="11"/>
  <c r="F28" i="11" s="1"/>
  <c r="F29" i="11" l="1"/>
  <c r="S5" i="17"/>
  <c r="S6" i="17" s="1"/>
  <c r="S8" i="17" s="1"/>
  <c r="S9" i="17" s="1"/>
  <c r="T3" i="17"/>
  <c r="G27" i="11" l="1"/>
  <c r="G28" i="11" s="1"/>
  <c r="T5" i="17"/>
  <c r="T6" i="17" s="1"/>
  <c r="T8" i="17" s="1"/>
  <c r="T9" i="17" s="1"/>
  <c r="U3" i="17"/>
  <c r="G29" i="11" l="1"/>
  <c r="U5" i="17"/>
  <c r="U6" i="17" s="1"/>
  <c r="U8" i="17" s="1"/>
  <c r="U9" i="17" s="1"/>
  <c r="V3" i="17"/>
  <c r="H27" i="11" l="1"/>
  <c r="V5" i="17"/>
  <c r="V6" i="17" s="1"/>
  <c r="V8" i="17" s="1"/>
  <c r="V9" i="17" s="1"/>
  <c r="W3" i="17"/>
  <c r="B26" i="11" l="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L41" authorId="0" shapeId="0">
      <text>
        <r>
          <rPr>
            <sz val="9"/>
            <color indexed="81"/>
            <rFont val="Tahoma"/>
            <family val="2"/>
          </rPr>
          <t xml:space="preserve">Sales growth capped at 25%
</t>
        </r>
      </text>
    </comment>
    <comment ref="M41" authorId="0" shapeId="0">
      <text>
        <r>
          <rPr>
            <sz val="9"/>
            <color indexed="81"/>
            <rFont val="Tahoma"/>
            <family val="2"/>
          </rPr>
          <t xml:space="preserve">Sales growth capped at 25%
</t>
        </r>
      </text>
    </comment>
    <comment ref="I42" authorId="0" shapeId="0">
      <text>
        <r>
          <rPr>
            <sz val="9"/>
            <color indexed="81"/>
            <rFont val="Tahoma"/>
            <family val="2"/>
          </rPr>
          <t xml:space="preserve">Lower Cap at 0%
</t>
        </r>
      </text>
    </comment>
    <comment ref="J42" authorId="0" shapeId="0">
      <text>
        <r>
          <rPr>
            <b/>
            <sz val="9"/>
            <color indexed="81"/>
            <rFont val="Tahoma"/>
            <family val="2"/>
          </rPr>
          <t>Lower Cap at 0%</t>
        </r>
      </text>
    </comment>
    <comment ref="L42" authorId="0" shapeId="0">
      <text>
        <r>
          <rPr>
            <sz val="9"/>
            <color indexed="81"/>
            <rFont val="Tahoma"/>
            <family val="2"/>
          </rPr>
          <t xml:space="preserve">Capped at 15%
</t>
        </r>
      </text>
    </comment>
    <comment ref="M42" authorId="0" shapeId="0">
      <text>
        <r>
          <rPr>
            <sz val="9"/>
            <color indexed="81"/>
            <rFont val="Tahoma"/>
            <family val="2"/>
          </rPr>
          <t xml:space="preserve">Capped at 15%
</t>
        </r>
      </text>
    </comment>
  </commentList>
</comments>
</file>

<file path=xl/comments3.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4.xml><?xml version="1.0" encoding="utf-8"?>
<comments xmlns="http://schemas.openxmlformats.org/spreadsheetml/2006/main">
  <authors>
    <author>Kumar Saurabh</author>
    <author>HP</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 ref="A93" authorId="1" shapeId="0">
      <text>
        <r>
          <rPr>
            <sz val="9"/>
            <color indexed="81"/>
            <rFont val="Tahoma"/>
            <family val="2"/>
          </rPr>
          <t xml:space="preserve">EBIT/(total assets less current liabilities)
</t>
        </r>
      </text>
    </comment>
  </commentList>
</comments>
</file>

<file path=xl/sharedStrings.xml><?xml version="1.0" encoding="utf-8"?>
<sst xmlns="http://schemas.openxmlformats.org/spreadsheetml/2006/main" count="776" uniqueCount="553">
  <si>
    <t>Company</t>
  </si>
  <si>
    <t>Sector</t>
  </si>
  <si>
    <t>No of shares outstanding</t>
  </si>
  <si>
    <t>Market Cap</t>
  </si>
  <si>
    <t>Promoter Shareholding</t>
  </si>
  <si>
    <t>Business Summary</t>
  </si>
  <si>
    <t>Networth</t>
  </si>
  <si>
    <t>Secured Loans</t>
  </si>
  <si>
    <t>Unsecured Loans</t>
  </si>
  <si>
    <t>Total Liabilities</t>
  </si>
  <si>
    <t>Capital Work in Progress</t>
  </si>
  <si>
    <t>Current Liabilities</t>
  </si>
  <si>
    <t>Total Assets</t>
  </si>
  <si>
    <t>Net Sales</t>
  </si>
  <si>
    <t>Total Income</t>
  </si>
  <si>
    <t>Raw Materials</t>
  </si>
  <si>
    <t>Employee Cost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</si>
  <si>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</si>
  <si>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</si>
  <si>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</si>
  <si>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</si>
  <si>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</si>
  <si>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</si>
  <si>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</si>
  <si>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</si>
  <si>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</si>
  <si>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</si>
  <si>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</si>
  <si>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</si>
  <si>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</si>
  <si>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</si>
  <si>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</si>
  <si>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</si>
  <si>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</si>
  <si>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</si>
  <si>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</si>
  <si>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</si>
  <si>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</si>
  <si>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</si>
  <si>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</si>
  <si>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</si>
  <si>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</si>
  <si>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</si>
  <si>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</si>
  <si>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</si>
  <si>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</si>
  <si>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</si>
  <si>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</si>
  <si>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</si>
  <si>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</si>
  <si>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</si>
  <si>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</si>
  <si>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</si>
  <si>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</si>
  <si>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</si>
  <si>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</si>
  <si>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</si>
  <si>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</si>
  <si>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</si>
  <si>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</si>
  <si>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</si>
  <si>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</si>
  <si>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</si>
  <si>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</si>
  <si>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</si>
  <si>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</si>
  <si>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</si>
  <si>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</si>
  <si>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</si>
  <si>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</si>
  <si>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</si>
  <si>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</si>
  <si>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</si>
  <si>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</si>
  <si>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</si>
  <si>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</si>
  <si>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</si>
  <si>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</si>
  <si>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</si>
  <si>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</si>
  <si>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</si>
  <si>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</si>
  <si>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</si>
  <si>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</si>
  <si>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</si>
  <si>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</si>
  <si>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</si>
  <si>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</si>
  <si>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</si>
  <si>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</si>
  <si>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</si>
  <si>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</si>
  <si>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</si>
  <si>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</si>
  <si>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</si>
  <si>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</si>
  <si>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</si>
  <si>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</si>
  <si>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</si>
  <si>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</si>
  <si>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</si>
  <si>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</si>
  <si>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</si>
  <si>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</si>
  <si>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</si>
  <si>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</si>
  <si>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</si>
  <si>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</si>
  <si>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</si>
  <si>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</si>
  <si>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</si>
  <si>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</si>
  <si>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</si>
  <si>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</si>
  <si>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</si>
  <si>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</si>
  <si>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</si>
  <si>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</si>
  <si>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</si>
  <si>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</si>
  <si>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</si>
  <si>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</si>
  <si>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</si>
  <si>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</si>
  <si>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</si>
  <si>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</si>
  <si>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</si>
  <si>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</si>
  <si>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</si>
  <si>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</si>
  <si>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</si>
  <si>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</si>
  <si>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</si>
  <si>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</si>
  <si>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</si>
  <si>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</si>
  <si>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</si>
  <si>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</si>
  <si>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</si>
  <si>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</si>
  <si>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</si>
  <si>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</si>
  <si>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</si>
  <si>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</si>
  <si>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</si>
  <si>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</si>
  <si>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</si>
  <si>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</si>
  <si>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</si>
  <si>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</si>
  <si>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</si>
  <si>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</si>
  <si>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</si>
  <si>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 xml:space="preserve"> &gt;8%</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</si>
  <si>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</si>
  <si>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</si>
  <si>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</si>
  <si>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</si>
  <si>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</si>
  <si>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</si>
  <si>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</si>
  <si>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</si>
  <si>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</si>
  <si>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</si>
  <si>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</si>
  <si>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</si>
  <si>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</si>
  <si>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</si>
  <si>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</si>
  <si>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</si>
  <si>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</si>
  <si>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</si>
  <si>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</si>
  <si>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</si>
  <si>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</si>
  <si>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</si>
  <si>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</si>
  <si>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</si>
  <si>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</si>
  <si>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</si>
  <si>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</si>
  <si>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</si>
  <si>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</si>
  <si>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</si>
  <si>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</si>
  <si>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</si>
  <si>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</si>
  <si>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</si>
  <si>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</si>
  <si>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</si>
  <si>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</si>
  <si>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</si>
  <si>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</si>
  <si>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</si>
  <si>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</si>
  <si>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</si>
  <si>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</si>
  <si>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</si>
  <si>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</si>
  <si>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</si>
  <si>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</si>
  <si>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</si>
  <si>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</si>
  <si>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</si>
  <si>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</si>
  <si>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</si>
  <si>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</si>
  <si>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</si>
  <si>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</si>
  <si>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</si>
  <si>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</si>
  <si>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</si>
  <si>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</si>
  <si>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</si>
  <si>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</si>
  <si>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</si>
  <si>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</si>
  <si>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</si>
  <si>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</si>
  <si>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</si>
  <si>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</si>
  <si>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</si>
  <si>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</si>
  <si>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</si>
  <si>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</si>
  <si>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</si>
  <si>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</si>
  <si>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</si>
  <si>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</si>
  <si>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</si>
  <si>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</si>
  <si>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</si>
  <si>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</si>
  <si>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</si>
  <si>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</si>
  <si>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</si>
  <si>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</si>
  <si>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</si>
  <si>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</si>
  <si>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</si>
  <si>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</si>
  <si>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</si>
  <si>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</si>
  <si>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</si>
  <si>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</si>
  <si>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</si>
  <si>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</si>
  <si>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</si>
  <si>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</si>
  <si>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</si>
  <si>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</si>
  <si>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</si>
  <si>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</si>
  <si>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</si>
  <si>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</si>
  <si>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</si>
  <si>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</si>
  <si>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</si>
  <si>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</si>
  <si>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</si>
  <si>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</si>
  <si>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</si>
  <si>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</si>
  <si>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</si>
  <si>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</si>
  <si>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</si>
  <si>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</si>
  <si>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</si>
  <si>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</si>
  <si>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</si>
  <si>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</si>
  <si>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</si>
  <si>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</si>
  <si>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</si>
  <si>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</si>
  <si>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</si>
  <si>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</si>
  <si>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</si>
  <si>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</si>
  <si>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</si>
  <si>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</si>
  <si>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</si>
  <si>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</si>
  <si>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Current Price</t>
  </si>
  <si>
    <t>Power and Fuel</t>
  </si>
  <si>
    <t>Other Mfr. Exp</t>
  </si>
  <si>
    <t>Selling and admin</t>
  </si>
  <si>
    <t>Other Expenses</t>
  </si>
  <si>
    <t>Net profit</t>
  </si>
  <si>
    <t>Expenses</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</si>
  <si>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</si>
  <si>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</si>
  <si>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</si>
  <si>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</si>
  <si>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</si>
  <si>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</si>
  <si>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</si>
  <si>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</si>
  <si>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</si>
  <si>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</si>
  <si>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</si>
  <si>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</si>
  <si>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</si>
  <si>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</si>
  <si>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</si>
  <si>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</si>
  <si>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</si>
  <si>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</si>
  <si>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</si>
  <si>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</si>
  <si>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</si>
  <si>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</si>
  <si>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</si>
  <si>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</si>
  <si>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</si>
  <si>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</si>
  <si>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</si>
  <si>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</si>
  <si>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</si>
  <si>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</si>
  <si>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</si>
  <si>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</si>
  <si>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</si>
  <si>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</si>
  <si>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</si>
  <si>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</si>
  <si>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</si>
  <si>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</si>
  <si>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</si>
  <si>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</si>
  <si>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</si>
  <si>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</si>
  <si>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</si>
  <si>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</si>
  <si>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</si>
  <si>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</si>
  <si>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</si>
  <si>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</si>
  <si>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</si>
  <si>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</si>
  <si>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</si>
  <si>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</si>
  <si>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</si>
  <si>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</si>
  <si>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</si>
  <si>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</si>
  <si>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</si>
  <si>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</si>
  <si>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</si>
  <si>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</si>
  <si>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</si>
  <si>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</si>
  <si>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</si>
  <si>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</si>
  <si>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</si>
  <si>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</si>
  <si>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</si>
  <si>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</si>
  <si>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</si>
  <si>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</si>
  <si>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</si>
  <si>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</si>
  <si>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</si>
  <si>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</si>
  <si>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</si>
  <si>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</si>
  <si>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</si>
  <si>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</si>
  <si>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</si>
  <si>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</si>
  <si>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</si>
  <si>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</si>
  <si>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</si>
  <si>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</si>
  <si>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</si>
  <si>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</si>
  <si>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</si>
  <si>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</si>
  <si>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</si>
  <si>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</si>
  <si>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</si>
  <si>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</si>
  <si>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</si>
  <si>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</si>
  <si>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</si>
  <si>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</si>
  <si>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</si>
  <si>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</si>
  <si>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</si>
  <si>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</si>
  <si>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</si>
  <si>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</si>
  <si>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</si>
  <si>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</si>
  <si>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</si>
  <si>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</si>
  <si>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</si>
  <si>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</si>
  <si>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</si>
  <si>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</si>
  <si>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</si>
  <si>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</si>
  <si>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</si>
  <si>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</si>
  <si>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</si>
  <si>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</si>
  <si>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</si>
  <si>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</si>
  <si>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</si>
  <si>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</si>
  <si>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</si>
  <si>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</si>
  <si>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</si>
  <si>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</si>
  <si>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</si>
  <si>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</si>
  <si>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</si>
  <si>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</si>
  <si>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</si>
  <si>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</si>
  <si>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</si>
  <si>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</si>
  <si>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</si>
  <si>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</si>
  <si>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</si>
  <si>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</si>
  <si>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</si>
  <si>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</si>
  <si>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</si>
  <si>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</si>
  <si>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</si>
  <si>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</si>
  <si>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</si>
  <si>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</si>
  <si>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</si>
  <si>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</si>
  <si>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</si>
  <si>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SSGR and FCF determine the margin of safety</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</si>
  <si>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</si>
  <si>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</si>
  <si>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</si>
  <si>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</si>
  <si>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</si>
  <si>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</si>
  <si>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</si>
  <si>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</si>
  <si>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</si>
  <si>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</si>
  <si>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</si>
  <si>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</si>
  <si>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</si>
  <si>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</si>
  <si>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</si>
  <si>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</si>
  <si>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Shareholding Dist.</t>
  </si>
  <si>
    <t>WC if managed well growth funded by profit allows the company to have SSGR &gt;= Sales gth rate. If sales is debt funded then SSGR &lt; Sales gth rate</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</si>
  <si>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</si>
  <si>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</si>
  <si>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</si>
  <si>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</si>
  <si>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</si>
  <si>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</si>
  <si>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</si>
  <si>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</si>
  <si>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</si>
  <si>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</si>
  <si>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</si>
  <si>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</si>
  <si>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</si>
  <si>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</si>
  <si>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</si>
  <si>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</si>
  <si>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</si>
  <si>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</si>
  <si>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</si>
  <si>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</si>
  <si>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</si>
  <si>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</si>
  <si>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</si>
  <si>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</si>
  <si>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COMPANY NAME</t>
  </si>
  <si>
    <t>EICHER MOTORS LTD</t>
  </si>
  <si>
    <t>LATEST VERSION</t>
  </si>
  <si>
    <t>PLEASE DO NOT MAKE ANY CHANGES TO THIS SHEET</t>
  </si>
  <si>
    <t>CURRENT VERSION</t>
  </si>
  <si>
    <t>META</t>
  </si>
  <si>
    <t>Number of shares</t>
  </si>
  <si>
    <t>Face Value</t>
  </si>
  <si>
    <t>Market Capitalization</t>
  </si>
  <si>
    <t>PROFIT &amp; LOSS</t>
  </si>
  <si>
    <t>Report Date</t>
  </si>
  <si>
    <t>Raw Material Cost</t>
  </si>
  <si>
    <t>Change in Inventory</t>
  </si>
  <si>
    <t>Other Income</t>
  </si>
  <si>
    <t>Profit before tax</t>
  </si>
  <si>
    <t>Dividend Amount</t>
  </si>
  <si>
    <t>Quarters</t>
  </si>
  <si>
    <t>Operating Profit</t>
  </si>
  <si>
    <t>BALANCE SHEET</t>
  </si>
  <si>
    <t>Equity Share Capital</t>
  </si>
  <si>
    <t>Reserves</t>
  </si>
  <si>
    <t>Total</t>
  </si>
  <si>
    <t>Net Block</t>
  </si>
  <si>
    <t>Investments</t>
  </si>
  <si>
    <t>Other Assets</t>
  </si>
  <si>
    <t>Receivables</t>
  </si>
  <si>
    <t>Cash &amp; Bank</t>
  </si>
  <si>
    <t>No. of Equity Shares</t>
  </si>
  <si>
    <t>New Bonus Shares</t>
  </si>
  <si>
    <t>Face value</t>
  </si>
  <si>
    <t>CASH FLOW:</t>
  </si>
  <si>
    <t>Cash from Operating Activity</t>
  </si>
  <si>
    <t>Net Cash Flow</t>
  </si>
  <si>
    <t>PRICE:</t>
  </si>
  <si>
    <t>DERIVED:</t>
  </si>
  <si>
    <t>Adjusted Equity Shares in Cr</t>
  </si>
  <si>
    <t>Promoter unpledged</t>
  </si>
  <si>
    <t>Promoter pledged</t>
  </si>
  <si>
    <t>FII</t>
  </si>
  <si>
    <t>Mutual funds</t>
  </si>
  <si>
    <t>Bodies corporate</t>
  </si>
  <si>
    <t>Individuals &lt;= 2 lakh</t>
  </si>
  <si>
    <t>Individuals &gt; 2 lakh</t>
  </si>
  <si>
    <t>Others</t>
  </si>
  <si>
    <t>Promoters</t>
  </si>
  <si>
    <t>THE SIMRAN SIDDHARTHA TARA BENEFIT TRUST - TRUSTEE VIKRAM LAL</t>
  </si>
  <si>
    <t>Eicher Motors</t>
  </si>
  <si>
    <r>
      <t xml:space="preserve">Impressive numbers. Valuation formulas manually adjusted. NP data looks doubtful.
</t>
    </r>
    <r>
      <rPr>
        <b/>
        <sz val="10"/>
        <color rgb="FFFF0000"/>
        <rFont val="Calibri"/>
        <family val="2"/>
        <scheme val="minor"/>
      </rPr>
      <t>Check  - Sales 5 Yr &lt;10%</t>
    </r>
  </si>
  <si>
    <t>Fundo Prof Concept</t>
  </si>
  <si>
    <t>Future in 10 Yrs</t>
  </si>
  <si>
    <t>Volume/share</t>
  </si>
  <si>
    <t>Avg. Realization</t>
  </si>
  <si>
    <t>Sales/share</t>
  </si>
  <si>
    <t>Net Profit margin</t>
  </si>
  <si>
    <t>Net Profit/share (EPS)</t>
  </si>
  <si>
    <t>Exit PE</t>
  </si>
  <si>
    <t>Price/share</t>
  </si>
  <si>
    <t>Price/revenue</t>
  </si>
  <si>
    <t>Wealth compounding</t>
  </si>
  <si>
    <t>My Concept</t>
  </si>
  <si>
    <t>10 Yr estimate</t>
  </si>
  <si>
    <t>TTM+1%</t>
  </si>
  <si>
    <t>TTM+1.5%</t>
  </si>
  <si>
    <t>Revenue Growth</t>
  </si>
  <si>
    <t>Conservative</t>
  </si>
  <si>
    <t>Conservative +2%</t>
  </si>
  <si>
    <t>Conservative +3%</t>
  </si>
  <si>
    <t>Conservative 10 Yr</t>
  </si>
  <si>
    <t>EPS/BV  after 10 years</t>
  </si>
  <si>
    <t>Dividend after 10 Yrs</t>
  </si>
  <si>
    <t>Distance Left (Fundoo)</t>
  </si>
  <si>
    <t>Distance Left (Mine)</t>
  </si>
  <si>
    <t>RoCE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</si>
</sst>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2">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
      <b/>
      <sz val="10"/>
      <color rgb="FFFF0000"/>
      <name val="Calibri"/>
      <family val="2"/>
      <scheme val="minor"/>
    </font>
    <font>
      <sz val="10"/>
      <color theme="0" tint="-0.499984740745262"/>
      <name val="Arial"/>
      <family val="2"/>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40">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0" fontId="66" fillId="0" borderId="39" xfId="0" applyFont="1" applyBorder="1" applyAlignment="1">
      <alignment horizontal="left" vertical="center" wrapText="1"/>
    </xf>
    <xf numFmtId="0" fontId="12" fillId="6" borderId="0" xfId="0" applyFont="1" applyFill="1" applyProtection="1">
      <protection hidden="1"/>
    </xf>
    <xf numFmtId="0" fontId="15" fillId="7" borderId="3" xfId="4" applyFont="1" applyBorder="1" applyAlignment="1" applyProtection="1">
      <alignment vertical="center"/>
      <protection hidden="1"/>
    </xf>
    <xf numFmtId="0" fontId="15" fillId="7" borderId="1" xfId="4" applyFont="1" applyBorder="1" applyAlignment="1" applyProtection="1">
      <alignment vertical="center"/>
      <protection hidden="1"/>
    </xf>
    <xf numFmtId="0" fontId="12" fillId="0" borderId="0" xfId="0" applyFont="1" applyAlignment="1" applyProtection="1">
      <alignment vertical="center"/>
      <protection hidden="1"/>
    </xf>
    <xf numFmtId="2" fontId="12" fillId="0" borderId="1" xfId="0" applyNumberFormat="1" applyFont="1" applyBorder="1" applyAlignment="1" applyProtection="1">
      <alignment vertical="center"/>
      <protection hidden="1"/>
    </xf>
    <xf numFmtId="2" fontId="12" fillId="0" borderId="1" xfId="0" applyNumberFormat="1" applyFont="1" applyFill="1" applyBorder="1" applyAlignment="1" applyProtection="1">
      <alignment vertical="center"/>
      <protection hidden="1"/>
    </xf>
    <xf numFmtId="0" fontId="12" fillId="0" borderId="1" xfId="0" applyFont="1" applyBorder="1" applyAlignment="1" applyProtection="1">
      <alignment vertical="center"/>
      <protection hidden="1"/>
    </xf>
    <xf numFmtId="0" fontId="12" fillId="0" borderId="3" xfId="0" applyFont="1" applyBorder="1" applyAlignment="1" applyProtection="1">
      <alignment vertical="center"/>
      <protection hidden="1"/>
    </xf>
    <xf numFmtId="9" fontId="12" fillId="0" borderId="1" xfId="0" applyNumberFormat="1" applyFont="1" applyBorder="1" applyAlignment="1" applyProtection="1">
      <alignment vertical="center"/>
      <protection hidden="1"/>
    </xf>
    <xf numFmtId="166" fontId="12" fillId="6" borderId="1" xfId="7" applyNumberFormat="1" applyFont="1" applyFill="1" applyBorder="1" applyAlignment="1" applyProtection="1">
      <alignment vertical="center"/>
      <protection hidden="1"/>
    </xf>
    <xf numFmtId="9" fontId="12" fillId="6" borderId="1" xfId="0" applyNumberFormat="1" applyFont="1" applyFill="1" applyBorder="1" applyAlignment="1" applyProtection="1">
      <alignment vertical="center"/>
      <protection hidden="1"/>
    </xf>
    <xf numFmtId="1" fontId="12" fillId="6" borderId="1" xfId="0" applyNumberFormat="1" applyFont="1" applyFill="1" applyBorder="1" applyAlignment="1" applyProtection="1">
      <alignment vertical="center"/>
      <protection hidden="1"/>
    </xf>
    <xf numFmtId="166" fontId="12" fillId="0" borderId="1" xfId="7" applyNumberFormat="1" applyFont="1" applyBorder="1" applyAlignment="1" applyProtection="1">
      <alignment vertical="center"/>
      <protection hidden="1"/>
    </xf>
    <xf numFmtId="168" fontId="12" fillId="6" borderId="1" xfId="6" applyNumberFormat="1" applyFont="1" applyFill="1" applyBorder="1" applyAlignment="1" applyProtection="1">
      <alignment vertical="center"/>
      <protection hidden="1"/>
    </xf>
    <xf numFmtId="168" fontId="12" fillId="0" borderId="1" xfId="6" applyNumberFormat="1" applyFont="1" applyBorder="1" applyAlignment="1" applyProtection="1">
      <alignment vertical="center"/>
      <protection hidden="1"/>
    </xf>
    <xf numFmtId="1" fontId="12" fillId="0" borderId="1" xfId="0" applyNumberFormat="1" applyFont="1" applyBorder="1" applyAlignment="1" applyProtection="1">
      <alignment vertical="center"/>
      <protection hidden="1"/>
    </xf>
    <xf numFmtId="167" fontId="12" fillId="0" borderId="1" xfId="0" applyNumberFormat="1" applyFont="1" applyBorder="1" applyAlignment="1" applyProtection="1">
      <alignment vertical="center"/>
      <protection hidden="1"/>
    </xf>
    <xf numFmtId="169" fontId="12" fillId="0" borderId="1" xfId="7" applyNumberFormat="1" applyFont="1" applyBorder="1" applyAlignment="1" applyProtection="1">
      <alignment vertical="center"/>
      <protection hidden="1"/>
    </xf>
    <xf numFmtId="0" fontId="71" fillId="0" borderId="1" xfId="0" applyFont="1" applyBorder="1" applyAlignment="1" applyProtection="1">
      <alignment vertical="center"/>
      <protection hidden="1"/>
    </xf>
    <xf numFmtId="168" fontId="71" fillId="0" borderId="1" xfId="0" applyNumberFormat="1" applyFont="1" applyFill="1" applyBorder="1" applyProtection="1">
      <protection hidden="1"/>
    </xf>
    <xf numFmtId="168" fontId="71" fillId="0" borderId="1" xfId="0" applyNumberFormat="1" applyFont="1" applyBorder="1" applyProtection="1">
      <protection hidden="1"/>
    </xf>
    <xf numFmtId="9" fontId="71" fillId="0" borderId="1" xfId="6" applyFont="1" applyBorder="1" applyAlignment="1" applyProtection="1">
      <alignment vertical="center"/>
      <protection hidden="1"/>
    </xf>
    <xf numFmtId="168" fontId="14" fillId="0" borderId="1" xfId="6" applyNumberFormat="1" applyFont="1" applyBorder="1" applyAlignment="1" applyProtection="1">
      <alignment vertical="center"/>
      <protection hidden="1"/>
    </xf>
    <xf numFmtId="9" fontId="12" fillId="0" borderId="1" xfId="0" applyNumberFormat="1" applyFont="1" applyFill="1" applyBorder="1" applyAlignment="1" applyProtection="1">
      <alignment vertical="center"/>
      <protection hidden="1"/>
    </xf>
    <xf numFmtId="9" fontId="71" fillId="0" borderId="1" xfId="6" applyNumberFormat="1" applyFont="1" applyBorder="1" applyAlignment="1" applyProtection="1">
      <alignment vertical="center"/>
      <protection hidden="1"/>
    </xf>
    <xf numFmtId="168" fontId="12" fillId="0" borderId="1" xfId="0" applyNumberFormat="1" applyFont="1" applyBorder="1" applyAlignment="1" applyProtection="1">
      <alignment vertical="center"/>
      <protection hidden="1"/>
    </xf>
    <xf numFmtId="1" fontId="12" fillId="0" borderId="1" xfId="0" applyNumberFormat="1" applyFont="1" applyBorder="1" applyProtection="1">
      <protection hidden="1"/>
    </xf>
    <xf numFmtId="168" fontId="1" fillId="0" borderId="33" xfId="6" applyNumberFormat="1" applyFont="1" applyBorder="1" applyAlignment="1" applyProtection="1">
      <protection locked="0"/>
    </xf>
    <xf numFmtId="168" fontId="1" fillId="0" borderId="34" xfId="6" applyNumberFormat="1" applyFont="1" applyBorder="1" applyAlignment="1" applyProtection="1">
      <protection locked="0"/>
    </xf>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25" fillId="7" borderId="1" xfId="4" applyFont="1" applyBorder="1" applyAlignment="1" applyProtection="1">
      <alignment horizontal="center" vertical="center"/>
      <protection hidden="1"/>
    </xf>
    <xf numFmtId="0" fontId="15" fillId="7" borderId="1" xfId="4" applyFont="1" applyBorder="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67" fillId="0" borderId="0" xfId="0" applyFont="1" applyAlignment="1">
      <alignment horizontal="left" wrapText="1"/>
    </xf>
    <xf numFmtId="0" fontId="55" fillId="29" borderId="0" xfId="0" applyFont="1" applyFill="1" applyBorder="1" applyAlignment="1" applyProtection="1">
      <alignment horizontal="center"/>
      <protection locked="0"/>
    </xf>
    <xf numFmtId="0" fontId="55" fillId="29" borderId="0" xfId="0" applyFont="1" applyFill="1" applyBorder="1" applyAlignment="1" applyProtection="1">
      <alignment horizontal="left"/>
      <protection locked="0"/>
    </xf>
    <xf numFmtId="0" fontId="64" fillId="0" borderId="0" xfId="0" applyFont="1" applyAlignment="1">
      <alignment horizontal="left"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68" fillId="0" borderId="0" xfId="0" applyFont="1" applyAlignment="1">
      <alignment horizontal="left" vertical="top" wrapText="1"/>
    </xf>
    <xf numFmtId="0" fontId="55" fillId="29" borderId="0" xfId="0" applyFont="1" applyFill="1" applyBorder="1" applyAlignment="1" applyProtection="1">
      <alignment horizontal="left" vertical="top" wrapText="1"/>
      <protection locked="0"/>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2">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Valuation_Table!$B$26</c:f>
              <c:numCache>
                <c:formatCode>0</c:formatCode>
                <c:ptCount val="1"/>
                <c:pt idx="0">
                  <c:v>30209.151709502177</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Valuation_Table!$B$25</c:f>
              <c:numCache>
                <c:formatCode>0</c:formatCode>
                <c:ptCount val="1"/>
                <c:pt idx="0">
                  <c:v>29764.445314226828</c:v>
                </c:pt>
              </c:numCache>
            </c:numRef>
          </c:val>
        </c:ser>
        <c:dLbls>
          <c:dLblPos val="outEnd"/>
          <c:showLegendKey val="0"/>
          <c:showVal val="1"/>
          <c:showCatName val="0"/>
          <c:showSerName val="0"/>
          <c:showPercent val="0"/>
          <c:showBubbleSize val="0"/>
        </c:dLbls>
        <c:gapWidth val="150"/>
        <c:axId val="20054384"/>
        <c:axId val="20052752"/>
      </c:barChart>
      <c:catAx>
        <c:axId val="20054384"/>
        <c:scaling>
          <c:orientation val="minMax"/>
        </c:scaling>
        <c:delete val="0"/>
        <c:axPos val="l"/>
        <c:majorGridlines/>
        <c:numFmt formatCode="General" sourceLinked="0"/>
        <c:majorTickMark val="out"/>
        <c:minorTickMark val="none"/>
        <c:tickLblPos val="nextTo"/>
        <c:crossAx val="20052752"/>
        <c:crosses val="autoZero"/>
        <c:auto val="1"/>
        <c:lblAlgn val="ctr"/>
        <c:lblOffset val="100"/>
        <c:noMultiLvlLbl val="0"/>
      </c:catAx>
      <c:valAx>
        <c:axId val="20052752"/>
        <c:scaling>
          <c:orientation val="minMax"/>
        </c:scaling>
        <c:delete val="1"/>
        <c:axPos val="b"/>
        <c:numFmt formatCode="0" sourceLinked="1"/>
        <c:majorTickMark val="out"/>
        <c:minorTickMark val="none"/>
        <c:tickLblPos val="nextTo"/>
        <c:crossAx val="20054384"/>
        <c:crosses val="autoZero"/>
        <c:crossBetween val="between"/>
      </c:valAx>
      <c:spPr>
        <a:noFill/>
        <a:ln w="25400">
          <a:no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Output.v0'!$D$192:$L$192</c:f>
              <c:numCache>
                <c:formatCode>0</c:formatCode>
                <c:ptCount val="9"/>
                <c:pt idx="0">
                  <c:v>376.29</c:v>
                </c:pt>
                <c:pt idx="1">
                  <c:v>413.16</c:v>
                </c:pt>
                <c:pt idx="2">
                  <c:v>418.19</c:v>
                </c:pt>
                <c:pt idx="3">
                  <c:v>459.44</c:v>
                </c:pt>
                <c:pt idx="4">
                  <c:v>459.62</c:v>
                </c:pt>
                <c:pt idx="5">
                  <c:v>518.02</c:v>
                </c:pt>
                <c:pt idx="6">
                  <c:v>520.5</c:v>
                </c:pt>
                <c:pt idx="7">
                  <c:v>461.53</c:v>
                </c:pt>
                <c:pt idx="8">
                  <c:v>576.17999999999995</c:v>
                </c:pt>
              </c:numCache>
            </c:numRef>
          </c:val>
        </c:ser>
        <c:dLbls>
          <c:dLblPos val="inEnd"/>
          <c:showLegendKey val="0"/>
          <c:showVal val="1"/>
          <c:showCatName val="0"/>
          <c:showSerName val="0"/>
          <c:showPercent val="0"/>
          <c:showBubbleSize val="0"/>
        </c:dLbls>
        <c:gapWidth val="41"/>
        <c:axId val="510322112"/>
        <c:axId val="510323200"/>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Output.v0'!$D$193:$L$193</c:f>
              <c:numCache>
                <c:formatCode>0%</c:formatCode>
                <c:ptCount val="9"/>
                <c:pt idx="3">
                  <c:v>0.33908481492276299</c:v>
                </c:pt>
                <c:pt idx="4">
                  <c:v>0.22145154003561074</c:v>
                </c:pt>
                <c:pt idx="5">
                  <c:v>0.25379998063704123</c:v>
                </c:pt>
                <c:pt idx="6">
                  <c:v>0.24464956120423742</c:v>
                </c:pt>
                <c:pt idx="7">
                  <c:v>4.5490161936270201E-3</c:v>
                </c:pt>
                <c:pt idx="8">
                  <c:v>0.25360080066141588</c:v>
                </c:pt>
              </c:numCache>
            </c:numRef>
          </c:val>
          <c:smooth val="0"/>
        </c:ser>
        <c:dLbls>
          <c:showLegendKey val="0"/>
          <c:showVal val="0"/>
          <c:showCatName val="0"/>
          <c:showSerName val="0"/>
          <c:showPercent val="0"/>
          <c:showBubbleSize val="0"/>
        </c:dLbls>
        <c:marker val="1"/>
        <c:smooth val="0"/>
        <c:axId val="510322656"/>
        <c:axId val="510326464"/>
      </c:lineChart>
      <c:dateAx>
        <c:axId val="51032211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510323200"/>
        <c:crosses val="autoZero"/>
        <c:auto val="1"/>
        <c:lblOffset val="100"/>
        <c:baseTimeUnit val="months"/>
        <c:majorUnit val="3"/>
        <c:majorTimeUnit val="months"/>
      </c:dateAx>
      <c:valAx>
        <c:axId val="5103232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10322112"/>
        <c:crosses val="autoZero"/>
        <c:crossBetween val="between"/>
      </c:valAx>
      <c:valAx>
        <c:axId val="51032646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10322656"/>
        <c:crosses val="max"/>
        <c:crossBetween val="between"/>
        <c:majorUnit val="0.2"/>
      </c:valAx>
      <c:dateAx>
        <c:axId val="510322656"/>
        <c:scaling>
          <c:orientation val="minMax"/>
        </c:scaling>
        <c:delete val="1"/>
        <c:axPos val="b"/>
        <c:numFmt formatCode="[$-409]mmm\-yy;@" sourceLinked="1"/>
        <c:majorTickMark val="out"/>
        <c:minorTickMark val="none"/>
        <c:tickLblPos val="nextTo"/>
        <c:crossAx val="510326464"/>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Dec-08</c:v>
                </c:pt>
                <c:pt idx="2">
                  <c:v>Dec-09</c:v>
                </c:pt>
                <c:pt idx="3">
                  <c:v>Dec-10</c:v>
                </c:pt>
                <c:pt idx="4">
                  <c:v>Dec-11</c:v>
                </c:pt>
                <c:pt idx="5">
                  <c:v>Dec-12</c:v>
                </c:pt>
                <c:pt idx="6">
                  <c:v>Dec-13</c:v>
                </c:pt>
                <c:pt idx="7">
                  <c:v>Dec-14</c:v>
                </c:pt>
                <c:pt idx="8">
                  <c:v>Mar-16</c:v>
                </c:pt>
                <c:pt idx="9">
                  <c:v>Mar-17</c:v>
                </c:pt>
                <c:pt idx="10">
                  <c:v>Mar-18</c:v>
                </c:pt>
                <c:pt idx="11">
                  <c:v>TTM</c:v>
                </c:pt>
              </c:strCache>
            </c:strRef>
          </c:cat>
          <c:val>
            <c:numRef>
              <c:f>'Screener Output.v0'!$B$130:$M$130</c:f>
              <c:numCache>
                <c:formatCode>0%</c:formatCode>
                <c:ptCount val="12"/>
                <c:pt idx="1">
                  <c:v>0.35039893617021295</c:v>
                </c:pt>
                <c:pt idx="2">
                  <c:v>0.21575301325431462</c:v>
                </c:pt>
                <c:pt idx="3">
                  <c:v>0.11827357731128864</c:v>
                </c:pt>
                <c:pt idx="4">
                  <c:v>8.739734637825719E-2</c:v>
                </c:pt>
                <c:pt idx="5">
                  <c:v>0.12020187244002331</c:v>
                </c:pt>
                <c:pt idx="6">
                  <c:v>0.16118796172343683</c:v>
                </c:pt>
                <c:pt idx="7">
                  <c:v>0.18060519418632365</c:v>
                </c:pt>
                <c:pt idx="8">
                  <c:v>6.7788199096819018E-2</c:v>
                </c:pt>
                <c:pt idx="9">
                  <c:v>5.9406514207584846E-2</c:v>
                </c:pt>
                <c:pt idx="10">
                  <c:v>6.680468380711907E-2</c:v>
                </c:pt>
                <c:pt idx="11">
                  <c:v>7.4448526655169822E-2</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Dec-08</c:v>
                </c:pt>
                <c:pt idx="2">
                  <c:v>Dec-09</c:v>
                </c:pt>
                <c:pt idx="3">
                  <c:v>Dec-10</c:v>
                </c:pt>
                <c:pt idx="4">
                  <c:v>Dec-11</c:v>
                </c:pt>
                <c:pt idx="5">
                  <c:v>Dec-12</c:v>
                </c:pt>
                <c:pt idx="6">
                  <c:v>Dec-13</c:v>
                </c:pt>
                <c:pt idx="7">
                  <c:v>Dec-14</c:v>
                </c:pt>
                <c:pt idx="8">
                  <c:v>Mar-16</c:v>
                </c:pt>
                <c:pt idx="9">
                  <c:v>Mar-17</c:v>
                </c:pt>
                <c:pt idx="10">
                  <c:v>Mar-18</c:v>
                </c:pt>
                <c:pt idx="11">
                  <c:v>TTM</c:v>
                </c:pt>
              </c:strCache>
            </c:strRef>
          </c:cat>
          <c:val>
            <c:numRef>
              <c:f>'Screener Output.v0'!$B$131:$M$131</c:f>
              <c:numCache>
                <c:formatCode>0%</c:formatCode>
                <c:ptCount val="12"/>
                <c:pt idx="1">
                  <c:v>9.4319908814589709E-2</c:v>
                </c:pt>
                <c:pt idx="2">
                  <c:v>3.4717494894486035E-2</c:v>
                </c:pt>
                <c:pt idx="3">
                  <c:v>1.9609057320370719E-2</c:v>
                </c:pt>
                <c:pt idx="4">
                  <c:v>1.0480576090075557E-2</c:v>
                </c:pt>
                <c:pt idx="5">
                  <c:v>5.5441778818022189E-3</c:v>
                </c:pt>
                <c:pt idx="6">
                  <c:v>9.767464921414044E-3</c:v>
                </c:pt>
                <c:pt idx="7">
                  <c:v>8.0352961474945191E-3</c:v>
                </c:pt>
                <c:pt idx="8">
                  <c:v>1.0520569698774255E-3</c:v>
                </c:pt>
                <c:pt idx="9">
                  <c:v>1.3749898613809378E-3</c:v>
                </c:pt>
                <c:pt idx="10">
                  <c:v>1.5975683454098333E-3</c:v>
                </c:pt>
                <c:pt idx="11">
                  <c:v>1.7245257554172606E-3</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Dec-08</c:v>
                </c:pt>
                <c:pt idx="2">
                  <c:v>Dec-09</c:v>
                </c:pt>
                <c:pt idx="3">
                  <c:v>Dec-10</c:v>
                </c:pt>
                <c:pt idx="4">
                  <c:v>Dec-11</c:v>
                </c:pt>
                <c:pt idx="5">
                  <c:v>Dec-12</c:v>
                </c:pt>
                <c:pt idx="6">
                  <c:v>Dec-13</c:v>
                </c:pt>
                <c:pt idx="7">
                  <c:v>Dec-14</c:v>
                </c:pt>
                <c:pt idx="8">
                  <c:v>Mar-16</c:v>
                </c:pt>
                <c:pt idx="9">
                  <c:v>Mar-17</c:v>
                </c:pt>
                <c:pt idx="10">
                  <c:v>Mar-18</c:v>
                </c:pt>
                <c:pt idx="11">
                  <c:v>TTM</c:v>
                </c:pt>
              </c:strCache>
            </c:strRef>
          </c:cat>
          <c:val>
            <c:numRef>
              <c:f>'Screener Output.v0'!$B$132:$M$132</c:f>
              <c:numCache>
                <c:formatCode>0%</c:formatCode>
                <c:ptCount val="12"/>
                <c:pt idx="1">
                  <c:v>-8.1022036474164172E-2</c:v>
                </c:pt>
                <c:pt idx="2">
                  <c:v>0.23153005245665312</c:v>
                </c:pt>
                <c:pt idx="3">
                  <c:v>0.22874481392036661</c:v>
                </c:pt>
                <c:pt idx="4">
                  <c:v>0.22245603487148641</c:v>
                </c:pt>
                <c:pt idx="5">
                  <c:v>0.1826360444704504</c:v>
                </c:pt>
                <c:pt idx="6">
                  <c:v>0.17995438544300649</c:v>
                </c:pt>
                <c:pt idx="7">
                  <c:v>0.23898844001873271</c:v>
                </c:pt>
                <c:pt idx="8">
                  <c:v>0.2674209716639373</c:v>
                </c:pt>
                <c:pt idx="9">
                  <c:v>0.27820370706536218</c:v>
                </c:pt>
                <c:pt idx="10">
                  <c:v>0.28000227369277625</c:v>
                </c:pt>
                <c:pt idx="11">
                  <c:v>0.30112918947289496</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Dec-08</c:v>
                </c:pt>
                <c:pt idx="2">
                  <c:v>Dec-09</c:v>
                </c:pt>
                <c:pt idx="3">
                  <c:v>Dec-10</c:v>
                </c:pt>
                <c:pt idx="4">
                  <c:v>Dec-11</c:v>
                </c:pt>
                <c:pt idx="5">
                  <c:v>Dec-12</c:v>
                </c:pt>
                <c:pt idx="6">
                  <c:v>Dec-13</c:v>
                </c:pt>
                <c:pt idx="7">
                  <c:v>Dec-14</c:v>
                </c:pt>
                <c:pt idx="8">
                  <c:v>Mar-16</c:v>
                </c:pt>
                <c:pt idx="9">
                  <c:v>Mar-17</c:v>
                </c:pt>
                <c:pt idx="10">
                  <c:v>Mar-18</c:v>
                </c:pt>
                <c:pt idx="11">
                  <c:v>TTM</c:v>
                </c:pt>
              </c:strCache>
            </c:strRef>
          </c:cat>
          <c:val>
            <c:numRef>
              <c:f>'Screener Output.v0'!$B$133:$M$133</c:f>
              <c:numCache>
                <c:formatCode>0%</c:formatCode>
                <c:ptCount val="12"/>
                <c:pt idx="1">
                  <c:v>0.63630319148936143</c:v>
                </c:pt>
                <c:pt idx="2">
                  <c:v>0.5179994393945464</c:v>
                </c:pt>
                <c:pt idx="3">
                  <c:v>0.633372551447974</c:v>
                </c:pt>
                <c:pt idx="4">
                  <c:v>0.67966604266018082</c:v>
                </c:pt>
                <c:pt idx="5">
                  <c:v>0.69161790520772415</c:v>
                </c:pt>
                <c:pt idx="6">
                  <c:v>0.64909018791214257</c:v>
                </c:pt>
                <c:pt idx="7">
                  <c:v>0.57237106964744922</c:v>
                </c:pt>
                <c:pt idx="8">
                  <c:v>0.66373877226936639</c:v>
                </c:pt>
                <c:pt idx="9">
                  <c:v>0.66101478886567211</c:v>
                </c:pt>
                <c:pt idx="10">
                  <c:v>0.65159547415469476</c:v>
                </c:pt>
                <c:pt idx="11">
                  <c:v>0.62269775811651795</c:v>
                </c:pt>
              </c:numCache>
            </c:numRef>
          </c:val>
        </c:ser>
        <c:dLbls>
          <c:dLblPos val="ctr"/>
          <c:showLegendKey val="0"/>
          <c:showVal val="1"/>
          <c:showCatName val="0"/>
          <c:showSerName val="0"/>
          <c:showPercent val="0"/>
          <c:showBubbleSize val="0"/>
        </c:dLbls>
        <c:gapWidth val="150"/>
        <c:overlap val="100"/>
        <c:axId val="510323744"/>
        <c:axId val="510324288"/>
      </c:barChart>
      <c:catAx>
        <c:axId val="510323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324288"/>
        <c:crosses val="autoZero"/>
        <c:auto val="1"/>
        <c:lblAlgn val="ctr"/>
        <c:lblOffset val="100"/>
        <c:noMultiLvlLbl val="1"/>
      </c:catAx>
      <c:valAx>
        <c:axId val="510324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323744"/>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Output.v0'!$B$125:$M$125</c:f>
              <c:strCache>
                <c:ptCount val="12"/>
                <c:pt idx="1">
                  <c:v>Dec-08</c:v>
                </c:pt>
                <c:pt idx="2">
                  <c:v>Dec-09</c:v>
                </c:pt>
                <c:pt idx="3">
                  <c:v>Dec-10</c:v>
                </c:pt>
                <c:pt idx="4">
                  <c:v>Dec-11</c:v>
                </c:pt>
                <c:pt idx="5">
                  <c:v>Dec-12</c:v>
                </c:pt>
                <c:pt idx="6">
                  <c:v>Dec-13</c:v>
                </c:pt>
                <c:pt idx="7">
                  <c:v>Dec-14</c:v>
                </c:pt>
                <c:pt idx="8">
                  <c:v>Mar-16</c:v>
                </c:pt>
                <c:pt idx="9">
                  <c:v>Mar-17</c:v>
                </c:pt>
                <c:pt idx="10">
                  <c:v>Mar-18</c:v>
                </c:pt>
                <c:pt idx="11">
                  <c:v>TTM</c:v>
                </c:pt>
              </c:strCache>
            </c:strRef>
          </c:cat>
          <c:val>
            <c:numRef>
              <c:f>'Screener Output.v0'!$B$126:$M$126</c:f>
              <c:numCache>
                <c:formatCode>0%</c:formatCode>
                <c:ptCount val="12"/>
                <c:pt idx="1">
                  <c:v>6.1324821174771046E-2</c:v>
                </c:pt>
                <c:pt idx="2">
                  <c:v>8.4981777222719448E-2</c:v>
                </c:pt>
                <c:pt idx="3">
                  <c:v>0.11017993759494936</c:v>
                </c:pt>
                <c:pt idx="4">
                  <c:v>0.12874312594776607</c:v>
                </c:pt>
                <c:pt idx="5">
                  <c:v>0.10698149733407</c:v>
                </c:pt>
                <c:pt idx="6">
                  <c:v>0.11847043966048937</c:v>
                </c:pt>
                <c:pt idx="7">
                  <c:v>0.139286499006674</c:v>
                </c:pt>
                <c:pt idx="8">
                  <c:v>0.32641338892614508</c:v>
                </c:pt>
                <c:pt idx="9">
                  <c:v>0.36811850950328157</c:v>
                </c:pt>
                <c:pt idx="10">
                  <c:v>0.37284940479377487</c:v>
                </c:pt>
                <c:pt idx="11">
                  <c:v>0.35052832874442685</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Output.v0'!$B$125:$M$125</c:f>
              <c:strCache>
                <c:ptCount val="12"/>
                <c:pt idx="1">
                  <c:v>Dec-08</c:v>
                </c:pt>
                <c:pt idx="2">
                  <c:v>Dec-09</c:v>
                </c:pt>
                <c:pt idx="3">
                  <c:v>Dec-10</c:v>
                </c:pt>
                <c:pt idx="4">
                  <c:v>Dec-11</c:v>
                </c:pt>
                <c:pt idx="5">
                  <c:v>Dec-12</c:v>
                </c:pt>
                <c:pt idx="6">
                  <c:v>Dec-13</c:v>
                </c:pt>
                <c:pt idx="7">
                  <c:v>Dec-14</c:v>
                </c:pt>
                <c:pt idx="8">
                  <c:v>Mar-16</c:v>
                </c:pt>
                <c:pt idx="9">
                  <c:v>Mar-17</c:v>
                </c:pt>
                <c:pt idx="10">
                  <c:v>Mar-18</c:v>
                </c:pt>
                <c:pt idx="11">
                  <c:v>TTM</c:v>
                </c:pt>
              </c:strCache>
            </c:strRef>
          </c:cat>
          <c:val>
            <c:numRef>
              <c:f>'Screener Output.v0'!$B$127:$M$127</c:f>
              <c:numCache>
                <c:formatCode>0%</c:formatCode>
                <c:ptCount val="12"/>
                <c:pt idx="1">
                  <c:v>3.6642599277978305E-2</c:v>
                </c:pt>
                <c:pt idx="2">
                  <c:v>4.2405745886780359E-2</c:v>
                </c:pt>
                <c:pt idx="3">
                  <c:v>6.7671129557629051E-2</c:v>
                </c:pt>
                <c:pt idx="4">
                  <c:v>8.536271430777953E-2</c:v>
                </c:pt>
                <c:pt idx="5">
                  <c:v>7.2441251323444561E-2</c:v>
                </c:pt>
                <c:pt idx="6">
                  <c:v>7.583681023708605E-2</c:v>
                </c:pt>
                <c:pt idx="7">
                  <c:v>7.8755245450927852E-2</c:v>
                </c:pt>
                <c:pt idx="8">
                  <c:v>0.20578537700650359</c:v>
                </c:pt>
                <c:pt idx="9">
                  <c:v>0.22971855637999725</c:v>
                </c:pt>
                <c:pt idx="10">
                  <c:v>0.22922512161084105</c:v>
                </c:pt>
                <c:pt idx="11">
                  <c:v>0.20664680051437012</c:v>
                </c:pt>
              </c:numCache>
            </c:numRef>
          </c:val>
          <c:smooth val="0"/>
        </c:ser>
        <c:dLbls>
          <c:dLblPos val="ctr"/>
          <c:showLegendKey val="0"/>
          <c:showVal val="1"/>
          <c:showCatName val="0"/>
          <c:showSerName val="0"/>
          <c:showPercent val="0"/>
          <c:showBubbleSize val="0"/>
        </c:dLbls>
        <c:marker val="1"/>
        <c:smooth val="0"/>
        <c:axId val="510324832"/>
        <c:axId val="510325376"/>
      </c:lineChart>
      <c:catAx>
        <c:axId val="51032483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510325376"/>
        <c:crosses val="autoZero"/>
        <c:auto val="1"/>
        <c:lblAlgn val="ctr"/>
        <c:lblOffset val="100"/>
        <c:noMultiLvlLbl val="1"/>
      </c:catAx>
      <c:valAx>
        <c:axId val="510325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510324832"/>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1.2779394073991819</c:v>
                </c:pt>
                <c:pt idx="1">
                  <c:v>1.3633632800519098</c:v>
                </c:pt>
                <c:pt idx="2">
                  <c:v>1.3118595352423397</c:v>
                </c:pt>
                <c:pt idx="3">
                  <c:v>1.0609332879538951</c:v>
                </c:pt>
                <c:pt idx="4">
                  <c:v>0.99570661633791235</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2.6288057915170624</c:v>
                </c:pt>
                <c:pt idx="1">
                  <c:v>2.5789153609501319</c:v>
                </c:pt>
                <c:pt idx="2">
                  <c:v>1.3562244565559569</c:v>
                </c:pt>
                <c:pt idx="3">
                  <c:v>1.3137844780330288</c:v>
                </c:pt>
                <c:pt idx="4">
                  <c:v>1.3573961567950248</c:v>
                </c:pt>
              </c:numCache>
            </c:numRef>
          </c:val>
        </c:ser>
        <c:dLbls>
          <c:showLegendKey val="0"/>
          <c:showVal val="0"/>
          <c:showCatName val="0"/>
          <c:showSerName val="0"/>
          <c:showPercent val="0"/>
          <c:showBubbleSize val="0"/>
        </c:dLbls>
        <c:gapWidth val="247"/>
        <c:axId val="504454464"/>
        <c:axId val="504455552"/>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7.6897999941261203E-2</c:v>
                </c:pt>
                <c:pt idx="1">
                  <c:v>7.9723562423898359E-2</c:v>
                </c:pt>
                <c:pt idx="2">
                  <c:v>0.21665322201812273</c:v>
                </c:pt>
                <c:pt idx="3">
                  <c:v>0.24333177883685755</c:v>
                </c:pt>
                <c:pt idx="4">
                  <c:v>0.24294698470489545</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0.2583353331262726</c:v>
                </c:pt>
                <c:pt idx="1">
                  <c:v>0.28030792633406593</c:v>
                </c:pt>
                <c:pt idx="2">
                  <c:v>0.38546420974423534</c:v>
                </c:pt>
                <c:pt idx="3">
                  <c:v>0.3391650035302069</c:v>
                </c:pt>
                <c:pt idx="4">
                  <c:v>0.32835945144383033</c:v>
                </c:pt>
              </c:numCache>
            </c:numRef>
          </c:val>
          <c:smooth val="0"/>
        </c:ser>
        <c:dLbls>
          <c:showLegendKey val="0"/>
          <c:showVal val="0"/>
          <c:showCatName val="0"/>
          <c:showSerName val="0"/>
          <c:showPercent val="0"/>
          <c:showBubbleSize val="0"/>
        </c:dLbls>
        <c:marker val="1"/>
        <c:smooth val="0"/>
        <c:axId val="504455008"/>
        <c:axId val="504452288"/>
      </c:lineChart>
      <c:catAx>
        <c:axId val="5044544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504455552"/>
        <c:crosses val="autoZero"/>
        <c:auto val="1"/>
        <c:lblAlgn val="ctr"/>
        <c:lblOffset val="100"/>
        <c:noMultiLvlLbl val="0"/>
      </c:catAx>
      <c:valAx>
        <c:axId val="50445555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04454464"/>
        <c:crosses val="autoZero"/>
        <c:crossBetween val="between"/>
      </c:valAx>
      <c:valAx>
        <c:axId val="50445228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04455008"/>
        <c:crosses val="max"/>
        <c:crossBetween val="between"/>
      </c:valAx>
      <c:catAx>
        <c:axId val="504455008"/>
        <c:scaling>
          <c:orientation val="minMax"/>
        </c:scaling>
        <c:delete val="1"/>
        <c:axPos val="b"/>
        <c:numFmt formatCode="General" sourceLinked="1"/>
        <c:majorTickMark val="out"/>
        <c:minorTickMark val="none"/>
        <c:tickLblPos val="nextTo"/>
        <c:crossAx val="504452288"/>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Output.v0'!$C$117:$L$117</c:f>
              <c:numCache>
                <c:formatCode>0.0</c:formatCode>
                <c:ptCount val="10"/>
                <c:pt idx="0">
                  <c:v>2.4721600238841641</c:v>
                </c:pt>
                <c:pt idx="1">
                  <c:v>0.97688620902906542</c:v>
                </c:pt>
                <c:pt idx="2">
                  <c:v>0.31168323284992677</c:v>
                </c:pt>
                <c:pt idx="3">
                  <c:v>8.6891837555287413E-2</c:v>
                </c:pt>
                <c:pt idx="4">
                  <c:v>4.8499333742253362E-2</c:v>
                </c:pt>
                <c:pt idx="5">
                  <c:v>0.16021846236107382</c:v>
                </c:pt>
                <c:pt idx="6">
                  <c:v>8.3772339051173525E-2</c:v>
                </c:pt>
                <c:pt idx="7">
                  <c:v>1.6874766355140187E-2</c:v>
                </c:pt>
                <c:pt idx="8">
                  <c:v>6.5354321507035004E-2</c:v>
                </c:pt>
                <c:pt idx="9">
                  <c:v>6.9255880367858763E-2</c:v>
                </c:pt>
              </c:numCache>
            </c:numRef>
          </c:val>
          <c:smooth val="0"/>
        </c:ser>
        <c:dLbls>
          <c:dLblPos val="ctr"/>
          <c:showLegendKey val="0"/>
          <c:showVal val="1"/>
          <c:showCatName val="0"/>
          <c:showSerName val="0"/>
          <c:showPercent val="0"/>
          <c:showBubbleSize val="0"/>
        </c:dLbls>
        <c:marker val="1"/>
        <c:smooth val="0"/>
        <c:axId val="504456096"/>
        <c:axId val="504456640"/>
      </c:lineChart>
      <c:dateAx>
        <c:axId val="50445609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04456640"/>
        <c:crosses val="autoZero"/>
        <c:auto val="1"/>
        <c:lblOffset val="100"/>
        <c:baseTimeUnit val="years"/>
      </c:dateAx>
      <c:valAx>
        <c:axId val="504456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5044560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Output.v0'!$C$118:$L$118</c:f>
              <c:numCache>
                <c:formatCode>0.0</c:formatCode>
                <c:ptCount val="10"/>
                <c:pt idx="0">
                  <c:v>-1.3285565009702953</c:v>
                </c:pt>
                <c:pt idx="1">
                  <c:v>2.8483302411873819</c:v>
                </c:pt>
                <c:pt idx="2">
                  <c:v>1.094834609744175</c:v>
                </c:pt>
                <c:pt idx="3">
                  <c:v>0.81421391234418905</c:v>
                </c:pt>
                <c:pt idx="4">
                  <c:v>1.0491761670086071</c:v>
                </c:pt>
                <c:pt idx="5">
                  <c:v>1.3676813199404181</c:v>
                </c:pt>
                <c:pt idx="6">
                  <c:v>1.5035814253929531</c:v>
                </c:pt>
                <c:pt idx="7">
                  <c:v>1.0938915887850467</c:v>
                </c:pt>
                <c:pt idx="8">
                  <c:v>0.99797246762959835</c:v>
                </c:pt>
                <c:pt idx="9">
                  <c:v>1.1396871456053925</c:v>
                </c:pt>
              </c:numCache>
            </c:numRef>
          </c:val>
        </c:ser>
        <c:dLbls>
          <c:dLblPos val="inEnd"/>
          <c:showLegendKey val="0"/>
          <c:showVal val="1"/>
          <c:showCatName val="0"/>
          <c:showSerName val="0"/>
          <c:showPercent val="0"/>
          <c:showBubbleSize val="0"/>
        </c:dLbls>
        <c:gapWidth val="65"/>
        <c:axId val="504457184"/>
        <c:axId val="504457728"/>
      </c:barChart>
      <c:dateAx>
        <c:axId val="50445718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04457728"/>
        <c:crosses val="autoZero"/>
        <c:auto val="1"/>
        <c:lblOffset val="100"/>
        <c:baseTimeUnit val="years"/>
      </c:dateAx>
      <c:valAx>
        <c:axId val="5044577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5044571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'Screener Output.v0'!$C$116:$L$116</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Output.v0'!$C$119:$L$119</c:f>
              <c:numCache>
                <c:formatCode>0%</c:formatCode>
                <c:ptCount val="10"/>
                <c:pt idx="0">
                  <c:v>7.5945492472338047E-2</c:v>
                </c:pt>
                <c:pt idx="1">
                  <c:v>0.25289333750391013</c:v>
                </c:pt>
                <c:pt idx="2">
                  <c:v>0.7403252267901943</c:v>
                </c:pt>
                <c:pt idx="3">
                  <c:v>2.9780864567117744</c:v>
                </c:pt>
                <c:pt idx="4">
                  <c:v>-1.3248984167016959</c:v>
                </c:pt>
                <c:pt idx="5">
                  <c:v>-0.64980704083785301</c:v>
                </c:pt>
                <c:pt idx="6">
                  <c:v>-0.56564631373822638</c:v>
                </c:pt>
                <c:pt idx="7">
                  <c:v>-2.2416827285678371</c:v>
                </c:pt>
                <c:pt idx="8">
                  <c:v>-2.2033060404758236</c:v>
                </c:pt>
                <c:pt idx="9">
                  <c:v>-9.274837116211728</c:v>
                </c:pt>
              </c:numCache>
            </c:numRef>
          </c:val>
          <c:smooth val="0"/>
        </c:ser>
        <c:dLbls>
          <c:dLblPos val="ctr"/>
          <c:showLegendKey val="0"/>
          <c:showVal val="1"/>
          <c:showCatName val="0"/>
          <c:showSerName val="0"/>
          <c:showPercent val="0"/>
          <c:showBubbleSize val="0"/>
        </c:dLbls>
        <c:smooth val="0"/>
        <c:axId val="504451200"/>
        <c:axId val="504458272"/>
      </c:lineChart>
      <c:dateAx>
        <c:axId val="504451200"/>
        <c:scaling>
          <c:orientation val="minMax"/>
        </c:scaling>
        <c:delete val="0"/>
        <c:axPos val="b"/>
        <c:numFmt formatCode="[$-409]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04458272"/>
        <c:crosses val="autoZero"/>
        <c:auto val="1"/>
        <c:lblOffset val="100"/>
        <c:baseTimeUnit val="years"/>
      </c:dateAx>
      <c:valAx>
        <c:axId val="504458272"/>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0445120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Output.v0'!$C$121:$L$121</c:f>
              <c:numCache>
                <c:formatCode>0.00</c:formatCode>
                <c:ptCount val="10"/>
                <c:pt idx="0">
                  <c:v>0.54737506478312403</c:v>
                </c:pt>
                <c:pt idx="1">
                  <c:v>0.72010921606285938</c:v>
                </c:pt>
                <c:pt idx="2">
                  <c:v>0.79890057106260326</c:v>
                </c:pt>
                <c:pt idx="3">
                  <c:v>0.93182829317670679</c:v>
                </c:pt>
                <c:pt idx="4">
                  <c:v>1.1504141288541383</c:v>
                </c:pt>
                <c:pt idx="5">
                  <c:v>1.327841308973154</c:v>
                </c:pt>
                <c:pt idx="6">
                  <c:v>1.4591462027982716</c:v>
                </c:pt>
                <c:pt idx="7">
                  <c:v>1.8747251136197038</c:v>
                </c:pt>
                <c:pt idx="8">
                  <c:v>1.9849985417010105</c:v>
                </c:pt>
                <c:pt idx="9">
                  <c:v>1.110412111808543</c:v>
                </c:pt>
              </c:numCache>
            </c:numRef>
          </c:val>
        </c:ser>
        <c:dLbls>
          <c:dLblPos val="inEnd"/>
          <c:showLegendKey val="0"/>
          <c:showVal val="1"/>
          <c:showCatName val="0"/>
          <c:showSerName val="0"/>
          <c:showPercent val="0"/>
          <c:showBubbleSize val="0"/>
        </c:dLbls>
        <c:gapWidth val="41"/>
        <c:axId val="504451744"/>
        <c:axId val="504452832"/>
      </c:barChart>
      <c:dateAx>
        <c:axId val="50445174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04452832"/>
        <c:crosses val="autoZero"/>
        <c:auto val="1"/>
        <c:lblOffset val="100"/>
        <c:baseTimeUnit val="years"/>
      </c:dateAx>
      <c:valAx>
        <c:axId val="504452832"/>
        <c:scaling>
          <c:orientation val="minMax"/>
        </c:scaling>
        <c:delete val="1"/>
        <c:axPos val="l"/>
        <c:numFmt formatCode="0.00" sourceLinked="1"/>
        <c:majorTickMark val="none"/>
        <c:minorTickMark val="none"/>
        <c:tickLblPos val="nextTo"/>
        <c:crossAx val="50445174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40148</c:v>
                </c:pt>
                <c:pt idx="1">
                  <c:v>40513</c:v>
                </c:pt>
                <c:pt idx="2">
                  <c:v>40878</c:v>
                </c:pt>
                <c:pt idx="3">
                  <c:v>41244</c:v>
                </c:pt>
                <c:pt idx="4">
                  <c:v>41609</c:v>
                </c:pt>
                <c:pt idx="5">
                  <c:v>41974</c:v>
                </c:pt>
                <c:pt idx="6">
                  <c:v>42430</c:v>
                </c:pt>
                <c:pt idx="7">
                  <c:v>42795</c:v>
                </c:pt>
                <c:pt idx="8">
                  <c:v>43160</c:v>
                </c:pt>
              </c:numCache>
            </c:numRef>
          </c:cat>
          <c:val>
            <c:numRef>
              <c:f>'Screener Output.v0'!$D$106:$L$106</c:f>
              <c:numCache>
                <c:formatCode>0</c:formatCode>
                <c:ptCount val="9"/>
                <c:pt idx="0">
                  <c:v>-370.55999999999995</c:v>
                </c:pt>
                <c:pt idx="1">
                  <c:v>-97.039999999999736</c:v>
                </c:pt>
                <c:pt idx="2">
                  <c:v>-247.46000000000026</c:v>
                </c:pt>
                <c:pt idx="3">
                  <c:v>-523.87000000000035</c:v>
                </c:pt>
                <c:pt idx="4">
                  <c:v>-449.01999999999953</c:v>
                </c:pt>
                <c:pt idx="5">
                  <c:v>-425.73</c:v>
                </c:pt>
                <c:pt idx="6">
                  <c:v>634.94999999999993</c:v>
                </c:pt>
                <c:pt idx="7">
                  <c:v>-180.1099999999999</c:v>
                </c:pt>
                <c:pt idx="8">
                  <c:v>541.92999999999995</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40148</c:v>
                </c:pt>
                <c:pt idx="1">
                  <c:v>40513</c:v>
                </c:pt>
                <c:pt idx="2">
                  <c:v>40878</c:v>
                </c:pt>
                <c:pt idx="3">
                  <c:v>41244</c:v>
                </c:pt>
                <c:pt idx="4">
                  <c:v>41609</c:v>
                </c:pt>
                <c:pt idx="5">
                  <c:v>41974</c:v>
                </c:pt>
                <c:pt idx="6">
                  <c:v>42430</c:v>
                </c:pt>
                <c:pt idx="7">
                  <c:v>42795</c:v>
                </c:pt>
                <c:pt idx="8">
                  <c:v>43160</c:v>
                </c:pt>
              </c:numCache>
            </c:numRef>
          </c:cat>
          <c:val>
            <c:numRef>
              <c:f>'Screener Output.v0'!$D$107:$L$107</c:f>
              <c:numCache>
                <c:formatCode>0</c:formatCode>
                <c:ptCount val="9"/>
                <c:pt idx="0">
                  <c:v>66.989999999999938</c:v>
                </c:pt>
                <c:pt idx="1">
                  <c:v>129.3600000000001</c:v>
                </c:pt>
                <c:pt idx="2">
                  <c:v>306.84999999999991</c:v>
                </c:pt>
                <c:pt idx="3">
                  <c:v>497.40000000000049</c:v>
                </c:pt>
                <c:pt idx="4">
                  <c:v>472.79000000000065</c:v>
                </c:pt>
                <c:pt idx="5">
                  <c:v>523.66000000000054</c:v>
                </c:pt>
                <c:pt idx="6">
                  <c:v>696.64999999999952</c:v>
                </c:pt>
                <c:pt idx="7">
                  <c:v>1337.5</c:v>
                </c:pt>
                <c:pt idx="8">
                  <c:v>1711.4400000000003</c:v>
                </c:pt>
              </c:numCache>
            </c:numRef>
          </c:val>
        </c:ser>
        <c:dLbls>
          <c:dLblPos val="inEnd"/>
          <c:showLegendKey val="0"/>
          <c:showVal val="1"/>
          <c:showCatName val="0"/>
          <c:showSerName val="0"/>
          <c:showPercent val="0"/>
          <c:showBubbleSize val="0"/>
        </c:dLbls>
        <c:gapWidth val="65"/>
        <c:axId val="504453376"/>
        <c:axId val="504453920"/>
      </c:barChart>
      <c:dateAx>
        <c:axId val="50445337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04453920"/>
        <c:crosses val="autoZero"/>
        <c:auto val="1"/>
        <c:lblOffset val="100"/>
        <c:baseTimeUnit val="years"/>
      </c:dateAx>
      <c:valAx>
        <c:axId val="504453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0445337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Output.v0'!$B$62:$L$62</c:f>
              <c:numCache>
                <c:formatCode>0</c:formatCode>
                <c:ptCount val="11"/>
                <c:pt idx="1">
                  <c:v>-89</c:v>
                </c:pt>
                <c:pt idx="2">
                  <c:v>368.46</c:v>
                </c:pt>
                <c:pt idx="3">
                  <c:v>335.95</c:v>
                </c:pt>
                <c:pt idx="4">
                  <c:v>404.99</c:v>
                </c:pt>
                <c:pt idx="5">
                  <c:v>496.04</c:v>
                </c:pt>
                <c:pt idx="6">
                  <c:v>716.2</c:v>
                </c:pt>
                <c:pt idx="7">
                  <c:v>1047.47</c:v>
                </c:pt>
                <c:pt idx="8">
                  <c:v>1463.08</c:v>
                </c:pt>
                <c:pt idx="9">
                  <c:v>1707.97</c:v>
                </c:pt>
                <c:pt idx="10">
                  <c:v>2482.25</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Output.v0'!$B$64:$L$64</c:f>
              <c:numCache>
                <c:formatCode>0</c:formatCode>
                <c:ptCount val="11"/>
                <c:pt idx="1">
                  <c:v>265.49</c:v>
                </c:pt>
                <c:pt idx="2">
                  <c:v>-265.56</c:v>
                </c:pt>
                <c:pt idx="3">
                  <c:v>-192.05</c:v>
                </c:pt>
                <c:pt idx="4">
                  <c:v>-338.01</c:v>
                </c:pt>
                <c:pt idx="5">
                  <c:v>-773.18</c:v>
                </c:pt>
                <c:pt idx="6">
                  <c:v>-789.79</c:v>
                </c:pt>
                <c:pt idx="7">
                  <c:v>-1214.48</c:v>
                </c:pt>
                <c:pt idx="8">
                  <c:v>-1001.4</c:v>
                </c:pt>
                <c:pt idx="9">
                  <c:v>-1743.58</c:v>
                </c:pt>
                <c:pt idx="10">
                  <c:v>-2145.02</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Output.v0'!$B$65:$L$65</c:f>
              <c:numCache>
                <c:formatCode>0</c:formatCode>
                <c:ptCount val="11"/>
                <c:pt idx="1">
                  <c:v>1003.38</c:v>
                </c:pt>
                <c:pt idx="2">
                  <c:v>-164.05</c:v>
                </c:pt>
                <c:pt idx="3">
                  <c:v>-68.87</c:v>
                </c:pt>
                <c:pt idx="4">
                  <c:v>-113.68</c:v>
                </c:pt>
                <c:pt idx="5">
                  <c:v>-110.87</c:v>
                </c:pt>
                <c:pt idx="6">
                  <c:v>-47.35</c:v>
                </c:pt>
                <c:pt idx="7">
                  <c:v>-162.22999999999999</c:v>
                </c:pt>
                <c:pt idx="8">
                  <c:v>-465.52</c:v>
                </c:pt>
                <c:pt idx="9">
                  <c:v>25.29</c:v>
                </c:pt>
                <c:pt idx="10">
                  <c:v>-262.01</c:v>
                </c:pt>
              </c:numCache>
            </c:numRef>
          </c:val>
        </c:ser>
        <c:dLbls>
          <c:dLblPos val="inEnd"/>
          <c:showLegendKey val="0"/>
          <c:showVal val="1"/>
          <c:showCatName val="0"/>
          <c:showSerName val="0"/>
          <c:showPercent val="0"/>
          <c:showBubbleSize val="0"/>
        </c:dLbls>
        <c:gapWidth val="65"/>
        <c:axId val="517457680"/>
        <c:axId val="517463120"/>
      </c:barChart>
      <c:dateAx>
        <c:axId val="51745768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517463120"/>
        <c:crosses val="autoZero"/>
        <c:auto val="1"/>
        <c:lblOffset val="100"/>
        <c:baseTimeUnit val="years"/>
      </c:dateAx>
      <c:valAx>
        <c:axId val="51746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51745768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Growth Basis</c:v>
              </c:pt>
            </c:strLit>
          </c:cat>
          <c:val>
            <c:numRef>
              <c:f>Valuation_Table!$B$27</c:f>
              <c:numCache>
                <c:formatCode>0</c:formatCode>
                <c:ptCount val="1"/>
                <c:pt idx="0">
                  <c:v>59265.987198037386</c:v>
                </c:pt>
              </c:numCache>
            </c:numRef>
          </c:val>
        </c:ser>
        <c:dLbls>
          <c:dLblPos val="outEnd"/>
          <c:showLegendKey val="0"/>
          <c:showVal val="1"/>
          <c:showCatName val="0"/>
          <c:showSerName val="0"/>
          <c:showPercent val="0"/>
          <c:showBubbleSize val="0"/>
        </c:dLbls>
        <c:gapWidth val="150"/>
        <c:axId val="20053296"/>
        <c:axId val="20053840"/>
      </c:barChart>
      <c:catAx>
        <c:axId val="20053296"/>
        <c:scaling>
          <c:orientation val="minMax"/>
        </c:scaling>
        <c:delete val="0"/>
        <c:axPos val="l"/>
        <c:numFmt formatCode="General" sourceLinked="0"/>
        <c:majorTickMark val="out"/>
        <c:minorTickMark val="none"/>
        <c:tickLblPos val="nextTo"/>
        <c:crossAx val="20053840"/>
        <c:crosses val="autoZero"/>
        <c:auto val="1"/>
        <c:lblAlgn val="ctr"/>
        <c:lblOffset val="100"/>
        <c:noMultiLvlLbl val="0"/>
      </c:catAx>
      <c:valAx>
        <c:axId val="20053840"/>
        <c:scaling>
          <c:orientation val="minMax"/>
        </c:scaling>
        <c:delete val="1"/>
        <c:axPos val="b"/>
        <c:numFmt formatCode="0" sourceLinked="1"/>
        <c:majorTickMark val="out"/>
        <c:minorTickMark val="none"/>
        <c:tickLblPos val="nextTo"/>
        <c:crossAx val="2005329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Output.v0'!$C$157:$L$157</c:f>
              <c:numCache>
                <c:formatCode>0%</c:formatCode>
                <c:ptCount val="10"/>
                <c:pt idx="0">
                  <c:v>0.14093140927128503</c:v>
                </c:pt>
                <c:pt idx="1">
                  <c:v>0.1455576332469779</c:v>
                </c:pt>
                <c:pt idx="2">
                  <c:v>0.12923072785161227</c:v>
                </c:pt>
                <c:pt idx="3">
                  <c:v>0.13207063037399328</c:v>
                </c:pt>
                <c:pt idx="4">
                  <c:v>0.22005182910594792</c:v>
                </c:pt>
                <c:pt idx="5">
                  <c:v>0.30650528380804326</c:v>
                </c:pt>
                <c:pt idx="6">
                  <c:v>0.35592823268122542</c:v>
                </c:pt>
                <c:pt idx="7">
                  <c:v>0.15937114611023312</c:v>
                </c:pt>
                <c:pt idx="8">
                  <c:v>0.12428744551263336</c:v>
                </c:pt>
                <c:pt idx="9">
                  <c:v>0.15736712988821694</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Output.v0'!$C$158:$L$158</c:f>
              <c:numCache>
                <c:formatCode>0%</c:formatCode>
                <c:ptCount val="10"/>
                <c:pt idx="0">
                  <c:v>2.6711985719361478E-3</c:v>
                </c:pt>
                <c:pt idx="1">
                  <c:v>0.11776506248423381</c:v>
                </c:pt>
                <c:pt idx="2">
                  <c:v>0.15418054915830914</c:v>
                </c:pt>
                <c:pt idx="3">
                  <c:v>0.1342176094173832</c:v>
                </c:pt>
                <c:pt idx="4">
                  <c:v>0.14166474378316973</c:v>
                </c:pt>
                <c:pt idx="5">
                  <c:v>0.15276960376066478</c:v>
                </c:pt>
                <c:pt idx="6">
                  <c:v>0.16610025292107661</c:v>
                </c:pt>
                <c:pt idx="7">
                  <c:v>0.68388365113101257</c:v>
                </c:pt>
                <c:pt idx="8">
                  <c:v>0.71018773131765078</c:v>
                </c:pt>
                <c:pt idx="9">
                  <c:v>0.58483493475041892</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Output.v0'!$C$159:$L$159</c:f>
              <c:numCache>
                <c:formatCode>0%</c:formatCode>
                <c:ptCount val="10"/>
                <c:pt idx="0">
                  <c:v>0.14471988801513677</c:v>
                </c:pt>
                <c:pt idx="1">
                  <c:v>8.7674129004616755E-2</c:v>
                </c:pt>
                <c:pt idx="2">
                  <c:v>0.10977786892686518</c:v>
                </c:pt>
                <c:pt idx="3">
                  <c:v>0.11205135992794528</c:v>
                </c:pt>
                <c:pt idx="4">
                  <c:v>0.10845950407355473</c:v>
                </c:pt>
                <c:pt idx="5">
                  <c:v>9.7495974682138678E-2</c:v>
                </c:pt>
                <c:pt idx="6">
                  <c:v>9.9491537701577787E-2</c:v>
                </c:pt>
                <c:pt idx="7">
                  <c:v>6.2245554970218449E-2</c:v>
                </c:pt>
                <c:pt idx="8">
                  <c:v>4.7833535309807218E-2</c:v>
                </c:pt>
                <c:pt idx="9">
                  <c:v>4.1355648728489854E-2</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Output.v0'!$C$160:$L$160</c:f>
              <c:numCache>
                <c:formatCode>0%</c:formatCode>
                <c:ptCount val="10"/>
                <c:pt idx="0">
                  <c:v>7.7135139531598479E-2</c:v>
                </c:pt>
                <c:pt idx="1">
                  <c:v>9.310771473074321E-2</c:v>
                </c:pt>
                <c:pt idx="2">
                  <c:v>8.7726140325514318E-2</c:v>
                </c:pt>
                <c:pt idx="3">
                  <c:v>9.0220248630646288E-2</c:v>
                </c:pt>
                <c:pt idx="4">
                  <c:v>9.8925699781678769E-2</c:v>
                </c:pt>
                <c:pt idx="5">
                  <c:v>9.4849443858382843E-2</c:v>
                </c:pt>
                <c:pt idx="6">
                  <c:v>8.6645119825405847E-2</c:v>
                </c:pt>
                <c:pt idx="7">
                  <c:v>6.5880700224648344E-3</c:v>
                </c:pt>
                <c:pt idx="8">
                  <c:v>7.1259008839022137E-3</c:v>
                </c:pt>
                <c:pt idx="9">
                  <c:v>7.1259479868672967E-3</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Output.v0'!$C$161:$L$161</c:f>
              <c:numCache>
                <c:formatCode>0%</c:formatCode>
                <c:ptCount val="10"/>
                <c:pt idx="0">
                  <c:v>0.52730487194085685</c:v>
                </c:pt>
                <c:pt idx="1">
                  <c:v>0.46874186663890488</c:v>
                </c:pt>
                <c:pt idx="2">
                  <c:v>0.41880465443102238</c:v>
                </c:pt>
                <c:pt idx="3">
                  <c:v>0.31196914634018619</c:v>
                </c:pt>
                <c:pt idx="4">
                  <c:v>0.17827348728234438</c:v>
                </c:pt>
                <c:pt idx="5">
                  <c:v>0.12632280273166396</c:v>
                </c:pt>
                <c:pt idx="6">
                  <c:v>5.4455865195069814E-2</c:v>
                </c:pt>
                <c:pt idx="7">
                  <c:v>9.9244915136211982E-3</c:v>
                </c:pt>
                <c:pt idx="8">
                  <c:v>3.5686466057272075E-3</c:v>
                </c:pt>
                <c:pt idx="9">
                  <c:v>0.12700954353063476</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Output.v0'!$C$162:$L$162</c:f>
              <c:numCache>
                <c:formatCode>0%</c:formatCode>
                <c:ptCount val="10"/>
                <c:pt idx="0">
                  <c:v>0.1072374926691867</c:v>
                </c:pt>
                <c:pt idx="1">
                  <c:v>8.7153593894523429E-2</c:v>
                </c:pt>
                <c:pt idx="2">
                  <c:v>0.10028005930667655</c:v>
                </c:pt>
                <c:pt idx="3">
                  <c:v>0.21947100530984578</c:v>
                </c:pt>
                <c:pt idx="4">
                  <c:v>0.25262473597330437</c:v>
                </c:pt>
                <c:pt idx="5">
                  <c:v>0.2220568911591064</c:v>
                </c:pt>
                <c:pt idx="6">
                  <c:v>0.23737899167564447</c:v>
                </c:pt>
                <c:pt idx="7">
                  <c:v>7.7987086252449822E-2</c:v>
                </c:pt>
                <c:pt idx="8">
                  <c:v>0.10699674037027922</c:v>
                </c:pt>
                <c:pt idx="9">
                  <c:v>8.23067951153722E-2</c:v>
                </c:pt>
              </c:numCache>
            </c:numRef>
          </c:val>
        </c:ser>
        <c:dLbls>
          <c:showLegendKey val="0"/>
          <c:showVal val="1"/>
          <c:showCatName val="0"/>
          <c:showSerName val="0"/>
          <c:showPercent val="0"/>
          <c:showBubbleSize val="0"/>
        </c:dLbls>
        <c:axId val="517459856"/>
        <c:axId val="517460400"/>
      </c:areaChart>
      <c:dateAx>
        <c:axId val="51745985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17460400"/>
        <c:crosses val="autoZero"/>
        <c:auto val="1"/>
        <c:lblOffset val="100"/>
        <c:baseTimeUnit val="years"/>
      </c:dateAx>
      <c:valAx>
        <c:axId val="51746040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17459856"/>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Output.v0'!$C$112:$L$112</c:f>
              <c:numCache>
                <c:formatCode>0</c:formatCode>
                <c:ptCount val="10"/>
                <c:pt idx="0">
                  <c:v>38.310159835970083</c:v>
                </c:pt>
                <c:pt idx="1">
                  <c:v>28.881979017433295</c:v>
                </c:pt>
                <c:pt idx="2">
                  <c:v>21.659703712463727</c:v>
                </c:pt>
                <c:pt idx="3">
                  <c:v>22.125687405223399</c:v>
                </c:pt>
                <c:pt idx="4">
                  <c:v>25.468756113172525</c:v>
                </c:pt>
                <c:pt idx="5">
                  <c:v>27.469602631501658</c:v>
                </c:pt>
                <c:pt idx="6">
                  <c:v>23.481864935136276</c:v>
                </c:pt>
                <c:pt idx="7">
                  <c:v>1.9298092155776501</c:v>
                </c:pt>
                <c:pt idx="8">
                  <c:v>2.5968527133546413</c:v>
                </c:pt>
                <c:pt idx="9">
                  <c:v>2.768556691831308</c:v>
                </c:pt>
              </c:numCache>
            </c:numRef>
          </c:val>
        </c:ser>
        <c:dLbls>
          <c:dLblPos val="inEnd"/>
          <c:showLegendKey val="0"/>
          <c:showVal val="1"/>
          <c:showCatName val="0"/>
          <c:showSerName val="0"/>
          <c:showPercent val="0"/>
          <c:showBubbleSize val="0"/>
        </c:dLbls>
        <c:gapWidth val="65"/>
        <c:axId val="517462576"/>
        <c:axId val="517458768"/>
      </c:barChart>
      <c:dateAx>
        <c:axId val="517462576"/>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17458768"/>
        <c:crosses val="autoZero"/>
        <c:auto val="1"/>
        <c:lblOffset val="100"/>
        <c:baseTimeUnit val="years"/>
      </c:dateAx>
      <c:valAx>
        <c:axId val="5174587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174625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Output.v0'!$C$113:$L$113</c:f>
              <c:numCache>
                <c:formatCode>0.0</c:formatCode>
                <c:ptCount val="10"/>
                <c:pt idx="0">
                  <c:v>4.0907504363001745</c:v>
                </c:pt>
                <c:pt idx="1">
                  <c:v>7.5874907994183438</c:v>
                </c:pt>
                <c:pt idx="2">
                  <c:v>12.433856420033731</c:v>
                </c:pt>
                <c:pt idx="3">
                  <c:v>11.097444597603646</c:v>
                </c:pt>
                <c:pt idx="4">
                  <c:v>10.096793193717279</c:v>
                </c:pt>
                <c:pt idx="5">
                  <c:v>9.1730337521168934</c:v>
                </c:pt>
                <c:pt idx="6">
                  <c:v>9.990088030571858</c:v>
                </c:pt>
                <c:pt idx="7">
                  <c:v>7.3334591313645943</c:v>
                </c:pt>
                <c:pt idx="8">
                  <c:v>11.565351006534325</c:v>
                </c:pt>
                <c:pt idx="9">
                  <c:v>12.80989405097599</c:v>
                </c:pt>
              </c:numCache>
            </c:numRef>
          </c:val>
        </c:ser>
        <c:dLbls>
          <c:dLblPos val="inEnd"/>
          <c:showLegendKey val="0"/>
          <c:showVal val="1"/>
          <c:showCatName val="0"/>
          <c:showSerName val="0"/>
          <c:showPercent val="0"/>
          <c:showBubbleSize val="0"/>
        </c:dLbls>
        <c:gapWidth val="41"/>
        <c:axId val="517459312"/>
        <c:axId val="517460944"/>
      </c:barChart>
      <c:dateAx>
        <c:axId val="51745931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17460944"/>
        <c:crosses val="autoZero"/>
        <c:auto val="1"/>
        <c:lblOffset val="100"/>
        <c:baseTimeUnit val="years"/>
      </c:dateAx>
      <c:valAx>
        <c:axId val="517460944"/>
        <c:scaling>
          <c:orientation val="minMax"/>
        </c:scaling>
        <c:delete val="1"/>
        <c:axPos val="l"/>
        <c:numFmt formatCode="0.0" sourceLinked="1"/>
        <c:majorTickMark val="none"/>
        <c:minorTickMark val="none"/>
        <c:tickLblPos val="nextTo"/>
        <c:crossAx val="51745931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Output.v0'!$C$100:$L$100</c:f>
              <c:numCache>
                <c:formatCode>0%</c:formatCode>
                <c:ptCount val="10"/>
                <c:pt idx="0">
                  <c:v>0.47246396664426388</c:v>
                </c:pt>
                <c:pt idx="1">
                  <c:v>0.42243826653800109</c:v>
                </c:pt>
                <c:pt idx="2">
                  <c:v>0.41425242992633737</c:v>
                </c:pt>
                <c:pt idx="3">
                  <c:v>0.39094131939717025</c:v>
                </c:pt>
                <c:pt idx="4">
                  <c:v>0.38935950229858529</c:v>
                </c:pt>
                <c:pt idx="5">
                  <c:v>0.38040086613736057</c:v>
                </c:pt>
                <c:pt idx="6">
                  <c:v>0.38775991455244069</c:v>
                </c:pt>
                <c:pt idx="7">
                  <c:v>0.73734107593033271</c:v>
                </c:pt>
                <c:pt idx="8">
                  <c:v>0.76115985286808963</c:v>
                </c:pt>
                <c:pt idx="9">
                  <c:v>0.73670460535347326</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Output.v0'!$C$101:$L$101</c:f>
              <c:numCache>
                <c:formatCode>0%</c:formatCode>
                <c:ptCount val="10"/>
                <c:pt idx="0">
                  <c:v>0.45664225202587294</c:v>
                </c:pt>
                <c:pt idx="1">
                  <c:v>0.52696171664471081</c:v>
                </c:pt>
                <c:pt idx="2">
                  <c:v>0.55359286168163346</c:v>
                </c:pt>
                <c:pt idx="3">
                  <c:v>0.59774253008388922</c:v>
                </c:pt>
                <c:pt idx="4">
                  <c:v>0.60555299171089294</c:v>
                </c:pt>
                <c:pt idx="5">
                  <c:v>0.60407158588270138</c:v>
                </c:pt>
                <c:pt idx="6">
                  <c:v>0.60324528104139985</c:v>
                </c:pt>
                <c:pt idx="7">
                  <c:v>0.25810338667974592</c:v>
                </c:pt>
                <c:pt idx="8">
                  <c:v>0.22291224917298819</c:v>
                </c:pt>
                <c:pt idx="9">
                  <c:v>0.24748836531801113</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Output.v0'!$C$102:$L$102</c:f>
              <c:numCache>
                <c:formatCode>0%</c:formatCode>
                <c:ptCount val="10"/>
                <c:pt idx="0">
                  <c:v>7.0893781329863056E-2</c:v>
                </c:pt>
                <c:pt idx="1">
                  <c:v>5.0600016817288179E-2</c:v>
                </c:pt>
                <c:pt idx="2">
                  <c:v>3.215470839202924E-2</c:v>
                </c:pt>
                <c:pt idx="3">
                  <c:v>1.1316150518940546E-2</c:v>
                </c:pt>
                <c:pt idx="4">
                  <c:v>5.0875059905216629E-3</c:v>
                </c:pt>
                <c:pt idx="5">
                  <c:v>1.5527547979938189E-2</c:v>
                </c:pt>
                <c:pt idx="6">
                  <c:v>8.9948044061594987E-3</c:v>
                </c:pt>
                <c:pt idx="7">
                  <c:v>4.5555373899213028E-3</c:v>
                </c:pt>
                <c:pt idx="8">
                  <c:v>1.5927897958922112E-2</c:v>
                </c:pt>
                <c:pt idx="9">
                  <c:v>1.5807029328515635E-2</c:v>
                </c:pt>
              </c:numCache>
            </c:numRef>
          </c:val>
        </c:ser>
        <c:dLbls>
          <c:dLblPos val="ctr"/>
          <c:showLegendKey val="0"/>
          <c:showVal val="1"/>
          <c:showCatName val="0"/>
          <c:showSerName val="0"/>
          <c:showPercent val="0"/>
          <c:showBubbleSize val="0"/>
        </c:dLbls>
        <c:gapWidth val="150"/>
        <c:overlap val="100"/>
        <c:axId val="517461488"/>
        <c:axId val="517456048"/>
      </c:barChart>
      <c:dateAx>
        <c:axId val="51746148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17456048"/>
        <c:crosses val="autoZero"/>
        <c:auto val="1"/>
        <c:lblOffset val="100"/>
        <c:baseTimeUnit val="years"/>
      </c:dateAx>
      <c:valAx>
        <c:axId val="5174560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1746148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Output.v0'!$C$114:$L$114</c:f>
              <c:numCache>
                <c:formatCode>0%</c:formatCode>
                <c:ptCount val="10"/>
                <c:pt idx="0">
                  <c:v>0.19692327407441926</c:v>
                </c:pt>
                <c:pt idx="1">
                  <c:v>7.4510911547217576E-2</c:v>
                </c:pt>
                <c:pt idx="2">
                  <c:v>7.4258371464699297E-2</c:v>
                </c:pt>
                <c:pt idx="3">
                  <c:v>7.5286484812874491E-2</c:v>
                </c:pt>
                <c:pt idx="4">
                  <c:v>7.6502099410161978E-2</c:v>
                </c:pt>
                <c:pt idx="5">
                  <c:v>7.7359100120414692E-2</c:v>
                </c:pt>
                <c:pt idx="6">
                  <c:v>7.3872323284109531E-2</c:v>
                </c:pt>
                <c:pt idx="7">
                  <c:v>4.9954158607976723E-2</c:v>
                </c:pt>
                <c:pt idx="8">
                  <c:v>4.775811276544923E-2</c:v>
                </c:pt>
                <c:pt idx="9">
                  <c:v>4.402027449090682E-2</c:v>
                </c:pt>
              </c:numCache>
            </c:numRef>
          </c:val>
          <c:smooth val="0"/>
        </c:ser>
        <c:dLbls>
          <c:dLblPos val="ctr"/>
          <c:showLegendKey val="0"/>
          <c:showVal val="1"/>
          <c:showCatName val="0"/>
          <c:showSerName val="0"/>
          <c:showPercent val="0"/>
          <c:showBubbleSize val="0"/>
        </c:dLbls>
        <c:marker val="1"/>
        <c:smooth val="0"/>
        <c:axId val="517462032"/>
        <c:axId val="517457136"/>
      </c:lineChart>
      <c:dateAx>
        <c:axId val="51746203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17457136"/>
        <c:crosses val="autoZero"/>
        <c:auto val="1"/>
        <c:lblOffset val="100"/>
        <c:baseTimeUnit val="years"/>
      </c:dateAx>
      <c:valAx>
        <c:axId val="5174571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174620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input'!$C$6:$H$6</c:f>
              <c:numCache>
                <c:formatCode>0.0%</c:formatCode>
                <c:ptCount val="6"/>
                <c:pt idx="0">
                  <c:v>0.50470000000000004</c:v>
                </c:pt>
                <c:pt idx="1">
                  <c:v>0.50490000000000002</c:v>
                </c:pt>
                <c:pt idx="2">
                  <c:v>0.50580000000000003</c:v>
                </c:pt>
                <c:pt idx="3">
                  <c:v>0.54869999999999997</c:v>
                </c:pt>
                <c:pt idx="4">
                  <c:v>0.54979999999999996</c:v>
                </c:pt>
                <c:pt idx="5">
                  <c:v>0.55079999999999996</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input'!$C$7:$H$7</c:f>
              <c:numCache>
                <c:formatCode>0.0%</c:formatCode>
                <c:ptCount val="6"/>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input'!$C$8:$H$8</c:f>
              <c:numCache>
                <c:formatCode>0.0%</c:formatCode>
                <c:ptCount val="6"/>
                <c:pt idx="0">
                  <c:v>0.311</c:v>
                </c:pt>
                <c:pt idx="1">
                  <c:v>0.30969999999999998</c:v>
                </c:pt>
                <c:pt idx="2">
                  <c:v>0.32450000000000001</c:v>
                </c:pt>
                <c:pt idx="3">
                  <c:v>0.28860000000000002</c:v>
                </c:pt>
                <c:pt idx="4">
                  <c:v>0.22070000000000001</c:v>
                </c:pt>
                <c:pt idx="5">
                  <c:v>0.1961</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input'!$C$9:$H$9</c:f>
              <c:numCache>
                <c:formatCode>0.0%</c:formatCode>
                <c:ptCount val="6"/>
                <c:pt idx="0">
                  <c:v>5.5899999999999998E-2</c:v>
                </c:pt>
                <c:pt idx="1">
                  <c:v>5.6399999999999999E-2</c:v>
                </c:pt>
                <c:pt idx="2">
                  <c:v>3.8899999999999997E-2</c:v>
                </c:pt>
                <c:pt idx="3">
                  <c:v>3.1099999999999999E-2</c:v>
                </c:pt>
                <c:pt idx="4">
                  <c:v>4.6899999999999997E-2</c:v>
                </c:pt>
                <c:pt idx="5">
                  <c:v>4.7100000000000003E-2</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input'!$C$10:$H$10</c:f>
              <c:numCache>
                <c:formatCode>0.0%</c:formatCode>
                <c:ptCount val="6"/>
                <c:pt idx="0">
                  <c:v>1.9699999999999999E-2</c:v>
                </c:pt>
                <c:pt idx="1">
                  <c:v>2.0899999999999998E-2</c:v>
                </c:pt>
                <c:pt idx="2">
                  <c:v>2.0899999999999998E-2</c:v>
                </c:pt>
                <c:pt idx="3">
                  <c:v>1.6799999999999999E-2</c:v>
                </c:pt>
                <c:pt idx="4">
                  <c:v>1.84E-2</c:v>
                </c:pt>
                <c:pt idx="5">
                  <c:v>1.0999999999999999E-2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input'!$C$11:$H$11</c:f>
              <c:numCache>
                <c:formatCode>0.0%</c:formatCode>
                <c:ptCount val="6"/>
                <c:pt idx="0">
                  <c:v>7.8E-2</c:v>
                </c:pt>
                <c:pt idx="1">
                  <c:v>7.9200000000000007E-2</c:v>
                </c:pt>
                <c:pt idx="2">
                  <c:v>8.5599999999999996E-2</c:v>
                </c:pt>
                <c:pt idx="3">
                  <c:v>8.8900000000000007E-2</c:v>
                </c:pt>
                <c:pt idx="4">
                  <c:v>9.9699999999999997E-2</c:v>
                </c:pt>
                <c:pt idx="5">
                  <c:v>9.1399999999999995E-2</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input'!$C$12:$H$12</c:f>
              <c:numCache>
                <c:formatCode>0.0%</c:formatCode>
                <c:ptCount val="6"/>
                <c:pt idx="0">
                  <c:v>7.6E-3</c:v>
                </c:pt>
                <c:pt idx="1">
                  <c:v>7.6E-3</c:v>
                </c:pt>
                <c:pt idx="2">
                  <c:v>6.1999999999999998E-3</c:v>
                </c:pt>
                <c:pt idx="3">
                  <c:v>8.8999999999999999E-3</c:v>
                </c:pt>
                <c:pt idx="4">
                  <c:v>1.3299999999999999E-2</c:v>
                </c:pt>
                <c:pt idx="5">
                  <c:v>1.35E-2</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input'!$C$13:$H$13</c:f>
              <c:numCache>
                <c:formatCode>0.0%</c:formatCode>
                <c:ptCount val="6"/>
                <c:pt idx="0">
                  <c:v>2.3099999999999898E-2</c:v>
                </c:pt>
                <c:pt idx="1">
                  <c:v>2.1299999999999875E-2</c:v>
                </c:pt>
                <c:pt idx="2" formatCode="0%">
                  <c:v>1.8099999999999894E-2</c:v>
                </c:pt>
                <c:pt idx="3" formatCode="0%">
                  <c:v>1.7000000000000015E-2</c:v>
                </c:pt>
                <c:pt idx="4" formatCode="0%">
                  <c:v>5.1200000000000134E-2</c:v>
                </c:pt>
                <c:pt idx="5" formatCode="0%">
                  <c:v>9.0100000000000069E-2</c:v>
                </c:pt>
              </c:numCache>
            </c:numRef>
          </c:val>
        </c:ser>
        <c:dLbls>
          <c:dLblPos val="ctr"/>
          <c:showLegendKey val="0"/>
          <c:showVal val="1"/>
          <c:showCatName val="0"/>
          <c:showSerName val="0"/>
          <c:showPercent val="0"/>
          <c:showBubbleSize val="0"/>
        </c:dLbls>
        <c:gapWidth val="150"/>
        <c:overlap val="100"/>
        <c:axId val="517456592"/>
        <c:axId val="517458224"/>
      </c:barChart>
      <c:dateAx>
        <c:axId val="517456592"/>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17458224"/>
        <c:crosses val="autoZero"/>
        <c:auto val="1"/>
        <c:lblOffset val="100"/>
        <c:baseTimeUnit val="years"/>
      </c:dateAx>
      <c:valAx>
        <c:axId val="51745822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1745659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overlay val="0"/>
    </c:title>
    <c:autoTitleDeleted val="0"/>
    <c:plotArea>
      <c:layout/>
      <c:doughnutChart>
        <c:varyColors val="1"/>
        <c:ser>
          <c:idx val="0"/>
          <c:order val="0"/>
          <c:tx>
            <c:strRef>
              <c:f>Piotroski!$F$11</c:f>
              <c:strCache>
                <c:ptCount val="1"/>
                <c:pt idx="0">
                  <c:v>136%</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106%</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66.666666666666657</c:v>
                </c:pt>
                <c:pt idx="1">
                  <c:v>1</c:v>
                </c:pt>
                <c:pt idx="2">
                  <c:v>132.33333333333334</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100</c:v>
                </c:pt>
                <c:pt idx="1">
                  <c:v>1</c:v>
                </c:pt>
                <c:pt idx="2">
                  <c:v>99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40148</c:v>
                </c:pt>
                <c:pt idx="1">
                  <c:v>40513</c:v>
                </c:pt>
                <c:pt idx="2">
                  <c:v>40878</c:v>
                </c:pt>
                <c:pt idx="3">
                  <c:v>41244</c:v>
                </c:pt>
                <c:pt idx="4">
                  <c:v>41609</c:v>
                </c:pt>
                <c:pt idx="5">
                  <c:v>41974</c:v>
                </c:pt>
                <c:pt idx="6">
                  <c:v>42430</c:v>
                </c:pt>
                <c:pt idx="7">
                  <c:v>42795</c:v>
                </c:pt>
                <c:pt idx="8">
                  <c:v>43160</c:v>
                </c:pt>
              </c:numCache>
            </c:numRef>
          </c:cat>
          <c:val>
            <c:numRef>
              <c:f>'Screener Output.v0'!$D$184:$L$184</c:f>
              <c:numCache>
                <c:formatCode>_(* #,##0_);_(* \(#,##0\);_(* "-"??_);_(@_)</c:formatCode>
                <c:ptCount val="9"/>
                <c:pt idx="0">
                  <c:v>3050.53</c:v>
                </c:pt>
                <c:pt idx="1">
                  <c:v>4534.43</c:v>
                </c:pt>
                <c:pt idx="2">
                  <c:v>5826.9</c:v>
                </c:pt>
                <c:pt idx="3">
                  <c:v>6526.5300000000007</c:v>
                </c:pt>
                <c:pt idx="4">
                  <c:v>6905.09</c:v>
                </c:pt>
                <c:pt idx="5">
                  <c:v>8845.76</c:v>
                </c:pt>
                <c:pt idx="6">
                  <c:v>6499.49</c:v>
                </c:pt>
                <c:pt idx="7">
                  <c:v>7450.16</c:v>
                </c:pt>
                <c:pt idx="8">
                  <c:v>9501.619999999999</c:v>
                </c:pt>
              </c:numCache>
            </c:numRef>
          </c:val>
        </c:ser>
        <c:dLbls>
          <c:dLblPos val="inEnd"/>
          <c:showLegendKey val="0"/>
          <c:showVal val="1"/>
          <c:showCatName val="0"/>
          <c:showSerName val="0"/>
          <c:showPercent val="0"/>
          <c:showBubbleSize val="0"/>
        </c:dLbls>
        <c:gapWidth val="41"/>
        <c:axId val="509878944"/>
        <c:axId val="509880576"/>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40148</c:v>
                </c:pt>
                <c:pt idx="1">
                  <c:v>40513</c:v>
                </c:pt>
                <c:pt idx="2">
                  <c:v>40878</c:v>
                </c:pt>
                <c:pt idx="3">
                  <c:v>41244</c:v>
                </c:pt>
                <c:pt idx="4">
                  <c:v>41609</c:v>
                </c:pt>
                <c:pt idx="5">
                  <c:v>41974</c:v>
                </c:pt>
                <c:pt idx="6">
                  <c:v>42430</c:v>
                </c:pt>
                <c:pt idx="7">
                  <c:v>42795</c:v>
                </c:pt>
                <c:pt idx="8">
                  <c:v>43160</c:v>
                </c:pt>
              </c:numCache>
            </c:numRef>
          </c:cat>
          <c:val>
            <c:numRef>
              <c:f>'Screener Output.v0'!$D$185:$L$185</c:f>
              <c:numCache>
                <c:formatCode>0%</c:formatCode>
                <c:ptCount val="9"/>
                <c:pt idx="0">
                  <c:v>0.66859752762279845</c:v>
                </c:pt>
                <c:pt idx="1">
                  <c:v>0.48644006123526085</c:v>
                </c:pt>
                <c:pt idx="2">
                  <c:v>0.28503472321769197</c:v>
                </c:pt>
                <c:pt idx="3">
                  <c:v>0.12006899037223917</c:v>
                </c:pt>
                <c:pt idx="4">
                  <c:v>5.8003257473726366E-2</c:v>
                </c:pt>
                <c:pt idx="5">
                  <c:v>0.28104919704160269</c:v>
                </c:pt>
                <c:pt idx="6">
                  <c:v>-0.26524233078898818</c:v>
                </c:pt>
                <c:pt idx="7">
                  <c:v>0.1462683995205778</c:v>
                </c:pt>
                <c:pt idx="8">
                  <c:v>0.27535784466373858</c:v>
                </c:pt>
              </c:numCache>
            </c:numRef>
          </c:val>
          <c:smooth val="0"/>
        </c:ser>
        <c:dLbls>
          <c:showLegendKey val="0"/>
          <c:showVal val="0"/>
          <c:showCatName val="0"/>
          <c:showSerName val="0"/>
          <c:showPercent val="0"/>
          <c:showBubbleSize val="0"/>
        </c:dLbls>
        <c:marker val="1"/>
        <c:smooth val="0"/>
        <c:axId val="509878400"/>
        <c:axId val="509880032"/>
      </c:lineChart>
      <c:dateAx>
        <c:axId val="509878944"/>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509880576"/>
        <c:crosses val="autoZero"/>
        <c:auto val="1"/>
        <c:lblOffset val="100"/>
        <c:baseTimeUnit val="years"/>
      </c:dateAx>
      <c:valAx>
        <c:axId val="509880576"/>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09878944"/>
        <c:crosses val="autoZero"/>
        <c:crossBetween val="between"/>
      </c:valAx>
      <c:valAx>
        <c:axId val="509880032"/>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09878400"/>
        <c:crosses val="max"/>
        <c:crossBetween val="between"/>
        <c:majorUnit val="0.2"/>
      </c:valAx>
      <c:dateAx>
        <c:axId val="509878400"/>
        <c:scaling>
          <c:orientation val="minMax"/>
        </c:scaling>
        <c:delete val="1"/>
        <c:axPos val="b"/>
        <c:numFmt formatCode="[$-409]mmm\-yy;@" sourceLinked="1"/>
        <c:majorTickMark val="out"/>
        <c:minorTickMark val="none"/>
        <c:tickLblPos val="nextTo"/>
        <c:crossAx val="509880032"/>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Output.v0'!$C$171:$L$171</c:f>
              <c:numCache>
                <c:formatCode>0%</c:formatCode>
                <c:ptCount val="10"/>
                <c:pt idx="0">
                  <c:v>0.70651460452904502</c:v>
                </c:pt>
                <c:pt idx="1">
                  <c:v>0.72308418537106656</c:v>
                </c:pt>
                <c:pt idx="2">
                  <c:v>0.73316161016930459</c:v>
                </c:pt>
                <c:pt idx="3">
                  <c:v>0.70669824434948258</c:v>
                </c:pt>
                <c:pt idx="4">
                  <c:v>0.70286967193899352</c:v>
                </c:pt>
                <c:pt idx="5">
                  <c:v>0.67202889462700699</c:v>
                </c:pt>
                <c:pt idx="6">
                  <c:v>0.65241087255363017</c:v>
                </c:pt>
                <c:pt idx="7">
                  <c:v>0.52860762921398452</c:v>
                </c:pt>
                <c:pt idx="8">
                  <c:v>0.49745374595981828</c:v>
                </c:pt>
                <c:pt idx="9">
                  <c:v>0.4888850532856503</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Output.v0'!$C$172:$L$172</c:f>
              <c:numCache>
                <c:formatCode>0%</c:formatCode>
                <c:ptCount val="10"/>
                <c:pt idx="0">
                  <c:v>6.9084345257630457E-3</c:v>
                </c:pt>
                <c:pt idx="1">
                  <c:v>6.8381559925652256E-3</c:v>
                </c:pt>
                <c:pt idx="2">
                  <c:v>6.4065384182796954E-3</c:v>
                </c:pt>
                <c:pt idx="3">
                  <c:v>6.0117729839194089E-3</c:v>
                </c:pt>
                <c:pt idx="4">
                  <c:v>7.0650100436219542E-3</c:v>
                </c:pt>
                <c:pt idx="5">
                  <c:v>8.8992323054442445E-3</c:v>
                </c:pt>
                <c:pt idx="6">
                  <c:v>8.3735032377093652E-3</c:v>
                </c:pt>
                <c:pt idx="7">
                  <c:v>7.1051728674095972E-3</c:v>
                </c:pt>
                <c:pt idx="8">
                  <c:v>6.1770485466083958E-3</c:v>
                </c:pt>
                <c:pt idx="9">
                  <c:v>5.5159014989022929E-3</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Output.v0'!$C$173:$L$173</c:f>
              <c:numCache>
                <c:formatCode>0%</c:formatCode>
                <c:ptCount val="10"/>
                <c:pt idx="0">
                  <c:v>1.566021223060934E-2</c:v>
                </c:pt>
                <c:pt idx="1">
                  <c:v>1.2640426417704465E-2</c:v>
                </c:pt>
                <c:pt idx="2">
                  <c:v>1.0956173102242178E-2</c:v>
                </c:pt>
                <c:pt idx="3">
                  <c:v>1.4594381231872868E-2</c:v>
                </c:pt>
                <c:pt idx="4">
                  <c:v>1.6276643177921497E-2</c:v>
                </c:pt>
                <c:pt idx="5">
                  <c:v>1.8363265359321892E-2</c:v>
                </c:pt>
                <c:pt idx="6">
                  <c:v>1.9423995224830879E-2</c:v>
                </c:pt>
                <c:pt idx="7">
                  <c:v>2.6734405314878553E-2</c:v>
                </c:pt>
                <c:pt idx="8">
                  <c:v>2.3233058081974078E-2</c:v>
                </c:pt>
                <c:pt idx="9">
                  <c:v>2.2181480631723854E-2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Output.v0'!$C$174:$L$174</c:f>
              <c:numCache>
                <c:formatCode>0%</c:formatCode>
                <c:ptCount val="10"/>
                <c:pt idx="0">
                  <c:v>8.5390001093972212E-2</c:v>
                </c:pt>
                <c:pt idx="1">
                  <c:v>7.0535284032610723E-2</c:v>
                </c:pt>
                <c:pt idx="2">
                  <c:v>5.8024933674133243E-2</c:v>
                </c:pt>
                <c:pt idx="3">
                  <c:v>5.9304261271001739E-2</c:v>
                </c:pt>
                <c:pt idx="4">
                  <c:v>7.0061732651194419E-2</c:v>
                </c:pt>
                <c:pt idx="5">
                  <c:v>7.723867465883863E-2</c:v>
                </c:pt>
                <c:pt idx="6">
                  <c:v>7.4571320044857642E-2</c:v>
                </c:pt>
                <c:pt idx="7">
                  <c:v>5.3882689257157099E-2</c:v>
                </c:pt>
                <c:pt idx="8">
                  <c:v>5.7217563112738519E-2</c:v>
                </c:pt>
                <c:pt idx="9">
                  <c:v>6.0377072541314011E-2</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Output.v0'!$C$175:$L$175</c:f>
              <c:numCache>
                <c:formatCode>0%</c:formatCode>
                <c:ptCount val="10"/>
                <c:pt idx="0">
                  <c:v>0.10511978995733509</c:v>
                </c:pt>
                <c:pt idx="1">
                  <c:v>8.7191406083533027E-2</c:v>
                </c:pt>
                <c:pt idx="2">
                  <c:v>7.3210965876637196E-2</c:v>
                </c:pt>
                <c:pt idx="3">
                  <c:v>7.3996464672467357E-2</c:v>
                </c:pt>
                <c:pt idx="4">
                  <c:v>8.327702469765709E-2</c:v>
                </c:pt>
                <c:pt idx="5">
                  <c:v>8.4434815476699066E-2</c:v>
                </c:pt>
                <c:pt idx="6">
                  <c:v>7.6242177043012685E-2</c:v>
                </c:pt>
                <c:pt idx="7">
                  <c:v>6.1143258932623942E-2</c:v>
                </c:pt>
                <c:pt idx="8">
                  <c:v>5.5334382080384853E-2</c:v>
                </c:pt>
                <c:pt idx="9">
                  <c:v>5.836478411049905E-2</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Output.v0'!$C$176:$L$176</c:f>
              <c:numCache>
                <c:formatCode>0%</c:formatCode>
                <c:ptCount val="10"/>
                <c:pt idx="0">
                  <c:v>2.2820260365386719E-2</c:v>
                </c:pt>
                <c:pt idx="1">
                  <c:v>1.7846079205908479E-2</c:v>
                </c:pt>
                <c:pt idx="2">
                  <c:v>1.1397242872863844E-2</c:v>
                </c:pt>
                <c:pt idx="3">
                  <c:v>1.3799790626233504E-2</c:v>
                </c:pt>
                <c:pt idx="4">
                  <c:v>1.5708194093951914E-2</c:v>
                </c:pt>
                <c:pt idx="5">
                  <c:v>2.2199565827527228E-2</c:v>
                </c:pt>
                <c:pt idx="6">
                  <c:v>3.13833972434251E-2</c:v>
                </c:pt>
                <c:pt idx="7">
                  <c:v>1.2487133605867538E-2</c:v>
                </c:pt>
                <c:pt idx="8">
                  <c:v>1.3060122198717879E-2</c:v>
                </c:pt>
                <c:pt idx="9">
                  <c:v>1.2885171160286353E-2</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Output.v0'!$C$177:$L$177</c:f>
              <c:numCache>
                <c:formatCode>0%</c:formatCode>
                <c:ptCount val="10"/>
                <c:pt idx="0">
                  <c:v>2.0178317470736243E-2</c:v>
                </c:pt>
                <c:pt idx="1">
                  <c:v>1.7662504548389951E-2</c:v>
                </c:pt>
                <c:pt idx="2">
                  <c:v>1.2636648928310724E-2</c:v>
                </c:pt>
                <c:pt idx="3">
                  <c:v>1.0976677135354992E-2</c:v>
                </c:pt>
                <c:pt idx="4">
                  <c:v>1.2590151274873477E-2</c:v>
                </c:pt>
                <c:pt idx="5">
                  <c:v>1.8832484442635793E-2</c:v>
                </c:pt>
                <c:pt idx="6">
                  <c:v>2.4850323770936582E-2</c:v>
                </c:pt>
                <c:pt idx="7">
                  <c:v>2.1017033644178236E-2</c:v>
                </c:pt>
                <c:pt idx="8">
                  <c:v>2.0645194197171604E-2</c:v>
                </c:pt>
                <c:pt idx="9">
                  <c:v>2.3501255575365046E-2</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Output.v0'!$C$178:$L$178</c:f>
              <c:numCache>
                <c:formatCode>0%</c:formatCode>
                <c:ptCount val="10"/>
                <c:pt idx="0">
                  <c:v>5.4315720380702327E-3</c:v>
                </c:pt>
                <c:pt idx="1">
                  <c:v>2.8421290726529484E-3</c:v>
                </c:pt>
                <c:pt idx="2">
                  <c:v>2.0950814104529125E-3</c:v>
                </c:pt>
                <c:pt idx="3">
                  <c:v>1.3163088434673669E-3</c:v>
                </c:pt>
                <c:pt idx="4">
                  <c:v>5.8070674615760592E-4</c:v>
                </c:pt>
                <c:pt idx="5">
                  <c:v>1.1411871532449251E-3</c:v>
                </c:pt>
                <c:pt idx="6">
                  <c:v>1.1056144412690374E-3</c:v>
                </c:pt>
                <c:pt idx="7">
                  <c:v>3.2617943869442064E-4</c:v>
                </c:pt>
                <c:pt idx="8">
                  <c:v>4.7784208661290497E-4</c:v>
                </c:pt>
                <c:pt idx="9">
                  <c:v>5.6200942576108083E-4</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Output.v0'!$C$179:$L$179</c:f>
              <c:numCache>
                <c:formatCode>0%</c:formatCode>
                <c:ptCount val="10"/>
                <c:pt idx="0">
                  <c:v>0</c:v>
                </c:pt>
                <c:pt idx="1">
                  <c:v>1.8954083388788175E-2</c:v>
                </c:pt>
                <c:pt idx="2">
                  <c:v>2.4439675990146497E-2</c:v>
                </c:pt>
                <c:pt idx="3">
                  <c:v>2.7939384578420778E-2</c:v>
                </c:pt>
                <c:pt idx="4">
                  <c:v>1.912961405218393E-2</c:v>
                </c:pt>
                <c:pt idx="5">
                  <c:v>2.1025069912195209E-2</c:v>
                </c:pt>
                <c:pt idx="6">
                  <c:v>3.2883550989400573E-2</c:v>
                </c:pt>
                <c:pt idx="7">
                  <c:v>8.2911120718702547E-2</c:v>
                </c:pt>
                <c:pt idx="8">
                  <c:v>9.6682487355976246E-2</c:v>
                </c:pt>
                <c:pt idx="9">
                  <c:v>9.8502150159656993E-2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Output.v0'!$C$180:$L$180</c:f>
              <c:numCache>
                <c:formatCode>0%</c:formatCode>
                <c:ptCount val="10"/>
                <c:pt idx="0">
                  <c:v>3.1976807789082073E-2</c:v>
                </c:pt>
                <c:pt idx="1">
                  <c:v>4.2405745886780477E-2</c:v>
                </c:pt>
                <c:pt idx="2">
                  <c:v>6.7671129557629217E-2</c:v>
                </c:pt>
                <c:pt idx="3">
                  <c:v>8.5362714307779419E-2</c:v>
                </c:pt>
                <c:pt idx="4">
                  <c:v>7.2441251323444478E-2</c:v>
                </c:pt>
                <c:pt idx="5">
                  <c:v>7.5836810237086105E-2</c:v>
                </c:pt>
                <c:pt idx="6">
                  <c:v>7.8755245450928046E-2</c:v>
                </c:pt>
                <c:pt idx="7">
                  <c:v>0.20578537700650346</c:v>
                </c:pt>
                <c:pt idx="8">
                  <c:v>0.22971855637999716</c:v>
                </c:pt>
                <c:pt idx="9">
                  <c:v>0.22922512161084097</c:v>
                </c:pt>
              </c:numCache>
            </c:numRef>
          </c:val>
        </c:ser>
        <c:dLbls>
          <c:showLegendKey val="0"/>
          <c:showVal val="1"/>
          <c:showCatName val="0"/>
          <c:showSerName val="0"/>
          <c:showPercent val="0"/>
          <c:showBubbleSize val="0"/>
        </c:dLbls>
        <c:axId val="509879488"/>
        <c:axId val="509884928"/>
      </c:areaChart>
      <c:dateAx>
        <c:axId val="509879488"/>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509884928"/>
        <c:crosses val="autoZero"/>
        <c:auto val="1"/>
        <c:lblOffset val="100"/>
        <c:baseTimeUnit val="years"/>
      </c:dateAx>
      <c:valAx>
        <c:axId val="509884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09879488"/>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Output.v0'!$D$190:$L$190</c:f>
              <c:numCache>
                <c:formatCode>0</c:formatCode>
                <c:ptCount val="9"/>
                <c:pt idx="0">
                  <c:v>1649.2</c:v>
                </c:pt>
                <c:pt idx="1">
                  <c:v>1846.54</c:v>
                </c:pt>
                <c:pt idx="2">
                  <c:v>1912.46</c:v>
                </c:pt>
                <c:pt idx="3">
                  <c:v>2006.08</c:v>
                </c:pt>
                <c:pt idx="4">
                  <c:v>2114.59</c:v>
                </c:pt>
                <c:pt idx="5">
                  <c:v>2277.5700000000002</c:v>
                </c:pt>
                <c:pt idx="6">
                  <c:v>2388.8100000000004</c:v>
                </c:pt>
                <c:pt idx="7">
                  <c:v>2709.21</c:v>
                </c:pt>
                <c:pt idx="8">
                  <c:v>2671.65</c:v>
                </c:pt>
              </c:numCache>
            </c:numRef>
          </c:val>
        </c:ser>
        <c:dLbls>
          <c:dLblPos val="inEnd"/>
          <c:showLegendKey val="0"/>
          <c:showVal val="1"/>
          <c:showCatName val="0"/>
          <c:showSerName val="0"/>
          <c:showPercent val="0"/>
          <c:showBubbleSize val="0"/>
        </c:dLbls>
        <c:gapWidth val="0"/>
        <c:axId val="509883840"/>
        <c:axId val="509883296"/>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Output.v0'!$D$191:$L$191</c:f>
              <c:numCache>
                <c:formatCode>0%</c:formatCode>
                <c:ptCount val="9"/>
                <c:pt idx="3">
                  <c:v>0.24578028938707064</c:v>
                </c:pt>
                <c:pt idx="4">
                  <c:v>0.28219136551055057</c:v>
                </c:pt>
                <c:pt idx="5">
                  <c:v>0.23342575844552527</c:v>
                </c:pt>
                <c:pt idx="6">
                  <c:v>0.24907710488062507</c:v>
                </c:pt>
                <c:pt idx="7">
                  <c:v>0.35049948157600896</c:v>
                </c:pt>
                <c:pt idx="8">
                  <c:v>0.26343641084087221</c:v>
                </c:pt>
              </c:numCache>
            </c:numRef>
          </c:val>
          <c:smooth val="0"/>
        </c:ser>
        <c:dLbls>
          <c:showLegendKey val="0"/>
          <c:showVal val="0"/>
          <c:showCatName val="0"/>
          <c:showSerName val="0"/>
          <c:showPercent val="0"/>
          <c:showBubbleSize val="0"/>
        </c:dLbls>
        <c:marker val="1"/>
        <c:smooth val="0"/>
        <c:axId val="509884384"/>
        <c:axId val="509882752"/>
      </c:lineChart>
      <c:dateAx>
        <c:axId val="50988384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509883296"/>
        <c:crosses val="autoZero"/>
        <c:auto val="1"/>
        <c:lblOffset val="100"/>
        <c:baseTimeUnit val="months"/>
        <c:majorUnit val="3"/>
        <c:majorTimeUnit val="months"/>
      </c:dateAx>
      <c:valAx>
        <c:axId val="5098832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09883840"/>
        <c:crosses val="autoZero"/>
        <c:crossBetween val="between"/>
      </c:valAx>
      <c:valAx>
        <c:axId val="509882752"/>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09884384"/>
        <c:crosses val="max"/>
        <c:crossBetween val="between"/>
        <c:majorUnit val="0.2"/>
      </c:valAx>
      <c:dateAx>
        <c:axId val="509884384"/>
        <c:scaling>
          <c:orientation val="minMax"/>
        </c:scaling>
        <c:delete val="1"/>
        <c:axPos val="b"/>
        <c:numFmt formatCode="[$-409]mmm\-yy;@" sourceLinked="1"/>
        <c:majorTickMark val="out"/>
        <c:minorTickMark val="none"/>
        <c:tickLblPos val="nextTo"/>
        <c:crossAx val="509882752"/>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Output.v0'!$C$196:$L$196</c:f>
              <c:numCache>
                <c:formatCode>0%</c:formatCode>
                <c:ptCount val="10"/>
                <c:pt idx="0">
                  <c:v>0.67401105384089921</c:v>
                </c:pt>
                <c:pt idx="1">
                  <c:v>0.65833737569730777</c:v>
                </c:pt>
                <c:pt idx="2">
                  <c:v>0.65672555157212953</c:v>
                </c:pt>
                <c:pt idx="3">
                  <c:v>0.65765035608587896</c:v>
                </c:pt>
                <c:pt idx="4">
                  <c:v>0.6547096825650025</c:v>
                </c:pt>
                <c:pt idx="5">
                  <c:v>0.65785802448701636</c:v>
                </c:pt>
                <c:pt idx="6">
                  <c:v>0.65191410143266726</c:v>
                </c:pt>
                <c:pt idx="7">
                  <c:v>0.65815196687890609</c:v>
                </c:pt>
                <c:pt idx="8">
                  <c:v>0.70790378006872845</c:v>
                </c:pt>
                <c:pt idx="9">
                  <c:v>0.65059045907959501</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Output.v0'!$C$197:$L$197</c:f>
              <c:numCache>
                <c:formatCode>0%</c:formatCode>
                <c:ptCount val="10"/>
                <c:pt idx="0">
                  <c:v>2.3132335589641683E-2</c:v>
                </c:pt>
                <c:pt idx="1">
                  <c:v>2.3756973077855931E-2</c:v>
                </c:pt>
                <c:pt idx="2">
                  <c:v>1.9414689094197798E-2</c:v>
                </c:pt>
                <c:pt idx="3">
                  <c:v>1.8609539545925143E-2</c:v>
                </c:pt>
                <c:pt idx="4">
                  <c:v>2.1529550167490828E-2</c:v>
                </c:pt>
                <c:pt idx="5">
                  <c:v>2.1384760166273366E-2</c:v>
                </c:pt>
                <c:pt idx="6">
                  <c:v>2.1588798587968756E-2</c:v>
                </c:pt>
                <c:pt idx="7">
                  <c:v>2.7185083786487828E-2</c:v>
                </c:pt>
                <c:pt idx="8">
                  <c:v>2.3612049268975088E-2</c:v>
                </c:pt>
                <c:pt idx="9">
                  <c:v>2.6257181891340558E-2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Output.v0'!$C$198:$L$198</c:f>
              <c:numCache>
                <c:formatCode>0%</c:formatCode>
                <c:ptCount val="10"/>
                <c:pt idx="0">
                  <c:v>3.5397130969384583E-4</c:v>
                </c:pt>
                <c:pt idx="1">
                  <c:v>4.1838467135580883E-4</c:v>
                </c:pt>
                <c:pt idx="2">
                  <c:v>4.4407378123409186E-4</c:v>
                </c:pt>
                <c:pt idx="3">
                  <c:v>5.0197128305951499E-4</c:v>
                </c:pt>
                <c:pt idx="4">
                  <c:v>5.4334822140692299E-4</c:v>
                </c:pt>
                <c:pt idx="5">
                  <c:v>5.2965350257023818E-4</c:v>
                </c:pt>
                <c:pt idx="6">
                  <c:v>5.6639312951961953E-4</c:v>
                </c:pt>
                <c:pt idx="7">
                  <c:v>6.6141719098630693E-4</c:v>
                </c:pt>
                <c:pt idx="8">
                  <c:v>4.9830024250611807E-4</c:v>
                </c:pt>
                <c:pt idx="9">
                  <c:v>5.7267980461512549E-4</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Output.v0'!$C$199:$L$199</c:f>
              <c:numCache>
                <c:formatCode>0%</c:formatCode>
                <c:ptCount val="10"/>
                <c:pt idx="0">
                  <c:v>8.94367509159784E-2</c:v>
                </c:pt>
                <c:pt idx="1">
                  <c:v>8.9322095561484349E-2</c:v>
                </c:pt>
                <c:pt idx="2">
                  <c:v>9.9667486217466184E-2</c:v>
                </c:pt>
                <c:pt idx="3">
                  <c:v>0.10457212176986709</c:v>
                </c:pt>
                <c:pt idx="4">
                  <c:v>9.4193651300047865E-2</c:v>
                </c:pt>
                <c:pt idx="5">
                  <c:v>0.10287100572687849</c:v>
                </c:pt>
                <c:pt idx="6">
                  <c:v>9.8486544870190595E-2</c:v>
                </c:pt>
                <c:pt idx="7">
                  <c:v>9.6110615745915312E-2</c:v>
                </c:pt>
                <c:pt idx="8">
                  <c:v>9.7629936402124598E-2</c:v>
                </c:pt>
                <c:pt idx="9">
                  <c:v>0.10691520221585911</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Output.v0'!$C$200:$L$200</c:f>
              <c:numCache>
                <c:formatCode>0%</c:formatCode>
                <c:ptCount val="10"/>
                <c:pt idx="0">
                  <c:v>0.21306588834378692</c:v>
                </c:pt>
                <c:pt idx="1">
                  <c:v>0.22816517099199607</c:v>
                </c:pt>
                <c:pt idx="2">
                  <c:v>0.22374819933497236</c:v>
                </c:pt>
                <c:pt idx="3">
                  <c:v>0.2186660113152693</c:v>
                </c:pt>
                <c:pt idx="4">
                  <c:v>0.22902376774605193</c:v>
                </c:pt>
                <c:pt idx="5">
                  <c:v>0.21735655611726157</c:v>
                </c:pt>
                <c:pt idx="6">
                  <c:v>0.22744416197965367</c:v>
                </c:pt>
                <c:pt idx="7">
                  <c:v>0.21789091639770441</c:v>
                </c:pt>
                <c:pt idx="8">
                  <c:v>0.1703559340176658</c:v>
                </c:pt>
                <c:pt idx="9">
                  <c:v>0.21566447700859015</c:v>
                </c:pt>
              </c:numCache>
            </c:numRef>
          </c:val>
        </c:ser>
        <c:dLbls>
          <c:showLegendKey val="0"/>
          <c:showVal val="1"/>
          <c:showCatName val="0"/>
          <c:showSerName val="0"/>
          <c:showPercent val="0"/>
          <c:showBubbleSize val="0"/>
        </c:dLbls>
        <c:axId val="509881120"/>
        <c:axId val="509881664"/>
      </c:areaChart>
      <c:dateAx>
        <c:axId val="50988112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509881664"/>
        <c:crosses val="autoZero"/>
        <c:auto val="1"/>
        <c:lblOffset val="100"/>
        <c:baseTimeUnit val="months"/>
        <c:majorUnit val="3"/>
        <c:majorTimeUnit val="months"/>
      </c:dateAx>
      <c:valAx>
        <c:axId val="509881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09881120"/>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Output.v0'!$C$120:$L$120</c:f>
              <c:numCache>
                <c:formatCode>0.00</c:formatCode>
                <c:ptCount val="10"/>
                <c:pt idx="0">
                  <c:v>5.2146285158860328</c:v>
                </c:pt>
                <c:pt idx="1">
                  <c:v>8.4840777203568436</c:v>
                </c:pt>
                <c:pt idx="2">
                  <c:v>11.758470383741143</c:v>
                </c:pt>
                <c:pt idx="3">
                  <c:v>12.791224122412242</c:v>
                </c:pt>
                <c:pt idx="4">
                  <c:v>8.5413776048976757</c:v>
                </c:pt>
                <c:pt idx="5">
                  <c:v>5.1434700182028292</c:v>
                </c:pt>
                <c:pt idx="6">
                  <c:v>4.4072051988793257</c:v>
                </c:pt>
                <c:pt idx="7">
                  <c:v>3.984265486040298</c:v>
                </c:pt>
                <c:pt idx="8">
                  <c:v>8.4618466406395694</c:v>
                </c:pt>
                <c:pt idx="9">
                  <c:v>7.5511250931786869</c:v>
                </c:pt>
              </c:numCache>
            </c:numRef>
          </c:val>
        </c:ser>
        <c:dLbls>
          <c:dLblPos val="inEnd"/>
          <c:showLegendKey val="0"/>
          <c:showVal val="1"/>
          <c:showCatName val="0"/>
          <c:showSerName val="0"/>
          <c:showPercent val="0"/>
          <c:showBubbleSize val="0"/>
        </c:dLbls>
        <c:gapWidth val="41"/>
        <c:axId val="509882208"/>
        <c:axId val="509885472"/>
      </c:barChart>
      <c:dateAx>
        <c:axId val="50988220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09885472"/>
        <c:crosses val="autoZero"/>
        <c:auto val="1"/>
        <c:lblOffset val="100"/>
        <c:baseTimeUnit val="years"/>
      </c:dateAx>
      <c:valAx>
        <c:axId val="509885472"/>
        <c:scaling>
          <c:orientation val="minMax"/>
        </c:scaling>
        <c:delete val="1"/>
        <c:axPos val="l"/>
        <c:numFmt formatCode="0.00" sourceLinked="1"/>
        <c:majorTickMark val="none"/>
        <c:minorTickMark val="none"/>
        <c:tickLblPos val="nextTo"/>
        <c:crossAx val="50988220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Output.v0'!$C$95:$L$95</c:f>
              <c:numCache>
                <c:formatCode>0%</c:formatCode>
                <c:ptCount val="10"/>
                <c:pt idx="0">
                  <c:v>0.89504065798364363</c:v>
                </c:pt>
                <c:pt idx="1">
                  <c:v>0.92087129036319637</c:v>
                </c:pt>
                <c:pt idx="2">
                  <c:v>0.94065834599325004</c:v>
                </c:pt>
                <c:pt idx="3">
                  <c:v>0.93938167834185371</c:v>
                </c:pt>
                <c:pt idx="4">
                  <c:v>0.93022258599130814</c:v>
                </c:pt>
                <c:pt idx="5">
                  <c:v>0.92474081470821468</c:v>
                </c:pt>
                <c:pt idx="6">
                  <c:v>0.93566612346538003</c:v>
                </c:pt>
                <c:pt idx="7">
                  <c:v>0.99471285146417077</c:v>
                </c:pt>
                <c:pt idx="8">
                  <c:v>0.99288533503190513</c:v>
                </c:pt>
                <c:pt idx="9">
                  <c:v>0.99241491317306496</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39783</c:v>
                </c:pt>
                <c:pt idx="1">
                  <c:v>40148</c:v>
                </c:pt>
                <c:pt idx="2">
                  <c:v>40513</c:v>
                </c:pt>
                <c:pt idx="3">
                  <c:v>40878</c:v>
                </c:pt>
                <c:pt idx="4">
                  <c:v>41244</c:v>
                </c:pt>
                <c:pt idx="5">
                  <c:v>41609</c:v>
                </c:pt>
                <c:pt idx="6">
                  <c:v>41974</c:v>
                </c:pt>
                <c:pt idx="7">
                  <c:v>42430</c:v>
                </c:pt>
                <c:pt idx="8">
                  <c:v>42795</c:v>
                </c:pt>
                <c:pt idx="9">
                  <c:v>43160</c:v>
                </c:pt>
              </c:numCache>
            </c:numRef>
          </c:cat>
          <c:val>
            <c:numRef>
              <c:f>'Screener Output.v0'!$C$96:$L$96</c:f>
              <c:numCache>
                <c:formatCode>0%</c:formatCode>
                <c:ptCount val="10"/>
                <c:pt idx="0">
                  <c:v>0.10495934201635637</c:v>
                </c:pt>
                <c:pt idx="1">
                  <c:v>7.9128709636803629E-2</c:v>
                </c:pt>
                <c:pt idx="2">
                  <c:v>5.9341654006749955E-2</c:v>
                </c:pt>
                <c:pt idx="3">
                  <c:v>6.061832165814629E-2</c:v>
                </c:pt>
                <c:pt idx="4">
                  <c:v>6.9777414008691863E-2</c:v>
                </c:pt>
                <c:pt idx="5">
                  <c:v>7.5259185291785324E-2</c:v>
                </c:pt>
                <c:pt idx="6">
                  <c:v>6.4333876534619971E-2</c:v>
                </c:pt>
                <c:pt idx="7">
                  <c:v>5.2871485358292336E-3</c:v>
                </c:pt>
                <c:pt idx="8">
                  <c:v>7.1146649680948748E-3</c:v>
                </c:pt>
                <c:pt idx="9">
                  <c:v>7.5850868269350391E-3</c:v>
                </c:pt>
              </c:numCache>
            </c:numRef>
          </c:val>
        </c:ser>
        <c:dLbls>
          <c:dLblPos val="ctr"/>
          <c:showLegendKey val="0"/>
          <c:showVal val="1"/>
          <c:showCatName val="0"/>
          <c:showSerName val="0"/>
          <c:showPercent val="0"/>
          <c:showBubbleSize val="0"/>
        </c:dLbls>
        <c:gapWidth val="150"/>
        <c:overlap val="100"/>
        <c:axId val="510319392"/>
        <c:axId val="510319936"/>
      </c:barChart>
      <c:dateAx>
        <c:axId val="51031939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10319936"/>
        <c:crosses val="autoZero"/>
        <c:auto val="1"/>
        <c:lblOffset val="100"/>
        <c:baseTimeUnit val="years"/>
      </c:dateAx>
      <c:valAx>
        <c:axId val="5103199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1031939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40148</c:v>
                </c:pt>
                <c:pt idx="1">
                  <c:v>40513</c:v>
                </c:pt>
                <c:pt idx="2">
                  <c:v>40878</c:v>
                </c:pt>
                <c:pt idx="3">
                  <c:v>41244</c:v>
                </c:pt>
                <c:pt idx="4">
                  <c:v>41609</c:v>
                </c:pt>
                <c:pt idx="5">
                  <c:v>41974</c:v>
                </c:pt>
                <c:pt idx="6">
                  <c:v>42430</c:v>
                </c:pt>
                <c:pt idx="7">
                  <c:v>42795</c:v>
                </c:pt>
                <c:pt idx="8">
                  <c:v>43160</c:v>
                </c:pt>
              </c:numCache>
            </c:numRef>
          </c:cat>
          <c:val>
            <c:numRef>
              <c:f>'Screener Output.v0'!$D$186:$L$186</c:f>
              <c:numCache>
                <c:formatCode>_(* #,##0.0_);_(* \(#,##0.0\);_(* "-"??_);_(@_)</c:formatCode>
                <c:ptCount val="9"/>
                <c:pt idx="0">
                  <c:v>65.868259216204834</c:v>
                </c:pt>
                <c:pt idx="1">
                  <c:v>70.131977824604192</c:v>
                </c:pt>
                <c:pt idx="2">
                  <c:v>114.39068280349457</c:v>
                </c:pt>
                <c:pt idx="3">
                  <c:v>120.09192406069067</c:v>
                </c:pt>
                <c:pt idx="4">
                  <c:v>145.69388831631838</c:v>
                </c:pt>
                <c:pt idx="5">
                  <c:v>227.0300411554669</c:v>
                </c:pt>
                <c:pt idx="6">
                  <c:v>492.62949997428308</c:v>
                </c:pt>
                <c:pt idx="7">
                  <c:v>612.66620529639397</c:v>
                </c:pt>
                <c:pt idx="8">
                  <c:v>718.99854227849164</c:v>
                </c:pt>
              </c:numCache>
            </c:numRef>
          </c:val>
        </c:ser>
        <c:dLbls>
          <c:dLblPos val="inEnd"/>
          <c:showLegendKey val="0"/>
          <c:showVal val="1"/>
          <c:showCatName val="0"/>
          <c:showSerName val="0"/>
          <c:showPercent val="0"/>
          <c:showBubbleSize val="0"/>
        </c:dLbls>
        <c:gapWidth val="41"/>
        <c:axId val="510321568"/>
        <c:axId val="510320480"/>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40148</c:v>
                </c:pt>
                <c:pt idx="1">
                  <c:v>40513</c:v>
                </c:pt>
                <c:pt idx="2">
                  <c:v>40878</c:v>
                </c:pt>
                <c:pt idx="3">
                  <c:v>41244</c:v>
                </c:pt>
                <c:pt idx="4">
                  <c:v>41609</c:v>
                </c:pt>
                <c:pt idx="5">
                  <c:v>41974</c:v>
                </c:pt>
                <c:pt idx="6">
                  <c:v>42430</c:v>
                </c:pt>
                <c:pt idx="7">
                  <c:v>42795</c:v>
                </c:pt>
                <c:pt idx="8">
                  <c:v>43160</c:v>
                </c:pt>
              </c:numCache>
            </c:numRef>
          </c:cat>
          <c:val>
            <c:numRef>
              <c:f>'Screener Output.v0'!$D$187:$L$187</c:f>
              <c:numCache>
                <c:formatCode>0%</c:formatCode>
                <c:ptCount val="9"/>
                <c:pt idx="0">
                  <c:v>1.9560696182222004</c:v>
                </c:pt>
                <c:pt idx="1">
                  <c:v>6.4731004874505782E-2</c:v>
                </c:pt>
                <c:pt idx="2">
                  <c:v>0.63107738226888044</c:v>
                </c:pt>
                <c:pt idx="3">
                  <c:v>4.9840084152569908E-2</c:v>
                </c:pt>
                <c:pt idx="4">
                  <c:v>0.21318639413828766</c:v>
                </c:pt>
                <c:pt idx="5">
                  <c:v>0.55826743166163761</c:v>
                </c:pt>
                <c:pt idx="6">
                  <c:v>1.1698868461065799</c:v>
                </c:pt>
                <c:pt idx="7">
                  <c:v>0.24366528055745174</c:v>
                </c:pt>
                <c:pt idx="8">
                  <c:v>0.17355671989555299</c:v>
                </c:pt>
              </c:numCache>
            </c:numRef>
          </c:val>
          <c:smooth val="0"/>
        </c:ser>
        <c:dLbls>
          <c:showLegendKey val="0"/>
          <c:showVal val="0"/>
          <c:showCatName val="0"/>
          <c:showSerName val="0"/>
          <c:showPercent val="0"/>
          <c:showBubbleSize val="0"/>
        </c:dLbls>
        <c:marker val="1"/>
        <c:smooth val="0"/>
        <c:axId val="510325920"/>
        <c:axId val="510321024"/>
      </c:lineChart>
      <c:dateAx>
        <c:axId val="51032156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510320480"/>
        <c:crosses val="autoZero"/>
        <c:auto val="1"/>
        <c:lblOffset val="100"/>
        <c:baseTimeUnit val="years"/>
      </c:dateAx>
      <c:valAx>
        <c:axId val="510320480"/>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10321568"/>
        <c:crossesAt val="39875"/>
        <c:crossBetween val="between"/>
      </c:valAx>
      <c:valAx>
        <c:axId val="51032102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510325920"/>
        <c:crosses val="max"/>
        <c:crossBetween val="between"/>
        <c:majorUnit val="0.2"/>
      </c:valAx>
      <c:dateAx>
        <c:axId val="510325920"/>
        <c:scaling>
          <c:orientation val="minMax"/>
        </c:scaling>
        <c:delete val="1"/>
        <c:axPos val="b"/>
        <c:numFmt formatCode="[$-409]mmm\-yy;@" sourceLinked="1"/>
        <c:majorTickMark val="out"/>
        <c:minorTickMark val="none"/>
        <c:tickLblPos val="nextTo"/>
        <c:crossAx val="510321024"/>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5</xdr:col>
          <xdr:colOff>0</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10</xdr:row>
      <xdr:rowOff>10584</xdr:rowOff>
    </xdr:from>
    <xdr:to>
      <xdr:col>9</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14</xdr:row>
      <xdr:rowOff>52917</xdr:rowOff>
    </xdr:from>
    <xdr:to>
      <xdr:col>8</xdr:col>
      <xdr:colOff>266700</xdr:colOff>
      <xdr:row>14</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16</xdr:row>
      <xdr:rowOff>28575</xdr:rowOff>
    </xdr:from>
    <xdr:to>
      <xdr:col>8</xdr:col>
      <xdr:colOff>295275</xdr:colOff>
      <xdr:row>16</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20110</xdr:rowOff>
    </xdr:from>
    <xdr:to>
      <xdr:col>21</xdr:col>
      <xdr:colOff>1</xdr:colOff>
      <xdr:row>25</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28</xdr:row>
      <xdr:rowOff>0</xdr:rowOff>
    </xdr:from>
    <xdr:to>
      <xdr:col>8</xdr:col>
      <xdr:colOff>600074</xdr:colOff>
      <xdr:row>43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36</xdr:row>
      <xdr:rowOff>88689</xdr:rowOff>
    </xdr:from>
    <xdr:to>
      <xdr:col>2</xdr:col>
      <xdr:colOff>3591984</xdr:colOff>
      <xdr:row>36</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35</xdr:row>
      <xdr:rowOff>8467</xdr:rowOff>
    </xdr:from>
    <xdr:to>
      <xdr:col>8</xdr:col>
      <xdr:colOff>371475</xdr:colOff>
      <xdr:row>35</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33</xdr:row>
      <xdr:rowOff>31750</xdr:rowOff>
    </xdr:from>
    <xdr:to>
      <xdr:col>8</xdr:col>
      <xdr:colOff>228600</xdr:colOff>
      <xdr:row>33</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28</xdr:row>
      <xdr:rowOff>10582</xdr:rowOff>
    </xdr:from>
    <xdr:to>
      <xdr:col>21</xdr:col>
      <xdr:colOff>9526</xdr:colOff>
      <xdr:row>43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47</xdr:row>
      <xdr:rowOff>19050</xdr:rowOff>
    </xdr:from>
    <xdr:to>
      <xdr:col>9</xdr:col>
      <xdr:colOff>1</xdr:colOff>
      <xdr:row>59</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47</xdr:row>
      <xdr:rowOff>9525</xdr:rowOff>
    </xdr:from>
    <xdr:to>
      <xdr:col>20</xdr:col>
      <xdr:colOff>609599</xdr:colOff>
      <xdr:row>59</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10</xdr:row>
      <xdr:rowOff>10582</xdr:rowOff>
    </xdr:from>
    <xdr:to>
      <xdr:col>9</xdr:col>
      <xdr:colOff>0</xdr:colOff>
      <xdr:row>25</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16</xdr:row>
      <xdr:rowOff>40217</xdr:rowOff>
    </xdr:from>
    <xdr:to>
      <xdr:col>8</xdr:col>
      <xdr:colOff>247650</xdr:colOff>
      <xdr:row>16</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8</xdr:col>
      <xdr:colOff>161925</xdr:colOff>
      <xdr:row>12</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32</xdr:row>
      <xdr:rowOff>10583</xdr:rowOff>
    </xdr:from>
    <xdr:to>
      <xdr:col>8</xdr:col>
      <xdr:colOff>590550</xdr:colOff>
      <xdr:row>46</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35</xdr:row>
      <xdr:rowOff>43392</xdr:rowOff>
    </xdr:from>
    <xdr:to>
      <xdr:col>8</xdr:col>
      <xdr:colOff>228600</xdr:colOff>
      <xdr:row>35</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39</xdr:row>
      <xdr:rowOff>28575</xdr:rowOff>
    </xdr:from>
    <xdr:to>
      <xdr:col>8</xdr:col>
      <xdr:colOff>247650</xdr:colOff>
      <xdr:row>39</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32</xdr:row>
      <xdr:rowOff>9525</xdr:rowOff>
    </xdr:from>
    <xdr:to>
      <xdr:col>17</xdr:col>
      <xdr:colOff>590549</xdr:colOff>
      <xdr:row>46</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10</xdr:row>
      <xdr:rowOff>19049</xdr:rowOff>
    </xdr:from>
    <xdr:to>
      <xdr:col>17</xdr:col>
      <xdr:colOff>600074</xdr:colOff>
      <xdr:row>25</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dip%20Beriwal/Desktop/Create%20life%20you%20love/Reserach%20@%202016/Polished/Price_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2)"/>
      <sheetName val="Data"/>
      <sheetName val="Pivot"/>
      <sheetName val="Jan31 2018"/>
    </sheetNames>
    <sheetDataSet>
      <sheetData sheetId="0"/>
      <sheetData sheetId="1">
        <row r="4">
          <cell r="B4" t="str">
            <v>Asian Paints</v>
          </cell>
          <cell r="C4">
            <v>1293.3</v>
          </cell>
        </row>
        <row r="5">
          <cell r="B5" t="str">
            <v>Astral Poly</v>
          </cell>
          <cell r="C5">
            <v>984.6</v>
          </cell>
        </row>
        <row r="6">
          <cell r="B6" t="str">
            <v>AVANTI FEEDS LTD</v>
          </cell>
          <cell r="C6">
            <v>387.05</v>
          </cell>
        </row>
        <row r="7">
          <cell r="B7" t="str">
            <v>Bajaj Finance</v>
          </cell>
          <cell r="C7">
            <v>2168</v>
          </cell>
        </row>
        <row r="8">
          <cell r="B8" t="str">
            <v>Balkrishna Ind</v>
          </cell>
          <cell r="C8">
            <v>1018.55</v>
          </cell>
        </row>
        <row r="9">
          <cell r="B9" t="str">
            <v>Britannia</v>
          </cell>
          <cell r="C9">
            <v>5823.5</v>
          </cell>
        </row>
        <row r="10">
          <cell r="B10" t="str">
            <v>Caplin Labs</v>
          </cell>
          <cell r="C10">
            <v>410.95</v>
          </cell>
        </row>
        <row r="11">
          <cell r="B11" t="str">
            <v>Century Ply</v>
          </cell>
          <cell r="C11">
            <v>180.55</v>
          </cell>
        </row>
        <row r="12">
          <cell r="B12" t="str">
            <v>Cera Sanitary</v>
          </cell>
          <cell r="C12">
            <v>2567.15</v>
          </cell>
        </row>
        <row r="13">
          <cell r="B13" t="str">
            <v>Cholamandalam Finance</v>
          </cell>
          <cell r="C13">
            <v>1166.75</v>
          </cell>
        </row>
        <row r="14">
          <cell r="B14" t="str">
            <v>Eicher Motors</v>
          </cell>
          <cell r="C14">
            <v>24185.4</v>
          </cell>
        </row>
        <row r="15">
          <cell r="B15" t="str">
            <v>Gruh Finance</v>
          </cell>
          <cell r="C15">
            <v>304.05</v>
          </cell>
        </row>
        <row r="16">
          <cell r="B16" t="str">
            <v>Havells India</v>
          </cell>
          <cell r="C16">
            <v>594.5</v>
          </cell>
        </row>
        <row r="17">
          <cell r="B17" t="str">
            <v>HDFC Bank</v>
          </cell>
          <cell r="C17">
            <v>2006.05</v>
          </cell>
        </row>
        <row r="18">
          <cell r="B18" t="str">
            <v>IGL</v>
          </cell>
          <cell r="C18">
            <v>242.95</v>
          </cell>
        </row>
        <row r="19">
          <cell r="B19" t="str">
            <v>IndusInd Bank</v>
          </cell>
          <cell r="C19">
            <v>1690.05</v>
          </cell>
        </row>
        <row r="20">
          <cell r="B20" t="str">
            <v>Kajaria Ceramic</v>
          </cell>
          <cell r="C20">
            <v>367.4</v>
          </cell>
        </row>
        <row r="21">
          <cell r="B21" t="str">
            <v>La Opala RG</v>
          </cell>
          <cell r="C21">
            <v>221.45</v>
          </cell>
        </row>
        <row r="22">
          <cell r="B22" t="str">
            <v>Page Industries</v>
          </cell>
          <cell r="C22">
            <v>32885.1</v>
          </cell>
        </row>
        <row r="23">
          <cell r="B23" t="str">
            <v>Pidilite Ind</v>
          </cell>
          <cell r="C23">
            <v>1045.8499999999999</v>
          </cell>
        </row>
        <row r="24">
          <cell r="B24" t="str">
            <v>PSP Projects</v>
          </cell>
          <cell r="C24">
            <v>411.3</v>
          </cell>
        </row>
        <row r="25">
          <cell r="B25" t="str">
            <v>Relaxo Footwear</v>
          </cell>
          <cell r="C25">
            <v>731.45</v>
          </cell>
        </row>
        <row r="26">
          <cell r="B26" t="str">
            <v>Sundaram Fasteners</v>
          </cell>
          <cell r="C26">
            <v>580.79999999999995</v>
          </cell>
        </row>
        <row r="27">
          <cell r="B27" t="str">
            <v>Symphony</v>
          </cell>
          <cell r="C27">
            <v>980.45</v>
          </cell>
        </row>
        <row r="28">
          <cell r="B28" t="str">
            <v>Tasty Bite</v>
          </cell>
          <cell r="C28">
            <v>8427.65</v>
          </cell>
        </row>
        <row r="29">
          <cell r="B29" t="str">
            <v>TV_Today</v>
          </cell>
          <cell r="C29">
            <v>407.65</v>
          </cell>
        </row>
        <row r="30">
          <cell r="B30" t="str">
            <v>V-Guard Ind</v>
          </cell>
          <cell r="C30">
            <v>176.25</v>
          </cell>
        </row>
        <row r="31">
          <cell r="B31" t="str">
            <v>YES BANK</v>
          </cell>
          <cell r="C31">
            <v>183.65</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J11" sqref="J11"/>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71" t="s">
        <v>64</v>
      </c>
      <c r="B1" s="371"/>
      <c r="C1" s="371" t="s">
        <v>67</v>
      </c>
      <c r="D1" s="371"/>
      <c r="E1" s="371"/>
      <c r="F1" s="371"/>
      <c r="G1" s="371"/>
      <c r="H1" s="371"/>
      <c r="I1" s="371"/>
      <c r="J1" s="371"/>
      <c r="K1" s="371"/>
      <c r="L1" s="371"/>
      <c r="M1" s="371"/>
    </row>
    <row r="3" spans="1:14">
      <c r="A3" s="3" t="s">
        <v>0</v>
      </c>
      <c r="B3" s="17" t="str">
        <f>'Annual Report input'!D2</f>
        <v>Eicher Motors</v>
      </c>
    </row>
    <row r="4" spans="1:14">
      <c r="A4" s="3" t="s">
        <v>1</v>
      </c>
      <c r="B4" s="17" t="str">
        <f>'Annual Report input'!D3</f>
        <v>Others</v>
      </c>
    </row>
    <row r="5" spans="1:14" ht="15.75" thickBot="1">
      <c r="A5" s="3" t="s">
        <v>63</v>
      </c>
      <c r="B5" s="170">
        <f>'Annual Report input'!D5</f>
        <v>24185.4</v>
      </c>
      <c r="K5" s="374"/>
      <c r="L5" s="374"/>
    </row>
    <row r="6" spans="1:14" ht="16.5" thickTop="1" thickBot="1">
      <c r="A6" s="3" t="s">
        <v>2</v>
      </c>
      <c r="B6" s="69">
        <f>'Screener Output.v0'!L40</f>
        <v>27.26</v>
      </c>
      <c r="I6" s="372" t="s">
        <v>328</v>
      </c>
      <c r="J6" s="372"/>
      <c r="K6" s="215">
        <f>(Valuation_Table!B8-Valuation_Table!B25)/Valuation_Table!B25</f>
        <v>-0.18743992220678649</v>
      </c>
      <c r="L6" s="215"/>
      <c r="N6" s="336" t="s">
        <v>269</v>
      </c>
    </row>
    <row r="7" spans="1:14" ht="15.75" thickTop="1">
      <c r="A7" s="3" t="s">
        <v>3</v>
      </c>
      <c r="B7" s="1">
        <f>'Screener Output.v0'!B38</f>
        <v>79066</v>
      </c>
      <c r="I7" s="238" t="s">
        <v>550</v>
      </c>
      <c r="K7" s="366">
        <f>POWER(Valuation_Table!E24/Valuation_Table!B8, 1/10)-1</f>
        <v>6.2601447818051437E-2</v>
      </c>
      <c r="N7" s="368">
        <f>Valuation_Table!B17</f>
        <v>0.73774998216698007</v>
      </c>
    </row>
    <row r="8" spans="1:14" ht="15.75" thickBot="1">
      <c r="A8" s="3" t="s">
        <v>4</v>
      </c>
      <c r="B8" s="18">
        <f>SUM('Shareholding input'!C6:C7)</f>
        <v>0.50470000000000004</v>
      </c>
      <c r="I8" s="373" t="s">
        <v>551</v>
      </c>
      <c r="J8" s="373"/>
      <c r="K8" s="367">
        <f>Valuation_Table!C53</f>
        <v>0.10652402600206035</v>
      </c>
      <c r="L8" s="367">
        <f>Valuation_Table!E55</f>
        <v>0.14469526045530379</v>
      </c>
      <c r="N8" s="369"/>
    </row>
    <row r="9" spans="1:14" ht="15.75" thickTop="1"/>
    <row r="11" spans="1:14" ht="185.25" customHeight="1">
      <c r="A11" s="3" t="s">
        <v>5</v>
      </c>
      <c r="B11" s="19" t="str">
        <f>'Annual Report input'!D4</f>
        <v>Impressive numbers. Valuation formulas manually adjusted. NP data looks doubtful.
Check  - Sales 5 Yr &lt;10%</v>
      </c>
    </row>
    <row r="12" spans="1:14">
      <c r="A12" s="370"/>
      <c r="B12" s="370"/>
    </row>
    <row r="13" spans="1:14">
      <c r="A13" s="77"/>
      <c r="B13" s="77"/>
    </row>
  </sheetData>
  <mergeCells count="7">
    <mergeCell ref="N7:N8"/>
    <mergeCell ref="A12:B12"/>
    <mergeCell ref="A1:B1"/>
    <mergeCell ref="I6:J6"/>
    <mergeCell ref="I8:J8"/>
    <mergeCell ref="C1:M1"/>
    <mergeCell ref="K5:L5"/>
  </mergeCells>
  <conditionalFormatting sqref="K6:L6">
    <cfRule type="dataBar" priority="5">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{E84CF858-C6F4-4240-A8D7-F504AF863941}</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{EA726186-043F-4342-83E9-7DAC51177A64}</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E84CF858-C6F4-4240-A8D7-F504AF863941}">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EA726186-043F-4342-83E9-7DAC51177A64}">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workbookViewId="0">
      <selection activeCell="O64" sqref="O64"/>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410"/>
      <c r="C1" s="411"/>
      <c r="D1" s="411"/>
      <c r="E1" s="411"/>
      <c r="F1" s="411"/>
      <c r="G1" s="411"/>
    </row>
    <row r="2" spans="2:12" ht="15">
      <c r="B2" s="412" t="s">
        <v>88</v>
      </c>
      <c r="C2" s="412"/>
      <c r="D2" s="412"/>
      <c r="E2" s="412"/>
      <c r="F2" s="412"/>
      <c r="G2" s="412"/>
    </row>
    <row r="3" spans="2:12">
      <c r="B3" s="30" t="s">
        <v>84</v>
      </c>
      <c r="C3" s="31" t="s">
        <v>90</v>
      </c>
      <c r="D3" s="31" t="s">
        <v>91</v>
      </c>
      <c r="E3" s="31" t="s">
        <v>92</v>
      </c>
      <c r="F3" s="31" t="s">
        <v>93</v>
      </c>
      <c r="G3" s="31" t="s">
        <v>94</v>
      </c>
    </row>
    <row r="4" spans="2:12">
      <c r="B4" s="22" t="s">
        <v>50</v>
      </c>
      <c r="C4" s="166">
        <f>SUM('Screener Output.v0'!L35:L35)/SUM('Screener Output.v0'!L60:L60)</f>
        <v>0.22824097021877701</v>
      </c>
      <c r="D4" s="166">
        <f>SUM('Screener Output.v0'!K35:K35)/SUM('Screener Output.v0'!K60:K60)</f>
        <v>0.24371606332425272</v>
      </c>
      <c r="E4" s="166">
        <f>SUM('Screener Output.v0'!J35:J35)/SUM('Screener Output.v0'!J60:J60)</f>
        <v>0.26996150903942145</v>
      </c>
      <c r="F4" s="166">
        <f>SUM('Screener Output.v0'!I35:I35)/SUM('Screener Output.v0'!I60:I60)</f>
        <v>0.10737200975927023</v>
      </c>
      <c r="G4" s="166">
        <f>SUM('Screener Output.v0'!H35:H35)/SUM('Screener Output.v0'!H60:H60)</f>
        <v>9.6914848333425965E-2</v>
      </c>
    </row>
    <row r="5" spans="2:12">
      <c r="B5" s="22" t="s">
        <v>293</v>
      </c>
      <c r="C5" s="23">
        <f>'Screener Output.v0'!L45/'Screener Output.v0'!L60</f>
        <v>1.5807029328515635E-2</v>
      </c>
      <c r="D5" s="23">
        <f>'Screener Output.v0'!K45/'Screener Output.v0'!K60</f>
        <v>1.5927897958922112E-2</v>
      </c>
      <c r="E5" s="23">
        <f>'Screener Output.v0'!J45/'Screener Output.v0'!J60</f>
        <v>4.5555373899213028E-3</v>
      </c>
      <c r="F5" s="23">
        <f>'Screener Output.v0'!I45/'Screener Output.v0'!I60</f>
        <v>8.9948044061594987E-3</v>
      </c>
      <c r="G5" s="23">
        <f>'Screener Output.v0'!H45/'Screener Output.v0'!H60</f>
        <v>1.5527547979938187E-2</v>
      </c>
    </row>
    <row r="6" spans="2:12">
      <c r="B6" s="22" t="s">
        <v>51</v>
      </c>
      <c r="C6" s="23">
        <f>SUM('Screener Output.v0'!L9:L9)/SUM('Screener Output.v0'!L10:L10)</f>
        <v>0.90056654584871787</v>
      </c>
      <c r="D6" s="23">
        <f>SUM('Screener Output.v0'!K9:K9)/SUM('Screener Output.v0'!K10:K10)</f>
        <v>0.50377870763726962</v>
      </c>
      <c r="E6" s="23">
        <f>SUM('Screener Output.v0'!J9:J9)/SUM('Screener Output.v0'!J10:J10)</f>
        <v>0.53341153470185731</v>
      </c>
      <c r="F6" s="23">
        <f>SUM('Screener Output.v0'!I9:I9)/SUM('Screener Output.v0'!I10:I10)</f>
        <v>0.6853322841002869</v>
      </c>
      <c r="G6" s="23">
        <f>SUM('Screener Output.v0'!H9:H9)/SUM('Screener Output.v0'!H10:H10)</f>
        <v>0.75310204106642809</v>
      </c>
    </row>
    <row r="7" spans="2:12">
      <c r="B7" s="22" t="s">
        <v>52</v>
      </c>
      <c r="C7" s="25">
        <f>'Screener Output.v0'!L29/'Screener Output.v0'!L26</f>
        <v>0.37284940479377487</v>
      </c>
      <c r="D7" s="25">
        <f>'Screener Output.v0'!K29/'Screener Output.v0'!K26</f>
        <v>0.36811850950328157</v>
      </c>
      <c r="E7" s="25">
        <f>'Screener Output.v0'!J29/'Screener Output.v0'!J26</f>
        <v>0.32641338892614508</v>
      </c>
      <c r="F7" s="25">
        <f>'Screener Output.v0'!I29/'Screener Output.v0'!I26</f>
        <v>0.139286499006674</v>
      </c>
      <c r="G7" s="25">
        <f>'Screener Output.v0'!H29/'Screener Output.v0'!H26</f>
        <v>0.11847043966048937</v>
      </c>
    </row>
    <row r="8" spans="2:12">
      <c r="B8" s="22" t="s">
        <v>229</v>
      </c>
      <c r="C8" s="22">
        <f>'Screener Output.v0'!L35</f>
        <v>2178.0099999999993</v>
      </c>
      <c r="D8" s="22">
        <f>'Screener Output.v0'!K35</f>
        <v>1711.4400000000003</v>
      </c>
      <c r="E8" s="22">
        <f>'Screener Output.v0'!J35</f>
        <v>1337.5</v>
      </c>
      <c r="F8" s="22">
        <f>'Screener Output.v0'!I35</f>
        <v>696.64999999999952</v>
      </c>
      <c r="G8" s="22">
        <f>'Screener Output.v0'!H35</f>
        <v>523.66000000000054</v>
      </c>
    </row>
    <row r="9" spans="2:12">
      <c r="B9" s="22" t="s">
        <v>54</v>
      </c>
      <c r="C9" s="22">
        <f>'Screener Output.v0'!L62</f>
        <v>2482.25</v>
      </c>
      <c r="D9" s="22">
        <f>'Screener Output.v0'!K62</f>
        <v>1707.97</v>
      </c>
      <c r="E9" s="22">
        <f>'Screener Output.v0'!J62</f>
        <v>1463.08</v>
      </c>
      <c r="F9" s="22">
        <f>'Screener Output.v0'!I62</f>
        <v>1047.47</v>
      </c>
      <c r="G9" s="22">
        <f>'Screener Output.v0'!H62</f>
        <v>716.2</v>
      </c>
    </row>
    <row r="10" spans="2:12">
      <c r="B10" s="22" t="s">
        <v>23</v>
      </c>
      <c r="C10" s="27">
        <f>'Screener Output.v0'!L40</f>
        <v>27.26</v>
      </c>
      <c r="D10" s="27">
        <f>'Screener Output.v0'!K40</f>
        <v>27.21</v>
      </c>
      <c r="E10" s="27">
        <f>'Screener Output.v0'!J40</f>
        <v>27.16</v>
      </c>
      <c r="F10" s="27">
        <f>'Screener Output.v0'!I40</f>
        <v>27.1</v>
      </c>
      <c r="G10" s="27">
        <f>'Screener Output.v0'!H40</f>
        <v>27.04</v>
      </c>
      <c r="L10" s="169"/>
    </row>
    <row r="11" spans="2:12">
      <c r="B11" s="22" t="s">
        <v>55</v>
      </c>
      <c r="C11" s="165">
        <f>'Screener Output.v0'!L25/'Screener Output.v0'!L49</f>
        <v>0.99570661633791235</v>
      </c>
      <c r="D11" s="165">
        <f>'Screener Output.v0'!K25/'Screener Output.v0'!K49</f>
        <v>1.0609332879538951</v>
      </c>
      <c r="E11" s="165">
        <f>'Screener Output.v0'!J25/'Screener Output.v0'!J49</f>
        <v>1.3118595352423397</v>
      </c>
      <c r="F11" s="165">
        <f>'Screener Output.v0'!I25/'Screener Output.v0'!I49</f>
        <v>1.3633632800519098</v>
      </c>
      <c r="G11" s="165">
        <f>'Screener Output.v0'!H25/'Screener Output.v0'!H49</f>
        <v>1.2779394073991819</v>
      </c>
    </row>
    <row r="12" spans="2:12">
      <c r="B12" s="22"/>
      <c r="C12" s="33"/>
      <c r="D12" s="28"/>
      <c r="E12" s="28"/>
      <c r="F12" s="28"/>
      <c r="G12" s="28"/>
      <c r="H12" s="32" t="s">
        <v>70</v>
      </c>
      <c r="I12" s="32">
        <v>0</v>
      </c>
      <c r="J12" s="32" t="s">
        <v>65</v>
      </c>
      <c r="K12" s="34">
        <f>(C23/9)*100</f>
        <v>66.666666666666657</v>
      </c>
    </row>
    <row r="13" spans="2:12">
      <c r="B13" s="22"/>
      <c r="C13" s="22"/>
      <c r="D13" s="28"/>
      <c r="E13" s="28"/>
      <c r="F13" s="28"/>
      <c r="G13" s="28"/>
      <c r="H13" s="32" t="s">
        <v>71</v>
      </c>
      <c r="I13" s="32">
        <v>30</v>
      </c>
      <c r="J13" s="32" t="s">
        <v>75</v>
      </c>
      <c r="K13" s="32">
        <v>1</v>
      </c>
    </row>
    <row r="14" spans="2:12">
      <c r="B14" s="24" t="s">
        <v>290</v>
      </c>
      <c r="C14" s="35">
        <f>--(C8&gt;0)</f>
        <v>1</v>
      </c>
      <c r="D14" s="36"/>
      <c r="E14" s="36"/>
      <c r="F14" s="36"/>
      <c r="G14" s="36"/>
      <c r="H14" s="32" t="s">
        <v>72</v>
      </c>
      <c r="I14" s="32">
        <v>40</v>
      </c>
      <c r="J14" s="32" t="s">
        <v>73</v>
      </c>
      <c r="K14" s="32">
        <f>SUM(I12:I16) - SUM(K12:K13)</f>
        <v>132.33333333333334</v>
      </c>
    </row>
    <row r="15" spans="2:12">
      <c r="B15" s="24" t="s">
        <v>123</v>
      </c>
      <c r="C15" s="35">
        <f>--(C9&gt;0)</f>
        <v>1</v>
      </c>
      <c r="D15" s="36"/>
      <c r="E15" s="36"/>
      <c r="F15" s="36"/>
      <c r="G15" s="36"/>
      <c r="H15" s="32" t="s">
        <v>73</v>
      </c>
      <c r="I15" s="32">
        <v>30</v>
      </c>
      <c r="J15" s="32"/>
      <c r="K15" s="32"/>
    </row>
    <row r="16" spans="2:12">
      <c r="B16" s="24" t="s">
        <v>124</v>
      </c>
      <c r="C16" s="37">
        <f>--(C4&gt;D4)</f>
        <v>0</v>
      </c>
      <c r="D16" s="38"/>
      <c r="E16" s="38"/>
      <c r="F16" s="38"/>
      <c r="G16" s="28"/>
      <c r="H16" s="32" t="s">
        <v>74</v>
      </c>
      <c r="I16" s="32">
        <v>100</v>
      </c>
      <c r="J16" s="32"/>
      <c r="K16" s="32"/>
    </row>
    <row r="17" spans="2:8">
      <c r="B17" s="24" t="s">
        <v>291</v>
      </c>
      <c r="C17" s="37">
        <f>--(C9&gt;C8)</f>
        <v>1</v>
      </c>
      <c r="D17" s="38"/>
      <c r="E17" s="38"/>
      <c r="F17" s="38"/>
      <c r="G17" s="28"/>
    </row>
    <row r="18" spans="2:8">
      <c r="B18" s="24" t="s">
        <v>294</v>
      </c>
      <c r="C18" s="37">
        <f>--(C5&lt;D5)</f>
        <v>1</v>
      </c>
      <c r="D18" s="38"/>
      <c r="E18" s="38"/>
      <c r="F18" s="38"/>
      <c r="G18" s="28"/>
    </row>
    <row r="19" spans="2:8">
      <c r="B19" s="24" t="s">
        <v>295</v>
      </c>
      <c r="C19" s="37">
        <f>--(C6&gt;D6)</f>
        <v>1</v>
      </c>
      <c r="D19" s="38"/>
      <c r="E19" s="38"/>
      <c r="F19" s="38"/>
      <c r="G19" s="28"/>
    </row>
    <row r="20" spans="2:8">
      <c r="B20" s="22" t="s">
        <v>125</v>
      </c>
      <c r="C20" s="37">
        <f>--(C10&lt;D10)</f>
        <v>0</v>
      </c>
      <c r="D20" s="38"/>
      <c r="E20" s="38"/>
      <c r="F20" s="38"/>
      <c r="G20" s="28"/>
    </row>
    <row r="21" spans="2:8">
      <c r="B21" s="22" t="s">
        <v>126</v>
      </c>
      <c r="C21" s="37">
        <f>--(C7&gt;D7)</f>
        <v>1</v>
      </c>
      <c r="D21" s="38"/>
      <c r="E21" s="38"/>
      <c r="F21" s="38"/>
      <c r="G21" s="28"/>
    </row>
    <row r="22" spans="2:8">
      <c r="B22" s="22" t="s">
        <v>127</v>
      </c>
      <c r="C22" s="37">
        <f>--(C11&gt;D11)</f>
        <v>0</v>
      </c>
      <c r="D22" s="38"/>
      <c r="E22" s="38"/>
      <c r="F22" s="38"/>
      <c r="G22" s="28"/>
    </row>
    <row r="23" spans="2:8" ht="15">
      <c r="B23" s="39" t="s">
        <v>49</v>
      </c>
      <c r="C23" s="40">
        <f>SUM(C14:C22)</f>
        <v>6</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413" t="s">
        <v>85</v>
      </c>
      <c r="C35" s="413"/>
      <c r="D35" s="413"/>
      <c r="E35" s="2"/>
      <c r="F35" s="2"/>
      <c r="G35" s="2"/>
      <c r="H35" s="2"/>
    </row>
    <row r="36" spans="2:8" ht="15">
      <c r="B36" s="414" t="s">
        <v>86</v>
      </c>
      <c r="C36" s="414"/>
      <c r="D36" s="414"/>
      <c r="E36" s="2"/>
      <c r="F36" s="2"/>
      <c r="G36" s="2"/>
      <c r="H36" s="2"/>
    </row>
    <row r="37" spans="2:8" ht="15">
      <c r="B37" s="415" t="s">
        <v>87</v>
      </c>
      <c r="C37" s="415"/>
      <c r="D37" s="415"/>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workbookViewId="0">
      <selection activeCell="O64" sqref="O64"/>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410"/>
      <c r="C1" s="411"/>
      <c r="D1" s="411"/>
      <c r="E1" s="411"/>
      <c r="F1" s="411"/>
    </row>
    <row r="2" spans="2:11" ht="15">
      <c r="B2" s="412" t="s">
        <v>89</v>
      </c>
      <c r="C2" s="412"/>
      <c r="D2" s="412"/>
      <c r="E2" s="412"/>
      <c r="F2" s="412"/>
    </row>
    <row r="3" spans="2:11" ht="15">
      <c r="B3" s="416" t="s">
        <v>66</v>
      </c>
      <c r="C3" s="417"/>
      <c r="D3" s="417"/>
      <c r="E3" s="417"/>
      <c r="F3" s="418"/>
    </row>
    <row r="4" spans="2:11" ht="15">
      <c r="B4" s="22" t="s">
        <v>27</v>
      </c>
      <c r="C4" s="42" t="s">
        <v>90</v>
      </c>
      <c r="D4" s="22"/>
      <c r="E4" s="22" t="s">
        <v>60</v>
      </c>
      <c r="F4" s="23">
        <f>C5/C6</f>
        <v>-2.4608623025824217E-2</v>
      </c>
      <c r="G4" s="32" t="s">
        <v>76</v>
      </c>
      <c r="I4" s="29" t="s">
        <v>75</v>
      </c>
    </row>
    <row r="5" spans="2:11">
      <c r="B5" s="22" t="s">
        <v>56</v>
      </c>
      <c r="C5" s="22">
        <f>'Screener Output.v0'!L52</f>
        <v>-234.82999999999993</v>
      </c>
      <c r="D5" s="22"/>
      <c r="E5" s="22" t="s">
        <v>292</v>
      </c>
      <c r="F5" s="23">
        <f>C8/C6</f>
        <v>0.73384793855756147</v>
      </c>
      <c r="G5" s="32" t="s">
        <v>70</v>
      </c>
      <c r="H5" s="29">
        <v>0</v>
      </c>
      <c r="I5" s="29" t="s">
        <v>65</v>
      </c>
      <c r="J5" s="233">
        <f>(C14/6)*100</f>
        <v>100</v>
      </c>
    </row>
    <row r="6" spans="2:11">
      <c r="B6" s="22" t="s">
        <v>12</v>
      </c>
      <c r="C6" s="22">
        <f>'Screener Output.v0'!L60</f>
        <v>9542.59</v>
      </c>
      <c r="D6" s="22"/>
      <c r="E6" s="22" t="s">
        <v>61</v>
      </c>
      <c r="F6" s="23">
        <f>C9/C6</f>
        <v>0.35028016502857184</v>
      </c>
      <c r="G6" s="32" t="s">
        <v>71</v>
      </c>
      <c r="H6" s="29">
        <v>30</v>
      </c>
      <c r="I6" s="29" t="s">
        <v>75</v>
      </c>
      <c r="J6" s="29">
        <v>1</v>
      </c>
    </row>
    <row r="7" spans="2:11">
      <c r="B7" s="22" t="s">
        <v>9</v>
      </c>
      <c r="C7" s="22">
        <f>'Screener Output.v0'!L60</f>
        <v>9542.59</v>
      </c>
      <c r="D7" s="22"/>
      <c r="E7" s="22" t="s">
        <v>296</v>
      </c>
      <c r="F7" s="23">
        <f>'Screener Output.v0'!B38/'Screener Output.v0'!L60</f>
        <v>8.2855912283772017</v>
      </c>
      <c r="G7" s="32" t="s">
        <v>72</v>
      </c>
      <c r="H7" s="29">
        <v>20</v>
      </c>
      <c r="I7" s="29" t="s">
        <v>73</v>
      </c>
      <c r="J7" s="29">
        <f>SUM(H5:H9) - SUM(J5:J6)</f>
        <v>99</v>
      </c>
    </row>
    <row r="8" spans="2:11">
      <c r="B8" s="22" t="s">
        <v>253</v>
      </c>
      <c r="C8" s="22">
        <f>'Screener Output.v0'!L41</f>
        <v>7002.81</v>
      </c>
      <c r="D8" s="22"/>
      <c r="E8" s="22" t="s">
        <v>62</v>
      </c>
      <c r="F8" s="23">
        <f>C11/C6</f>
        <v>0.93946821565214467</v>
      </c>
      <c r="G8" s="32" t="s">
        <v>73</v>
      </c>
      <c r="H8" s="29">
        <v>50</v>
      </c>
    </row>
    <row r="9" spans="2:11">
      <c r="B9" s="22" t="s">
        <v>57</v>
      </c>
      <c r="C9" s="22">
        <f>'Screener Output.v0'!L29</f>
        <v>3342.5799999999995</v>
      </c>
      <c r="D9" s="22"/>
      <c r="E9" s="22"/>
      <c r="F9" s="22"/>
      <c r="G9" s="32" t="s">
        <v>74</v>
      </c>
      <c r="H9" s="29">
        <v>100</v>
      </c>
    </row>
    <row r="10" spans="2:11">
      <c r="B10" s="22" t="s">
        <v>58</v>
      </c>
      <c r="C10" s="23">
        <f>'Screener Output.v0'!B38</f>
        <v>79066</v>
      </c>
      <c r="D10" s="22"/>
      <c r="E10" s="22"/>
      <c r="F10" s="22"/>
      <c r="G10" s="32">
        <f>IF(SUM(C1:D1)&gt;=20,20,SUM(C1:D1))</f>
        <v>0</v>
      </c>
    </row>
    <row r="11" spans="2:11">
      <c r="B11" s="22" t="s">
        <v>13</v>
      </c>
      <c r="C11" s="22">
        <f>'Screener Output.v0'!L26</f>
        <v>8964.9599999999991</v>
      </c>
      <c r="D11" s="22"/>
      <c r="E11" s="22"/>
      <c r="F11" s="22"/>
      <c r="G11" s="43"/>
    </row>
    <row r="12" spans="2:11">
      <c r="B12" s="22"/>
      <c r="C12" s="22"/>
      <c r="D12" s="22"/>
      <c r="E12" s="22"/>
      <c r="F12" s="22"/>
      <c r="G12" s="43"/>
    </row>
    <row r="13" spans="2:11">
      <c r="B13" s="22"/>
      <c r="C13" s="22"/>
      <c r="D13" s="22"/>
      <c r="E13" s="22"/>
      <c r="F13" s="22"/>
      <c r="G13" s="43"/>
    </row>
    <row r="14" spans="2:11">
      <c r="B14" s="26" t="s">
        <v>59</v>
      </c>
      <c r="C14" s="44">
        <f>IF((1.2*F4+1.4*F5+3.3*F6+0.6*F7+0.999*F8)&gt;=6,6,(1.2*F4+1.4*F5+3.3*F6+0.6*F7+0.999*F8))</f>
        <v>6</v>
      </c>
      <c r="D14" s="22"/>
      <c r="E14" s="22"/>
      <c r="F14" s="22"/>
      <c r="G14" s="43"/>
      <c r="H14" s="43"/>
      <c r="I14" s="43"/>
      <c r="J14" s="43"/>
      <c r="K14" s="43"/>
    </row>
    <row r="16" spans="2:11" ht="15">
      <c r="B16" s="45" t="s">
        <v>81</v>
      </c>
    </row>
    <row r="17" spans="2:3">
      <c r="B17" s="29" t="s">
        <v>79</v>
      </c>
      <c r="C17" s="29" t="s">
        <v>78</v>
      </c>
    </row>
    <row r="18" spans="2:3">
      <c r="B18" s="29" t="s">
        <v>82</v>
      </c>
      <c r="C18" s="29" t="s">
        <v>80</v>
      </c>
    </row>
    <row r="19" spans="2:3">
      <c r="B19" s="29" t="s">
        <v>83</v>
      </c>
      <c r="C19" s="29" t="s">
        <v>77</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83</v>
      </c>
      <c r="C32" s="5"/>
    </row>
    <row r="33" spans="2:3" ht="15">
      <c r="B33" s="6" t="s">
        <v>79</v>
      </c>
      <c r="C33" s="5"/>
    </row>
    <row r="34" spans="2:3" ht="15">
      <c r="B34" s="7" t="s">
        <v>82</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J14" sqref="J14"/>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306</v>
      </c>
      <c r="C2" s="101" t="s">
        <v>307</v>
      </c>
      <c r="D2" s="100" t="s">
        <v>217</v>
      </c>
      <c r="E2" s="101" t="s">
        <v>218</v>
      </c>
      <c r="F2" s="101" t="s">
        <v>219</v>
      </c>
      <c r="G2" s="101" t="s">
        <v>220</v>
      </c>
      <c r="H2" s="101" t="s">
        <v>305</v>
      </c>
      <c r="I2" s="101" t="s">
        <v>221</v>
      </c>
      <c r="J2" s="101" t="s">
        <v>222</v>
      </c>
      <c r="K2" s="101" t="s">
        <v>223</v>
      </c>
      <c r="L2" s="101" t="s">
        <v>327</v>
      </c>
      <c r="M2" s="101" t="s">
        <v>35</v>
      </c>
      <c r="N2" s="101" t="s">
        <v>224</v>
      </c>
      <c r="O2" s="101" t="s">
        <v>50</v>
      </c>
    </row>
    <row r="3" spans="2:27" ht="15" customHeight="1">
      <c r="B3" s="103">
        <f>AVERAGE('Screener Output.v0'!H76:L76)</f>
        <v>34.070096767226666</v>
      </c>
      <c r="C3" s="103">
        <f>AVERAGE('Screener Output.v0'!H78:L78)</f>
        <v>9.9640232774378461</v>
      </c>
      <c r="D3" s="101" t="s">
        <v>215</v>
      </c>
      <c r="E3" s="109">
        <f>SUM('Screener Output.v0'!H29:L29)/SUM('Screener Output.v0'!H26:L26)</f>
        <v>0.26433474107831678</v>
      </c>
      <c r="F3" s="106">
        <f>SUM('Screener Output.v0'!H35:M35)/SUM('Screener Output.v0'!H26:M26)</f>
        <v>0.18046018406600448</v>
      </c>
      <c r="G3" s="109">
        <f>SUM('Screener Output.v0'!H6:L6)/SUM('Screener Output.v0'!H26:L26)</f>
        <v>5.8622901969517423E-2</v>
      </c>
      <c r="H3" s="109">
        <f>SUM('Screener Output.v0'!H7:L7)/SUM('Screener Output.v0'!H26:L26)</f>
        <v>3.2485504998687707E-2</v>
      </c>
      <c r="I3" s="104">
        <f>SUM('Screener Output.v0'!H55:L55)/SUM('Screener Output.v0'!H60:L60)</f>
        <v>6.9501861077090124E-2</v>
      </c>
      <c r="J3" s="104">
        <f>SUM('Screener Output.v0'!H9:L9)/SUM('Screener Output.v0'!H10:L10)</f>
        <v>0.70560485411099882</v>
      </c>
      <c r="K3" s="103">
        <f>SUM('Screener Input'!G66:K66)/SUM('Screener Input'!G57:K58)</f>
        <v>1.6219201330517083</v>
      </c>
      <c r="L3" s="103">
        <f>SUM('Screener Output.v0'!H45:L45)/SUM('Screener Output.v0'!H35:L35)</f>
        <v>6.6310339586118761E-2</v>
      </c>
      <c r="M3" s="190">
        <f>SUM('Screener Output.v0'!H35:L35)/SUM('Screener Output.v0'!H40:L41)</f>
        <v>0.31298123110695347</v>
      </c>
      <c r="N3" s="104">
        <f>SUM('Screener Output.v0'!H35:L35)/SUM('Screener Output.v0'!H42:L45)</f>
        <v>0.30661772014402405</v>
      </c>
      <c r="O3" s="104">
        <f>SUM('Screener Output.v0'!H35:L35)/SUM('Screener Output.v0'!H60:L60)</f>
        <v>0.19296957028214859</v>
      </c>
    </row>
    <row r="4" spans="2:27" ht="15" customHeight="1">
      <c r="B4" s="103">
        <f>'Screener Output.v0'!L76</f>
        <v>42.343479450626894</v>
      </c>
      <c r="C4" s="103">
        <f>'Screener Output.v0'!L78</f>
        <v>11.803473702965974</v>
      </c>
      <c r="D4" s="101" t="s">
        <v>216</v>
      </c>
      <c r="E4" s="107">
        <f>'Screener Output.v0'!L29/'Screener Output.v0'!L26</f>
        <v>0.37284940479377487</v>
      </c>
      <c r="F4" s="106">
        <f>'Screener Output.v0'!M35/'Screener Output.v0'!M26</f>
        <v>0.2182732044654844</v>
      </c>
      <c r="G4" s="109">
        <f>SUM('Screener Output.v0'!L6:L6)/SUM('Screener Output.v0'!L26:L26)</f>
        <v>4.402027449090682E-2</v>
      </c>
      <c r="H4" s="109">
        <f>SUM('Screener Output.v0'!L7:L7)/SUM('Screener Output.v0'!L26:L26)</f>
        <v>7.5850868269350903E-3</v>
      </c>
      <c r="I4" s="116">
        <f>'Screener Output.v0'!L55/'Screener Output.v0'!L60</f>
        <v>0.12700954353063476</v>
      </c>
      <c r="J4" s="104">
        <f>SUM('Screener Output.v0'!L9:L9)/SUM('Screener Output.v0'!L10:L10)</f>
        <v>0.90056654584871787</v>
      </c>
      <c r="K4" s="103">
        <f>SUM('Screener Input'!K66:K66)/SUM('Screener Input'!K57:K58)</f>
        <v>1.3573961567950248</v>
      </c>
      <c r="L4" s="103">
        <f>SUM('Screener Output.v0'!L45:L45)/SUM('Screener Output.v0'!M35:M35)</f>
        <v>7.2650910544592842E-2</v>
      </c>
      <c r="M4" s="190">
        <f>Dupont!H10</f>
        <v>0.29533560832253447</v>
      </c>
      <c r="N4" s="104">
        <f>SUM('Screener Output.v0'!L35:L35)/SUM('Screener Output.v0'!L42:L45)</f>
        <v>0.30330556990687796</v>
      </c>
      <c r="O4" s="104">
        <f>SUM('Screener Output.v0'!L35:L35)/SUM('Screener Output.v0'!L60:L60)</f>
        <v>0.22824097021877701</v>
      </c>
    </row>
    <row r="5" spans="2:27" ht="12.95" customHeight="1">
      <c r="B5" s="103">
        <f>MAX('Screener Output.v0'!H76:L76)</f>
        <v>42.343479450626894</v>
      </c>
      <c r="C5" s="103">
        <f>MAX('Screener Output.v0'!H78:L78)</f>
        <v>14.673175772675188</v>
      </c>
      <c r="D5" s="101" t="s">
        <v>303</v>
      </c>
      <c r="E5" s="107"/>
      <c r="F5" s="106"/>
      <c r="G5" s="109"/>
      <c r="H5" s="109"/>
      <c r="I5" s="116"/>
      <c r="J5" s="104"/>
      <c r="K5" s="103"/>
      <c r="L5" s="103"/>
      <c r="M5" s="104"/>
      <c r="N5" s="104"/>
      <c r="O5" s="104"/>
    </row>
    <row r="6" spans="2:27" ht="15" customHeight="1">
      <c r="D6" s="102" t="s">
        <v>304</v>
      </c>
      <c r="O6" s="117"/>
      <c r="S6" s="117"/>
      <c r="Z6" s="119"/>
    </row>
    <row r="7" spans="2:27" ht="26.25" customHeight="1">
      <c r="D7" s="100" t="s">
        <v>206</v>
      </c>
      <c r="E7" s="101" t="s">
        <v>95</v>
      </c>
      <c r="F7" s="101" t="s">
        <v>207</v>
      </c>
      <c r="G7" s="101" t="s">
        <v>208</v>
      </c>
      <c r="H7" s="101" t="s">
        <v>209</v>
      </c>
      <c r="I7" s="101" t="s">
        <v>210</v>
      </c>
      <c r="J7" s="101" t="s">
        <v>211</v>
      </c>
      <c r="K7" s="101" t="s">
        <v>212</v>
      </c>
      <c r="L7" s="101" t="s">
        <v>213</v>
      </c>
      <c r="M7" s="101" t="s">
        <v>309</v>
      </c>
      <c r="N7" s="101" t="s">
        <v>214</v>
      </c>
      <c r="S7" s="117"/>
      <c r="Z7" s="120"/>
      <c r="AA7" s="119"/>
    </row>
    <row r="8" spans="2:27" s="115" customFormat="1" ht="26.25" customHeight="1">
      <c r="D8" s="101" t="s">
        <v>215</v>
      </c>
      <c r="E8" s="103">
        <f>AVERAGE('Screener Output.v0'!H62:L62)</f>
        <v>1483.394</v>
      </c>
      <c r="F8" s="104">
        <f>SUM('Screener Output.v0'!H65:L65)/SUM('Screener Output.v0'!H62:L62)</f>
        <v>-0.12293699448696704</v>
      </c>
      <c r="G8" s="105">
        <f>SUM('Screener Output.v0'!H23:L23)/SUM('Screener Output.v0'!H62:L62)</f>
        <v>0.16210123541014729</v>
      </c>
      <c r="H8" s="104">
        <f>SUM('Screener Output.v0'!H62:L62)/SUM('Screener Output.v0'!H35:L35)</f>
        <v>1.150406529285309</v>
      </c>
      <c r="I8" s="106">
        <f>SUM('Screener Output.v0'!H62:L62)/SUM('Screener Output.v0'!H26:L26)</f>
        <v>0.1966328118579318</v>
      </c>
      <c r="J8" s="107">
        <f>SUM('Screener Output.v0'!H62:L62)/SUM('Screener Output.v0'!H60:L60)</f>
        <v>0.22199345360596406</v>
      </c>
      <c r="K8" s="108">
        <f>SUM('Screener Output.v0'!H62:L62)/SUM('Screener Output.v0'!H48:L48)</f>
        <v>0.59892859421192157</v>
      </c>
      <c r="L8" s="108">
        <f>SUM('Screener Output.v0'!H62:L62)/SUM('Screener Output.v0'!H45:L45)</f>
        <v>17.348825785928145</v>
      </c>
      <c r="M8" s="109">
        <f>SUM('Screener Output.v0'!H63:L63)/SUM('Screener Output.v0'!H62:L62)</f>
        <v>0.83789876458985268</v>
      </c>
      <c r="N8" s="104">
        <f>SUM('Screener Output.v0'!H23:L23)/SUM('Screener Output.v0'!H63:L63)</f>
        <v>0.19346159973095919</v>
      </c>
      <c r="S8" s="117"/>
      <c r="Z8" s="120"/>
      <c r="AA8" s="119"/>
    </row>
    <row r="9" spans="2:27" s="115" customFormat="1" ht="26.25" customHeight="1">
      <c r="D9" s="101" t="s">
        <v>216</v>
      </c>
      <c r="E9" s="103">
        <f>'Screener Output.v0'!L62</f>
        <v>2482.25</v>
      </c>
      <c r="F9" s="110">
        <f>SUM('Screener Output.v0'!L65:L65)/SUM('Screener Output.v0'!L62:L62)</f>
        <v>-0.10555342934837345</v>
      </c>
      <c r="G9" s="104">
        <f>SUM('Screener Output.v0'!L23:L23)/SUM('Screener Output.v0'!L62:L62)</f>
        <v>0.32698156914090043</v>
      </c>
      <c r="H9" s="104">
        <f>SUM('Screener Output.v0'!L62:L62)/SUM('Screener Output.v0'!L35:L35)</f>
        <v>1.1396871456053925</v>
      </c>
      <c r="I9" s="109">
        <f>SUM('Screener Output.v0'!L62:L62)/SUM('Screener Output.v0'!L26:L26)</f>
        <v>0.27688355553175925</v>
      </c>
      <c r="J9" s="109">
        <f>SUM('Screener Output.v0'!L62:L62)/SUM('Screener Output.v0'!L60:L60)</f>
        <v>0.26012329985884336</v>
      </c>
      <c r="K9" s="109">
        <f>SUM('Screener Output.v0'!L62:L62)/SUM('Screener Output.v0'!L48:L48)</f>
        <v>1.0510526404932083</v>
      </c>
      <c r="L9" s="109">
        <f>SUM('Screener Output.v0'!L62:L62)/SUM('Screener Output.v0'!L45:L45)</f>
        <v>16.456178732431717</v>
      </c>
      <c r="M9" s="109">
        <f>SUM('Screener Output.v0'!L63:L63)/SUM('Screener Output.v0'!L62:L62)</f>
        <v>0.67301843085909963</v>
      </c>
      <c r="N9" s="104">
        <f>SUM('Screener Output.v0'!L23:L23)/SUM('Screener Output.v0'!L63:L63)</f>
        <v>0.48584340955345395</v>
      </c>
      <c r="S9" s="117"/>
      <c r="Z9" s="120"/>
      <c r="AA9" s="119"/>
    </row>
    <row r="10" spans="2:27" s="115" customFormat="1" ht="26.25" customHeight="1">
      <c r="S10" s="117"/>
      <c r="Z10" s="120"/>
      <c r="AA10" s="119"/>
    </row>
    <row r="11" spans="2:27" ht="12">
      <c r="D11" s="100" t="s">
        <v>225</v>
      </c>
      <c r="E11" s="101" t="s">
        <v>226</v>
      </c>
      <c r="F11" s="101" t="s">
        <v>227</v>
      </c>
      <c r="G11" s="101" t="s">
        <v>228</v>
      </c>
      <c r="H11" s="101" t="s">
        <v>229</v>
      </c>
      <c r="I11" s="101" t="s">
        <v>28</v>
      </c>
      <c r="J11" s="101" t="s">
        <v>30</v>
      </c>
      <c r="K11" s="101" t="s">
        <v>95</v>
      </c>
      <c r="L11" s="101" t="s">
        <v>25</v>
      </c>
      <c r="M11" s="101" t="s">
        <v>6</v>
      </c>
      <c r="N11" s="101"/>
      <c r="AA11" s="120"/>
    </row>
    <row r="12" spans="2:27" ht="12.95" customHeight="1">
      <c r="D12" s="101" t="s">
        <v>230</v>
      </c>
      <c r="E12" s="107">
        <f>POWER('Screener Output.v0'!M25/'Screener Output.v0'!C25,1/9)-1</f>
        <v>0.20843914727728374</v>
      </c>
      <c r="F12" s="104">
        <f>('Screener Output.v0'!L6/'Screener Output.v0'!C6)^(1/9)-1</f>
        <v>1.7339839710174054E-2</v>
      </c>
      <c r="G12" s="104">
        <f>('Screener Output.v0'!L7/'Screener Output.v0'!C7)^(1/9)-1</f>
        <v>-0.10262212318993635</v>
      </c>
      <c r="H12" s="107">
        <f>POWER('Screener Output.v0'!M35/'Screener Output.v0'!C35,1/9)-1</f>
        <v>0.46452289324923379</v>
      </c>
      <c r="I12" s="107">
        <f>('Screener Output.v0'!M74/'Screener Output.v0'!C74)^(1/9)-1</f>
        <v>0.48056942889393328</v>
      </c>
      <c r="J12" s="107">
        <f>('Screener Output.v0'!L73/'Screener Output.v0'!C73)^(1/9)-1</f>
        <v>0.23255930201722452</v>
      </c>
      <c r="K12" s="107">
        <f>('Screener Output.v0'!L62/'Screener Output.v0'!C62)^(1/9)-1</f>
        <v>-2.4474586570948489</v>
      </c>
      <c r="L12" s="107">
        <f>('Screener Output.v0'!L63/'Screener Output.v0'!C62)^(1/9)-1</f>
        <v>-2.3851539737507124</v>
      </c>
      <c r="M12" s="107">
        <f>('Screener Output.v0'!L42/'Screener Output.v0'!C42)^(1/9)-1</f>
        <v>0.22841705652276256</v>
      </c>
      <c r="N12" s="121"/>
      <c r="AA12" s="120"/>
    </row>
    <row r="13" spans="2:27" ht="12.95" customHeight="1">
      <c r="D13" s="101" t="s">
        <v>231</v>
      </c>
      <c r="E13" s="107">
        <f>POWER('Screener Output.v0'!M25/'Screener Output.v0'!G25,1/5)-1</f>
        <v>9.0116435710090093E-2</v>
      </c>
      <c r="F13" s="104">
        <f>('Screener Output.v0'!L6/'Screener Output.v0'!G6)^(1/5)-1</f>
        <v>-4.1908751057219806E-2</v>
      </c>
      <c r="G13" s="104">
        <f>('Screener Output.v0'!L7/'Screener Output.v0'!G7)^(1/5)-1</f>
        <v>-0.31346903206424581</v>
      </c>
      <c r="H13" s="107">
        <f>POWER('Screener Output.v0'!M35/'Screener Output.v0'!G35,1/5)-1</f>
        <v>0.34437812101171872</v>
      </c>
      <c r="I13" s="107">
        <f>('Screener Output.v0'!M74/'Screener Output.v0'!G74)^(1/5)-1</f>
        <v>0.44697605700850551</v>
      </c>
      <c r="J13" s="107">
        <f>('Screener Output.v0'!L73/'Screener Output.v0'!G73)^(1/5)-1</f>
        <v>0.31742796591339273</v>
      </c>
      <c r="K13" s="107">
        <f>('Screener Output.v0'!L62/'Screener Output.v0'!G62)^(1/5)-1</f>
        <v>0.37995766816494703</v>
      </c>
      <c r="L13" s="107">
        <f>('Screener Output.v0'!L63/'Screener Output.v0'!G63)^(1/5)-1</f>
        <v>-2.4924868954592956</v>
      </c>
      <c r="M13" s="107">
        <f>('Screener Output.v0'!L42/'Screener Output.v0'!G42)^(1/5)-1</f>
        <v>0.31990279962809964</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424" t="s">
        <v>27</v>
      </c>
      <c r="B1" s="424"/>
      <c r="C1" s="55" t="s">
        <v>21</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109</v>
      </c>
      <c r="B2" s="65">
        <v>0.25</v>
      </c>
      <c r="C2" s="57" t="s">
        <v>103</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110</v>
      </c>
      <c r="B3" s="67">
        <v>25</v>
      </c>
      <c r="C3" s="57" t="s">
        <v>25</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29</v>
      </c>
      <c r="B4" s="64">
        <f>Valuation_Chart!B5</f>
        <v>24185.4</v>
      </c>
      <c r="C4" s="57" t="s">
        <v>34</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34</v>
      </c>
      <c r="B5" s="65">
        <v>0.09</v>
      </c>
      <c r="C5" s="57" t="s">
        <v>104</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105</v>
      </c>
      <c r="B6" s="64">
        <f>MIN(D9:X9)</f>
        <v>0</v>
      </c>
      <c r="C6" s="57" t="s">
        <v>106</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420"/>
      <c r="B7" s="421"/>
      <c r="C7" s="57" t="s">
        <v>107</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422"/>
      <c r="B8" s="423"/>
      <c r="C8" s="57" t="s">
        <v>108</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t="str">
        <f>IF(D8&gt;B4,1*D1,"No")</f>
        <v>No</v>
      </c>
      <c r="E9" s="57" t="str">
        <f>IF(E8&gt;B4,E1*1,"No")</f>
        <v>No</v>
      </c>
      <c r="F9" s="57" t="str">
        <f>IF(F8&gt;B4,F1*1,"No")</f>
        <v>No</v>
      </c>
      <c r="G9" s="57" t="str">
        <f>IF(G8&gt;B4,G1*1,"No")</f>
        <v>No</v>
      </c>
      <c r="H9" s="57" t="str">
        <f>IF(H8&gt;B4,H1*1,"No")</f>
        <v>No</v>
      </c>
      <c r="I9" s="57" t="str">
        <f>IF(I8&gt;B4,I1*1,"No")</f>
        <v>No</v>
      </c>
      <c r="J9" s="57" t="str">
        <f>IF(J8&gt;B4,J1*1,"No")</f>
        <v>No</v>
      </c>
      <c r="K9" s="57" t="str">
        <f>IF(K8&gt;B4,1*K1,"No")</f>
        <v>No</v>
      </c>
      <c r="L9" s="57" t="str">
        <f>IF(L8&gt;B4,L1*1,"No")</f>
        <v>No</v>
      </c>
      <c r="M9" s="57" t="str">
        <f>IF(M8&gt;B4,M1*1,"No")</f>
        <v>No</v>
      </c>
      <c r="N9" s="57" t="str">
        <f>IF(N8&gt;B4,N1*1,"No")</f>
        <v>No</v>
      </c>
      <c r="O9" s="57" t="str">
        <f>IF(O8&gt;B4,O1*1,"No")</f>
        <v>No</v>
      </c>
      <c r="P9" s="57" t="str">
        <f>IF(P8&gt;B4,P1*1,"No")</f>
        <v>No</v>
      </c>
      <c r="Q9" s="57" t="str">
        <f>IF(Q8&gt;B4,Q1*1,"No")</f>
        <v>No</v>
      </c>
      <c r="R9" s="57" t="str">
        <f>IF(R8&gt;B4,1*R1,"No")</f>
        <v>No</v>
      </c>
      <c r="S9" s="57" t="str">
        <f>IF(S8&gt;B4,S1*1,"No")</f>
        <v>No</v>
      </c>
      <c r="T9" s="57" t="str">
        <f>IF(T8&gt;B4,T1*1,"No")</f>
        <v>No</v>
      </c>
      <c r="U9" s="57" t="str">
        <f>IF(U8&gt;B4,U1*1,"No")</f>
        <v>No</v>
      </c>
      <c r="V9" s="57" t="str">
        <f>IF(V8&gt;B4,V1*1,"No")</f>
        <v>No</v>
      </c>
      <c r="W9" s="57" t="str">
        <f>IF(W8&gt;B4,W1*1,"No")</f>
        <v>No</v>
      </c>
      <c r="X9" s="57" t="str">
        <f>IF(X8&gt;B4,X1*1,"No")</f>
        <v>No</v>
      </c>
    </row>
    <row r="10" spans="1:24">
      <c r="C10" s="54"/>
    </row>
    <row r="11" spans="1:24">
      <c r="A11" s="419" t="s">
        <v>111</v>
      </c>
      <c r="B11" s="419"/>
      <c r="C11" s="419"/>
      <c r="D11" s="419"/>
      <c r="E11" s="419"/>
      <c r="F11" s="419"/>
    </row>
    <row r="12" spans="1:24">
      <c r="A12" s="66" t="s">
        <v>112</v>
      </c>
      <c r="B12" s="68" t="e">
        <f>(#REF!/Valuation_Chart!B6)*10^7</f>
        <v>#REF!</v>
      </c>
      <c r="C12" s="70" t="s">
        <v>119</v>
      </c>
    </row>
    <row r="13" spans="1:24" ht="15.75" thickBot="1">
      <c r="A13" s="430" t="s">
        <v>117</v>
      </c>
      <c r="B13" s="430"/>
      <c r="C13" s="430"/>
    </row>
    <row r="14" spans="1:24">
      <c r="A14" s="425" t="s">
        <v>118</v>
      </c>
      <c r="B14" s="426"/>
      <c r="C14" s="426"/>
      <c r="D14" s="426"/>
      <c r="E14" s="426"/>
      <c r="F14" s="426"/>
      <c r="G14" s="426"/>
      <c r="H14" s="426"/>
      <c r="I14" s="426"/>
      <c r="J14" s="426"/>
      <c r="K14" s="426"/>
      <c r="L14" s="426"/>
      <c r="M14" s="426"/>
      <c r="N14" s="426"/>
      <c r="O14" s="426"/>
      <c r="P14" s="426"/>
      <c r="Q14" s="426"/>
      <c r="R14" s="426"/>
      <c r="S14" s="426"/>
      <c r="T14" s="426"/>
      <c r="U14" s="426"/>
      <c r="V14" s="426"/>
      <c r="W14" s="426"/>
      <c r="X14" s="427"/>
    </row>
    <row r="15" spans="1:24">
      <c r="A15" s="63" t="s">
        <v>53</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115</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116</v>
      </c>
      <c r="B17" s="75" t="e">
        <f>MAX(#REF!,#REF!)</f>
        <v>#REF!</v>
      </c>
      <c r="C17" s="428"/>
      <c r="D17" s="428"/>
      <c r="E17" s="428"/>
      <c r="F17" s="428"/>
      <c r="G17" s="428"/>
      <c r="H17" s="428"/>
      <c r="I17" s="428"/>
      <c r="J17" s="428"/>
      <c r="K17" s="428"/>
      <c r="L17" s="428"/>
      <c r="M17" s="428"/>
      <c r="N17" s="428"/>
      <c r="O17" s="428"/>
      <c r="P17" s="428"/>
      <c r="Q17" s="428"/>
      <c r="R17" s="428"/>
      <c r="S17" s="428"/>
      <c r="T17" s="428"/>
      <c r="U17" s="428"/>
      <c r="V17" s="428"/>
      <c r="W17" s="428"/>
      <c r="X17" s="429"/>
    </row>
    <row r="18" spans="1:24" ht="15.75" thickBot="1">
      <c r="A18" s="63" t="s">
        <v>114</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1"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13" workbookViewId="0">
      <selection activeCell="M31" sqref="M31"/>
    </sheetView>
  </sheetViews>
  <sheetFormatPr defaultRowHeight="15"/>
  <cols>
    <col min="1" max="1" width="30" bestFit="1" customWidth="1"/>
    <col min="12" max="12" width="11" customWidth="1"/>
  </cols>
  <sheetData>
    <row r="1" spans="1:14">
      <c r="A1" s="123" t="str">
        <f>'Annual Report input'!D2</f>
        <v>Eicher Motors</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32" t="s">
        <v>232</v>
      </c>
      <c r="B3" s="432"/>
      <c r="C3" s="432"/>
      <c r="D3" s="432"/>
      <c r="E3" s="432"/>
      <c r="F3" s="432"/>
      <c r="G3" s="432"/>
      <c r="H3" s="432"/>
      <c r="I3" s="432"/>
      <c r="J3" s="432"/>
      <c r="K3" s="125"/>
      <c r="L3" s="126"/>
      <c r="M3" s="126"/>
      <c r="N3" s="126"/>
    </row>
    <row r="4" spans="1:14">
      <c r="A4" s="127" t="str">
        <f>'Screener Input'!A1</f>
        <v>COMPANY NAME</v>
      </c>
      <c r="B4" s="180"/>
      <c r="C4" s="180">
        <f>EOMONTH('Screener Input'!B$16,-1)+1</f>
        <v>39783</v>
      </c>
      <c r="D4" s="180">
        <f>EOMONTH('Screener Input'!C$16,-1)+1</f>
        <v>40148</v>
      </c>
      <c r="E4" s="180">
        <f>EOMONTH('Screener Input'!D$16,-1)+1</f>
        <v>40513</v>
      </c>
      <c r="F4" s="180">
        <f>EOMONTH('Screener Input'!E$16,-1)+1</f>
        <v>40878</v>
      </c>
      <c r="G4" s="180">
        <f>EOMONTH('Screener Input'!F$16,-1)+1</f>
        <v>41244</v>
      </c>
      <c r="H4" s="180">
        <f>EOMONTH('Screener Input'!G$16,-1)+1</f>
        <v>41609</v>
      </c>
      <c r="I4" s="180">
        <f>EOMONTH('Screener Input'!H$16,-1)+1</f>
        <v>41974</v>
      </c>
      <c r="J4" s="180">
        <f>EOMONTH('Screener Input'!I$16,-1)+1</f>
        <v>42430</v>
      </c>
      <c r="K4" s="180">
        <f>EOMONTH('Screener Input'!J$16,-1)+1</f>
        <v>42795</v>
      </c>
      <c r="L4" s="180">
        <f>EOMONTH('Screener Input'!K$16,-1)+1</f>
        <v>43160</v>
      </c>
      <c r="M4" s="180"/>
      <c r="N4" s="180"/>
    </row>
    <row r="5" spans="1:14">
      <c r="A5" s="128" t="s">
        <v>233</v>
      </c>
      <c r="B5" s="129"/>
      <c r="C5" s="129"/>
      <c r="D5" s="129"/>
      <c r="E5" s="129"/>
      <c r="F5" s="129"/>
      <c r="G5" s="129"/>
      <c r="H5" s="129"/>
      <c r="I5" s="129"/>
      <c r="J5" s="129"/>
      <c r="K5" s="129"/>
      <c r="L5" s="126"/>
      <c r="M5" s="126"/>
      <c r="N5" s="126"/>
    </row>
    <row r="6" spans="1:14" s="228" customFormat="1">
      <c r="A6" s="333" t="s">
        <v>234</v>
      </c>
      <c r="B6" s="334"/>
      <c r="C6" s="335">
        <f>'Screener Output.v0'!C54</f>
        <v>338.07</v>
      </c>
      <c r="D6" s="335">
        <f>'Screener Output.v0'!D54</f>
        <v>218.96</v>
      </c>
      <c r="E6" s="335">
        <f>'Screener Output.v0'!E54</f>
        <v>326.52</v>
      </c>
      <c r="F6" s="335">
        <f>'Screener Output.v0'!F54</f>
        <v>427.96</v>
      </c>
      <c r="G6" s="335">
        <f>'Screener Output.v0'!G54</f>
        <v>488.84</v>
      </c>
      <c r="H6" s="335">
        <f>'Screener Output.v0'!H54</f>
        <v>526.79999999999995</v>
      </c>
      <c r="I6" s="335">
        <f>'Screener Output.v0'!I54</f>
        <v>645.52</v>
      </c>
      <c r="J6" s="335">
        <f>'Screener Output.v0'!J54</f>
        <v>308.39</v>
      </c>
      <c r="K6" s="335">
        <f>'Screener Output.v0'!K54</f>
        <v>335.9</v>
      </c>
      <c r="L6" s="335">
        <f>'Screener Output.v0'!L54</f>
        <v>394.64</v>
      </c>
      <c r="M6" s="334"/>
      <c r="N6" s="334"/>
    </row>
    <row r="7" spans="1:14" s="244" customFormat="1">
      <c r="A7" s="130" t="s">
        <v>235</v>
      </c>
      <c r="B7" s="131"/>
      <c r="C7" s="273">
        <f t="shared" ref="C7:L7" si="0">C53</f>
        <v>180.19</v>
      </c>
      <c r="D7" s="273">
        <f t="shared" si="0"/>
        <v>232.53</v>
      </c>
      <c r="E7" s="273">
        <f t="shared" si="0"/>
        <v>260.93</v>
      </c>
      <c r="F7" s="273">
        <f t="shared" si="0"/>
        <v>344.58</v>
      </c>
      <c r="G7" s="273">
        <f t="shared" si="0"/>
        <v>445.87</v>
      </c>
      <c r="H7" s="273">
        <f t="shared" si="0"/>
        <v>512.5</v>
      </c>
      <c r="I7" s="273">
        <f t="shared" si="0"/>
        <v>562.16999999999996</v>
      </c>
      <c r="J7" s="273">
        <f t="shared" si="0"/>
        <v>32.64</v>
      </c>
      <c r="K7" s="273">
        <f t="shared" si="0"/>
        <v>50.04</v>
      </c>
      <c r="L7" s="273">
        <f t="shared" si="0"/>
        <v>68</v>
      </c>
      <c r="M7" s="131"/>
      <c r="N7" s="131"/>
    </row>
    <row r="8" spans="1:14">
      <c r="A8" s="130" t="s">
        <v>258</v>
      </c>
      <c r="B8" s="131"/>
      <c r="C8" s="273">
        <f t="shared" ref="C8:L8" si="1">C55</f>
        <v>1231.8</v>
      </c>
      <c r="D8" s="273">
        <f t="shared" si="1"/>
        <v>1170.6500000000001</v>
      </c>
      <c r="E8" s="273">
        <f t="shared" si="1"/>
        <v>1245.68</v>
      </c>
      <c r="F8" s="273">
        <f t="shared" si="1"/>
        <v>1191.51</v>
      </c>
      <c r="G8" s="273">
        <f t="shared" si="1"/>
        <v>803.5</v>
      </c>
      <c r="H8" s="273">
        <f t="shared" si="1"/>
        <v>682.56</v>
      </c>
      <c r="I8" s="273">
        <f t="shared" si="1"/>
        <v>353.32</v>
      </c>
      <c r="J8" s="273">
        <f t="shared" si="1"/>
        <v>49.17</v>
      </c>
      <c r="K8" s="273">
        <f t="shared" si="1"/>
        <v>25.06</v>
      </c>
      <c r="L8" s="273">
        <f t="shared" si="1"/>
        <v>1212</v>
      </c>
      <c r="M8" s="131"/>
      <c r="N8" s="131"/>
    </row>
    <row r="9" spans="1:14">
      <c r="A9" s="130" t="s">
        <v>20</v>
      </c>
      <c r="B9" s="131"/>
      <c r="C9" s="273">
        <f t="shared" ref="C9:L10" si="2">C47</f>
        <v>1948.81</v>
      </c>
      <c r="D9" s="273">
        <f t="shared" si="2"/>
        <v>1827.57</v>
      </c>
      <c r="E9" s="273">
        <f t="shared" si="2"/>
        <v>2061.0700000000002</v>
      </c>
      <c r="F9" s="273">
        <f t="shared" si="2"/>
        <v>2449.9899999999998</v>
      </c>
      <c r="G9" s="273">
        <f t="shared" si="2"/>
        <v>2372.4499999999998</v>
      </c>
      <c r="H9" s="273">
        <f t="shared" si="2"/>
        <v>2458.11</v>
      </c>
      <c r="I9" s="273">
        <f t="shared" si="2"/>
        <v>2682.37</v>
      </c>
      <c r="J9" s="273">
        <f t="shared" si="2"/>
        <v>682.1</v>
      </c>
      <c r="K9" s="273">
        <f t="shared" si="2"/>
        <v>788.59</v>
      </c>
      <c r="L9" s="273">
        <f t="shared" si="2"/>
        <v>2126.85</v>
      </c>
      <c r="M9" s="131"/>
      <c r="N9" s="131"/>
    </row>
    <row r="10" spans="1:14">
      <c r="A10" s="130" t="s">
        <v>11</v>
      </c>
      <c r="B10" s="131"/>
      <c r="C10" s="273">
        <f t="shared" si="2"/>
        <v>1066.73</v>
      </c>
      <c r="D10" s="273">
        <f t="shared" si="2"/>
        <v>1316.05</v>
      </c>
      <c r="E10" s="273">
        <f t="shared" si="2"/>
        <v>1646.59</v>
      </c>
      <c r="F10" s="273">
        <f t="shared" si="2"/>
        <v>2282.9699999999998</v>
      </c>
      <c r="G10" s="273">
        <f t="shared" si="2"/>
        <v>2729.3</v>
      </c>
      <c r="H10" s="273">
        <f t="shared" si="2"/>
        <v>3263.98</v>
      </c>
      <c r="I10" s="273">
        <f t="shared" si="2"/>
        <v>3913.97</v>
      </c>
      <c r="J10" s="273">
        <f t="shared" si="2"/>
        <v>1278.75</v>
      </c>
      <c r="K10" s="273">
        <f t="shared" si="2"/>
        <v>1565.35</v>
      </c>
      <c r="L10" s="273">
        <f t="shared" si="2"/>
        <v>2361.6799999999998</v>
      </c>
      <c r="M10" s="131"/>
      <c r="N10" s="131"/>
    </row>
    <row r="11" spans="1:14">
      <c r="A11" s="130" t="s">
        <v>236</v>
      </c>
      <c r="B11" s="131"/>
      <c r="C11" s="273">
        <f t="shared" ref="C11:L11" si="3">C9-C10</f>
        <v>882.07999999999993</v>
      </c>
      <c r="D11" s="273">
        <f t="shared" si="3"/>
        <v>511.52</v>
      </c>
      <c r="E11" s="273">
        <f t="shared" si="3"/>
        <v>414.48000000000025</v>
      </c>
      <c r="F11" s="273">
        <f t="shared" si="3"/>
        <v>167.01999999999998</v>
      </c>
      <c r="G11" s="273">
        <f t="shared" si="3"/>
        <v>-356.85000000000036</v>
      </c>
      <c r="H11" s="273">
        <f t="shared" si="3"/>
        <v>-805.86999999999989</v>
      </c>
      <c r="I11" s="273">
        <f t="shared" si="3"/>
        <v>-1231.5999999999999</v>
      </c>
      <c r="J11" s="273">
        <f t="shared" si="3"/>
        <v>-596.65</v>
      </c>
      <c r="K11" s="273">
        <f t="shared" si="3"/>
        <v>-776.75999999999988</v>
      </c>
      <c r="L11" s="273">
        <f t="shared" si="3"/>
        <v>-234.82999999999993</v>
      </c>
      <c r="M11" s="131"/>
      <c r="N11" s="131"/>
    </row>
    <row r="12" spans="1:14">
      <c r="A12" s="433"/>
      <c r="B12" s="433"/>
      <c r="C12" s="433"/>
      <c r="D12" s="433"/>
      <c r="E12" s="433"/>
      <c r="F12" s="433"/>
      <c r="G12" s="433"/>
      <c r="H12" s="433"/>
      <c r="I12" s="433"/>
      <c r="J12" s="433"/>
      <c r="K12" s="433"/>
      <c r="L12" s="126"/>
      <c r="M12" s="126"/>
      <c r="N12" s="126"/>
    </row>
    <row r="13" spans="1:14">
      <c r="A13" s="432" t="s">
        <v>237</v>
      </c>
      <c r="B13" s="432"/>
      <c r="C13" s="432"/>
      <c r="D13" s="432"/>
      <c r="E13" s="432"/>
      <c r="F13" s="432"/>
      <c r="G13" s="432"/>
      <c r="H13" s="432"/>
      <c r="I13" s="432"/>
      <c r="J13" s="432"/>
      <c r="K13" s="132"/>
      <c r="L13" s="126"/>
      <c r="M13" s="126"/>
      <c r="N13" s="126"/>
    </row>
    <row r="14" spans="1:14">
      <c r="A14" s="133" t="s">
        <v>238</v>
      </c>
      <c r="B14" s="180"/>
      <c r="C14" s="180">
        <f t="shared" ref="C14:L14" si="4">C4</f>
        <v>39783</v>
      </c>
      <c r="D14" s="180">
        <f t="shared" si="4"/>
        <v>40148</v>
      </c>
      <c r="E14" s="180">
        <f t="shared" si="4"/>
        <v>40513</v>
      </c>
      <c r="F14" s="180">
        <f t="shared" si="4"/>
        <v>40878</v>
      </c>
      <c r="G14" s="180">
        <f t="shared" si="4"/>
        <v>41244</v>
      </c>
      <c r="H14" s="180">
        <f t="shared" si="4"/>
        <v>41609</v>
      </c>
      <c r="I14" s="180">
        <f t="shared" si="4"/>
        <v>41974</v>
      </c>
      <c r="J14" s="180">
        <f t="shared" si="4"/>
        <v>42430</v>
      </c>
      <c r="K14" s="180">
        <f t="shared" si="4"/>
        <v>42795</v>
      </c>
      <c r="L14" s="180">
        <f t="shared" si="4"/>
        <v>43160</v>
      </c>
      <c r="M14" s="180"/>
      <c r="N14" s="180"/>
    </row>
    <row r="15" spans="1:14">
      <c r="A15" s="134" t="s">
        <v>15</v>
      </c>
      <c r="B15" s="135"/>
      <c r="C15" s="135">
        <f>'Screener Input'!B18</f>
        <v>1382.96</v>
      </c>
      <c r="D15" s="135">
        <f>'Screener Input'!C18</f>
        <v>2113.23</v>
      </c>
      <c r="E15" s="135">
        <f>'Screener Input'!D18</f>
        <v>3391.21</v>
      </c>
      <c r="F15" s="135">
        <f>'Screener Input'!E18</f>
        <v>4186.3999999999996</v>
      </c>
      <c r="G15" s="135">
        <f>'Screener Input'!F18</f>
        <v>4628.37</v>
      </c>
      <c r="H15" s="135">
        <f>'Screener Input'!G18</f>
        <v>4658.25</v>
      </c>
      <c r="I15" s="135">
        <f>'Screener Input'!H18</f>
        <v>5855.79</v>
      </c>
      <c r="J15" s="135">
        <f>'Screener Input'!I18</f>
        <v>3497.73</v>
      </c>
      <c r="K15" s="135">
        <f>'Screener Input'!J18</f>
        <v>3725.72</v>
      </c>
      <c r="L15" s="135">
        <f>'Screener Input'!K18</f>
        <v>4679.07</v>
      </c>
      <c r="M15" s="135"/>
      <c r="N15" s="135"/>
    </row>
    <row r="16" spans="1:14">
      <c r="A16" s="134" t="s">
        <v>239</v>
      </c>
      <c r="B16" s="135"/>
      <c r="C16" s="135">
        <f>'Screener Input'!B22</f>
        <v>156.11000000000001</v>
      </c>
      <c r="D16" s="135">
        <f>'Screener Input'!C22</f>
        <v>215.17</v>
      </c>
      <c r="E16" s="135">
        <f>'Screener Input'!D22</f>
        <v>263.11</v>
      </c>
      <c r="F16" s="135">
        <f>'Screener Input'!E22</f>
        <v>345.56</v>
      </c>
      <c r="G16" s="135">
        <f>'Screener Input'!F22</f>
        <v>457.26</v>
      </c>
      <c r="H16" s="135">
        <f>'Screener Input'!G22</f>
        <v>533.34</v>
      </c>
      <c r="I16" s="135">
        <f>'Screener Input'!H22</f>
        <v>659.64</v>
      </c>
      <c r="J16" s="135">
        <f>'Screener Input'!I22</f>
        <v>350.21</v>
      </c>
      <c r="K16" s="135">
        <f>'Screener Input'!J22</f>
        <v>426.28</v>
      </c>
      <c r="L16" s="135">
        <f>'Screener Input'!K22</f>
        <v>573.67999999999995</v>
      </c>
      <c r="M16" s="135"/>
      <c r="N16" s="135"/>
    </row>
    <row r="17" spans="1:15">
      <c r="A17" s="134" t="s">
        <v>240</v>
      </c>
      <c r="B17" s="135"/>
      <c r="C17" s="135">
        <f>'Screener Input'!B23</f>
        <v>192.18</v>
      </c>
      <c r="D17" s="135">
        <f>'Screener Input'!C23</f>
        <v>265.98</v>
      </c>
      <c r="E17" s="135">
        <f>'Screener Input'!D23</f>
        <v>331.97</v>
      </c>
      <c r="F17" s="135">
        <f>'Screener Input'!E23</f>
        <v>431.17</v>
      </c>
      <c r="G17" s="135">
        <f>'Screener Input'!F23</f>
        <v>543.51</v>
      </c>
      <c r="H17" s="135">
        <f>'Screener Input'!G23</f>
        <v>583.03</v>
      </c>
      <c r="I17" s="135">
        <f>'Screener Input'!H23</f>
        <v>674.42</v>
      </c>
      <c r="J17" s="135">
        <f>'Screener Input'!I23</f>
        <v>397.4</v>
      </c>
      <c r="K17" s="135">
        <f>'Screener Input'!J23</f>
        <v>412.25</v>
      </c>
      <c r="L17" s="135">
        <f>'Screener Input'!K23</f>
        <v>554.55999999999995</v>
      </c>
      <c r="M17" s="135"/>
      <c r="N17" s="135"/>
    </row>
    <row r="18" spans="1:15">
      <c r="A18" s="134" t="s">
        <v>241</v>
      </c>
      <c r="B18" s="135"/>
      <c r="C18" s="135"/>
      <c r="D18" s="135"/>
      <c r="E18" s="135"/>
      <c r="F18" s="135"/>
      <c r="G18" s="135"/>
      <c r="H18" s="135"/>
      <c r="I18" s="135"/>
      <c r="J18" s="135"/>
      <c r="K18" s="135"/>
      <c r="L18" s="135"/>
      <c r="M18" s="135"/>
      <c r="N18" s="135"/>
    </row>
    <row r="19" spans="1:15">
      <c r="A19" s="134" t="s">
        <v>242</v>
      </c>
      <c r="B19" s="135"/>
      <c r="C19" s="135"/>
      <c r="D19" s="135"/>
      <c r="E19" s="135"/>
      <c r="F19" s="135"/>
      <c r="G19" s="135"/>
      <c r="H19" s="135"/>
      <c r="I19" s="135"/>
      <c r="J19" s="135"/>
      <c r="K19" s="135"/>
      <c r="L19" s="135"/>
      <c r="M19" s="135"/>
      <c r="N19" s="135"/>
    </row>
    <row r="20" spans="1:15">
      <c r="A20" s="134" t="s">
        <v>243</v>
      </c>
      <c r="B20" s="135"/>
      <c r="C20" s="135">
        <f>'Screener Input'!B20</f>
        <v>12.63</v>
      </c>
      <c r="D20" s="135">
        <f>'Screener Input'!C20</f>
        <v>20.86</v>
      </c>
      <c r="E20" s="135">
        <f>'Screener Input'!D20</f>
        <v>29.05</v>
      </c>
      <c r="F20" s="135">
        <f>'Screener Input'!E20</f>
        <v>35.03</v>
      </c>
      <c r="G20" s="135">
        <f>'Screener Input'!F20</f>
        <v>46.11</v>
      </c>
      <c r="H20" s="135">
        <f>'Screener Input'!G20</f>
        <v>61.45</v>
      </c>
      <c r="I20" s="135">
        <f>'Screener Input'!H20</f>
        <v>74.069999999999993</v>
      </c>
      <c r="J20" s="135">
        <f>'Screener Input'!I20</f>
        <v>46.18</v>
      </c>
      <c r="K20" s="135">
        <f>'Screener Input'!J20</f>
        <v>46.02</v>
      </c>
      <c r="L20" s="135">
        <f>'Screener Input'!K20</f>
        <v>52.41</v>
      </c>
      <c r="M20" s="135"/>
      <c r="N20" s="135"/>
    </row>
    <row r="21" spans="1:15">
      <c r="A21" s="134" t="s">
        <v>244</v>
      </c>
      <c r="B21" s="135"/>
      <c r="C21" s="135">
        <f>'Screener Input'!B24</f>
        <v>41.72</v>
      </c>
      <c r="D21" s="135">
        <f>'Screener Input'!C24</f>
        <v>54.44</v>
      </c>
      <c r="E21" s="135">
        <f>'Screener Input'!D24</f>
        <v>51.68</v>
      </c>
      <c r="F21" s="135">
        <f>'Screener Input'!E24</f>
        <v>80.41</v>
      </c>
      <c r="G21" s="135">
        <f>'Screener Input'!F24</f>
        <v>102.52</v>
      </c>
      <c r="H21" s="135">
        <f>'Screener Input'!G24</f>
        <v>153.29</v>
      </c>
      <c r="I21" s="135">
        <f>'Screener Input'!H24</f>
        <v>277.61</v>
      </c>
      <c r="J21" s="135">
        <f>'Screener Input'!I24</f>
        <v>81.16</v>
      </c>
      <c r="K21" s="135">
        <f>'Screener Input'!J24</f>
        <v>97.3</v>
      </c>
      <c r="L21" s="135">
        <f>'Screener Input'!K24</f>
        <v>122.43</v>
      </c>
      <c r="M21" s="135"/>
      <c r="N21" s="135"/>
    </row>
    <row r="22" spans="1:15">
      <c r="A22" s="134" t="s">
        <v>245</v>
      </c>
      <c r="B22" s="135"/>
      <c r="C22" s="135">
        <f>'Screener Output.v0'!L8</f>
        <v>1212</v>
      </c>
      <c r="D22" s="135"/>
      <c r="E22" s="135"/>
      <c r="F22" s="135"/>
      <c r="G22" s="136"/>
      <c r="H22" s="136"/>
      <c r="I22" s="136"/>
      <c r="J22" s="136"/>
      <c r="K22" s="134"/>
      <c r="L22" s="137"/>
      <c r="M22" s="137"/>
      <c r="N22" s="137"/>
    </row>
    <row r="23" spans="1:15">
      <c r="A23" s="138" t="s">
        <v>113</v>
      </c>
      <c r="B23" s="135"/>
      <c r="C23" s="135"/>
      <c r="D23" s="135">
        <f t="shared" ref="D23:L23" si="5">(D50-C50)+(D51-C51)+D30</f>
        <v>48.649999999999956</v>
      </c>
      <c r="E23" s="135">
        <f t="shared" si="5"/>
        <v>136.26</v>
      </c>
      <c r="F23" s="135">
        <f t="shared" si="5"/>
        <v>465.96000000000004</v>
      </c>
      <c r="G23" s="135">
        <f t="shared" si="5"/>
        <v>721.62999999999988</v>
      </c>
      <c r="H23" s="135">
        <f t="shared" si="5"/>
        <v>753.60000000000014</v>
      </c>
      <c r="I23" s="135">
        <f t="shared" si="5"/>
        <v>828.2199999999998</v>
      </c>
      <c r="J23" s="135">
        <f t="shared" si="5"/>
        <v>-1707.4599999999998</v>
      </c>
      <c r="K23" s="135">
        <f t="shared" si="5"/>
        <v>516.29</v>
      </c>
      <c r="L23" s="135">
        <f t="shared" si="5"/>
        <v>811.65000000000009</v>
      </c>
      <c r="M23" s="135"/>
      <c r="N23" s="135"/>
    </row>
    <row r="24" spans="1:15" ht="18">
      <c r="A24" s="139" t="str">
        <f>'Screener Input'!A1</f>
        <v>COMPANY NAME</v>
      </c>
      <c r="B24" s="180"/>
      <c r="C24" s="180">
        <f t="shared" ref="C24:L24" si="6">C14</f>
        <v>39783</v>
      </c>
      <c r="D24" s="180">
        <f t="shared" si="6"/>
        <v>40148</v>
      </c>
      <c r="E24" s="180">
        <f t="shared" si="6"/>
        <v>40513</v>
      </c>
      <c r="F24" s="180">
        <f t="shared" si="6"/>
        <v>40878</v>
      </c>
      <c r="G24" s="180">
        <f t="shared" si="6"/>
        <v>41244</v>
      </c>
      <c r="H24" s="180">
        <f t="shared" si="6"/>
        <v>41609</v>
      </c>
      <c r="I24" s="180">
        <f t="shared" si="6"/>
        <v>41974</v>
      </c>
      <c r="J24" s="180">
        <f t="shared" si="6"/>
        <v>42430</v>
      </c>
      <c r="K24" s="180">
        <f t="shared" si="6"/>
        <v>42795</v>
      </c>
      <c r="L24" s="180">
        <f t="shared" si="6"/>
        <v>43160</v>
      </c>
      <c r="M24" s="180" t="s">
        <v>406</v>
      </c>
      <c r="N24" s="180" t="s">
        <v>407</v>
      </c>
    </row>
    <row r="25" spans="1:15">
      <c r="A25" s="140" t="s">
        <v>14</v>
      </c>
      <c r="B25" s="140"/>
      <c r="C25" s="223">
        <f>'Screener Input'!B17+'Screener Input'!B25</f>
        <v>1828.2</v>
      </c>
      <c r="D25" s="223">
        <f>'Screener Input'!C17+'Screener Input'!C25</f>
        <v>3050.53</v>
      </c>
      <c r="E25" s="223">
        <f>'Screener Input'!D17+'Screener Input'!D25</f>
        <v>4534.43</v>
      </c>
      <c r="F25" s="223">
        <f>'Screener Input'!E17+'Screener Input'!E25</f>
        <v>5826.9</v>
      </c>
      <c r="G25" s="223">
        <f>'Screener Input'!F17+'Screener Input'!F25</f>
        <v>6526.5300000000007</v>
      </c>
      <c r="H25" s="223">
        <f>'Screener Input'!G17+'Screener Input'!G25</f>
        <v>6905.09</v>
      </c>
      <c r="I25" s="223">
        <f>'Screener Input'!H17+'Screener Input'!H25</f>
        <v>8845.76</v>
      </c>
      <c r="J25" s="223">
        <f>'Screener Input'!I17+'Screener Input'!I25</f>
        <v>6499.49</v>
      </c>
      <c r="K25" s="223">
        <f>'Screener Input'!J17+'Screener Input'!J25</f>
        <v>7450.16</v>
      </c>
      <c r="L25" s="223">
        <f>'Screener Input'!K17+'Screener Input'!K25</f>
        <v>9501.619999999999</v>
      </c>
      <c r="M25" s="223">
        <f>SUM('Screener Input'!H42:K42)+SUM('Screener Input'!H44:K44)</f>
        <v>10047.24</v>
      </c>
      <c r="N25" s="223">
        <f>SUM('Screener Input'!D42:G42)+SUM('Screener Input'!D44:G44)</f>
        <v>7879.67</v>
      </c>
    </row>
    <row r="26" spans="1:15" s="228" customFormat="1" ht="14.25" customHeight="1">
      <c r="A26" s="145" t="s">
        <v>226</v>
      </c>
      <c r="B26" s="145"/>
      <c r="C26" s="331">
        <f>'Screener Input'!B17</f>
        <v>1716.76</v>
      </c>
      <c r="D26" s="331">
        <f>'Screener Input'!C17</f>
        <v>2938.63</v>
      </c>
      <c r="E26" s="331">
        <f>'Screener Input'!D17</f>
        <v>4397.08</v>
      </c>
      <c r="F26" s="331">
        <f>'Screener Input'!E17</f>
        <v>5684.42</v>
      </c>
      <c r="G26" s="331">
        <f>'Screener Input'!F17</f>
        <v>6389.89</v>
      </c>
      <c r="H26" s="331">
        <f>'Screener Input'!G17</f>
        <v>6809.8</v>
      </c>
      <c r="I26" s="331">
        <f>'Screener Input'!H17</f>
        <v>8738.32</v>
      </c>
      <c r="J26" s="331">
        <f>'Screener Input'!I17</f>
        <v>6173.46</v>
      </c>
      <c r="K26" s="331">
        <f>'Screener Input'!J17</f>
        <v>7033.36</v>
      </c>
      <c r="L26" s="331">
        <f>'Screener Input'!K17</f>
        <v>8964.9599999999991</v>
      </c>
      <c r="M26" s="331">
        <f>SUM('Screener Input'!H42:K42)</f>
        <v>9512.07</v>
      </c>
      <c r="N26" s="331">
        <f>SUM('Screener Input'!D42:G42)</f>
        <v>7478.31</v>
      </c>
    </row>
    <row r="27" spans="1:15">
      <c r="A27" s="140" t="str">
        <f t="shared" ref="A27:L27" si="7">A15</f>
        <v>Raw Materials</v>
      </c>
      <c r="B27" s="140"/>
      <c r="C27" s="223">
        <f t="shared" si="7"/>
        <v>1382.96</v>
      </c>
      <c r="D27" s="223">
        <f t="shared" si="7"/>
        <v>2113.23</v>
      </c>
      <c r="E27" s="223">
        <f t="shared" si="7"/>
        <v>3391.21</v>
      </c>
      <c r="F27" s="223">
        <f t="shared" si="7"/>
        <v>4186.3999999999996</v>
      </c>
      <c r="G27" s="223">
        <f t="shared" si="7"/>
        <v>4628.37</v>
      </c>
      <c r="H27" s="223">
        <f t="shared" si="7"/>
        <v>4658.25</v>
      </c>
      <c r="I27" s="223">
        <f t="shared" si="7"/>
        <v>5855.79</v>
      </c>
      <c r="J27" s="223">
        <f t="shared" si="7"/>
        <v>3497.73</v>
      </c>
      <c r="K27" s="223">
        <f t="shared" si="7"/>
        <v>3725.72</v>
      </c>
      <c r="L27" s="223">
        <f t="shared" si="7"/>
        <v>4679.07</v>
      </c>
      <c r="M27" s="223"/>
      <c r="N27" s="223"/>
    </row>
    <row r="28" spans="1:15">
      <c r="A28" s="140" t="s">
        <v>246</v>
      </c>
      <c r="B28" s="140"/>
      <c r="C28" s="223">
        <f t="shared" ref="C28:L28" si="8">C26-C27</f>
        <v>333.79999999999995</v>
      </c>
      <c r="D28" s="223">
        <f t="shared" si="8"/>
        <v>825.40000000000009</v>
      </c>
      <c r="E28" s="223">
        <f t="shared" si="8"/>
        <v>1005.8699999999999</v>
      </c>
      <c r="F28" s="223">
        <f t="shared" si="8"/>
        <v>1498.0200000000004</v>
      </c>
      <c r="G28" s="223">
        <f t="shared" si="8"/>
        <v>1761.5200000000004</v>
      </c>
      <c r="H28" s="223">
        <f t="shared" si="8"/>
        <v>2151.5500000000002</v>
      </c>
      <c r="I28" s="223">
        <f t="shared" si="8"/>
        <v>2882.5299999999997</v>
      </c>
      <c r="J28" s="223">
        <f t="shared" si="8"/>
        <v>2675.73</v>
      </c>
      <c r="K28" s="223">
        <f t="shared" si="8"/>
        <v>3307.64</v>
      </c>
      <c r="L28" s="223">
        <f t="shared" si="8"/>
        <v>4285.8899999999994</v>
      </c>
      <c r="M28" s="223"/>
      <c r="N28" s="223"/>
    </row>
    <row r="29" spans="1:15" s="244" customFormat="1">
      <c r="A29" s="142" t="s">
        <v>57</v>
      </c>
      <c r="B29" s="142"/>
      <c r="C29" s="225">
        <f>'Screener Input'!B17-'Screener Input'!B18-'Screener Input'!B20-'Screener Input'!B21-'Screener Input'!B22-'Screener Input'!B23-'Screener Input'!B24+'Screener Input'!B25+'Screener Input'!B19</f>
        <v>105.27999999999994</v>
      </c>
      <c r="D29" s="225">
        <f>'Screener Input'!C17-'Screener Input'!C18-'Screener Input'!C20-'Screener Input'!C21-'Screener Input'!C22-'Screener Input'!C23-'Screener Input'!C24+'Screener Input'!C25+'Screener Input'!C19</f>
        <v>249.73000000000008</v>
      </c>
      <c r="E29" s="225">
        <f>'Screener Input'!D17-'Screener Input'!D18-'Screener Input'!D20-'Screener Input'!D21-'Screener Input'!D22-'Screener Input'!D23-'Screener Input'!D24+'Screener Input'!D25+'Screener Input'!D19</f>
        <v>484.46999999999991</v>
      </c>
      <c r="F29" s="225">
        <f>'Screener Input'!E17-'Screener Input'!E18-'Screener Input'!E20-'Screener Input'!E21-'Screener Input'!E22-'Screener Input'!E23-'Screener Input'!E24+'Screener Input'!E25+'Screener Input'!E19</f>
        <v>731.8300000000005</v>
      </c>
      <c r="G29" s="225">
        <f>'Screener Input'!F17-'Screener Input'!F18-'Screener Input'!F20-'Screener Input'!F21-'Screener Input'!F22-'Screener Input'!F23-'Screener Input'!F24+'Screener Input'!F25+'Screener Input'!F19</f>
        <v>683.60000000000059</v>
      </c>
      <c r="H29" s="225">
        <f>'Screener Input'!G17-'Screener Input'!G18-'Screener Input'!G20-'Screener Input'!G21-'Screener Input'!G22-'Screener Input'!G23-'Screener Input'!G24+'Screener Input'!G25+'Screener Input'!G19</f>
        <v>806.76000000000056</v>
      </c>
      <c r="I29" s="225">
        <f>'Screener Input'!H17-'Screener Input'!H18-'Screener Input'!H20-'Screener Input'!H21-'Screener Input'!H22-'Screener Input'!H23-'Screener Input'!H24+'Screener Input'!H25+'Screener Input'!H19</f>
        <v>1217.1299999999994</v>
      </c>
      <c r="J29" s="225">
        <f>'Screener Input'!I17-'Screener Input'!I18-'Screener Input'!I20-'Screener Input'!I21-'Screener Input'!I22-'Screener Input'!I23-'Screener Input'!I24+'Screener Input'!I25+'Screener Input'!I19</f>
        <v>2015.0999999999997</v>
      </c>
      <c r="K29" s="225">
        <f>'Screener Input'!J17-'Screener Input'!J18-'Screener Input'!J20-'Screener Input'!J21-'Screener Input'!J22-'Screener Input'!J23-'Screener Input'!J24+'Screener Input'!J25+'Screener Input'!J19</f>
        <v>2589.11</v>
      </c>
      <c r="L29" s="225">
        <f>'Screener Input'!K17-'Screener Input'!K18-'Screener Input'!K20-'Screener Input'!K21-'Screener Input'!K22-'Screener Input'!K23-'Screener Input'!K24+'Screener Input'!K25+'Screener Input'!K19</f>
        <v>3342.5799999999995</v>
      </c>
      <c r="M29" s="225">
        <f>SUM('Screener Input'!H50:K50)+SUM('Screener Input'!H44:K44)</f>
        <v>3334.25</v>
      </c>
      <c r="N29" s="225">
        <f>SUM('Screener Input'!D50:G50)</f>
        <v>2303.41</v>
      </c>
      <c r="O29" s="332"/>
    </row>
    <row r="30" spans="1:15">
      <c r="A30" s="140" t="s">
        <v>247</v>
      </c>
      <c r="B30" s="140"/>
      <c r="C30" s="223">
        <f>'Screener Input'!B26</f>
        <v>36.89</v>
      </c>
      <c r="D30" s="223">
        <f>'Screener Input'!C26</f>
        <v>53.88</v>
      </c>
      <c r="E30" s="223">
        <f>'Screener Input'!D26</f>
        <v>57.3</v>
      </c>
      <c r="F30" s="223">
        <f>'Screener Input'!E26</f>
        <v>63.96</v>
      </c>
      <c r="G30" s="223">
        <f>'Screener Input'!F26</f>
        <v>82.17</v>
      </c>
      <c r="H30" s="223">
        <f>'Screener Input'!G26</f>
        <v>130.04</v>
      </c>
      <c r="I30" s="223">
        <f>'Screener Input'!H26</f>
        <v>219.82</v>
      </c>
      <c r="J30" s="223">
        <f>'Screener Input'!I26</f>
        <v>136.6</v>
      </c>
      <c r="K30" s="223">
        <f>'Screener Input'!J26</f>
        <v>153.81</v>
      </c>
      <c r="L30" s="223">
        <f>'Screener Input'!K26</f>
        <v>223.3</v>
      </c>
      <c r="M30" s="223">
        <f>SUM('Screener Input'!H45:K45)</f>
        <v>248.23</v>
      </c>
      <c r="N30" s="223"/>
    </row>
    <row r="31" spans="1:15">
      <c r="A31" s="140" t="s">
        <v>248</v>
      </c>
      <c r="B31" s="140"/>
      <c r="C31" s="223">
        <f t="shared" ref="C31:M31" si="9">C29-C30</f>
        <v>68.389999999999944</v>
      </c>
      <c r="D31" s="223">
        <f t="shared" si="9"/>
        <v>195.85000000000008</v>
      </c>
      <c r="E31" s="223">
        <f t="shared" si="9"/>
        <v>427.1699999999999</v>
      </c>
      <c r="F31" s="223">
        <f t="shared" si="9"/>
        <v>667.87000000000046</v>
      </c>
      <c r="G31" s="223">
        <f t="shared" si="9"/>
        <v>601.43000000000063</v>
      </c>
      <c r="H31" s="223">
        <f t="shared" si="9"/>
        <v>676.7200000000006</v>
      </c>
      <c r="I31" s="223">
        <f t="shared" si="9"/>
        <v>997.30999999999949</v>
      </c>
      <c r="J31" s="223">
        <f t="shared" si="9"/>
        <v>1878.4999999999998</v>
      </c>
      <c r="K31" s="223">
        <f t="shared" si="9"/>
        <v>2435.3000000000002</v>
      </c>
      <c r="L31" s="223">
        <f t="shared" si="9"/>
        <v>3119.2799999999993</v>
      </c>
      <c r="M31" s="223">
        <f t="shared" si="9"/>
        <v>3086.02</v>
      </c>
      <c r="N31" s="223"/>
    </row>
    <row r="32" spans="1:15">
      <c r="A32" s="140" t="s">
        <v>17</v>
      </c>
      <c r="B32" s="140"/>
      <c r="C32" s="223">
        <f>'Screener Input'!B27</f>
        <v>9.93</v>
      </c>
      <c r="D32" s="223">
        <f>'Screener Input'!C27</f>
        <v>8.67</v>
      </c>
      <c r="E32" s="223">
        <f>'Screener Input'!D27</f>
        <v>9.5</v>
      </c>
      <c r="F32" s="223">
        <f>'Screener Input'!E27</f>
        <v>7.67</v>
      </c>
      <c r="G32" s="223">
        <f>'Screener Input'!F27</f>
        <v>3.79</v>
      </c>
      <c r="H32" s="223">
        <f>'Screener Input'!G27</f>
        <v>7.88</v>
      </c>
      <c r="I32" s="223">
        <f>'Screener Input'!H27</f>
        <v>9.7799999999999994</v>
      </c>
      <c r="J32" s="223">
        <f>'Screener Input'!I27</f>
        <v>2.12</v>
      </c>
      <c r="K32" s="223">
        <f>'Screener Input'!J27</f>
        <v>3.56</v>
      </c>
      <c r="L32" s="223">
        <f>'Screener Input'!K27</f>
        <v>5.34</v>
      </c>
      <c r="M32" s="223">
        <f>SUM('Screener Input'!H46:K46)</f>
        <v>5.7500000000000009</v>
      </c>
      <c r="N32" s="223"/>
    </row>
    <row r="33" spans="1:14">
      <c r="A33" s="140" t="s">
        <v>249</v>
      </c>
      <c r="B33" s="140"/>
      <c r="C33" s="223">
        <f t="shared" ref="C33:L33" si="10">C31-C32</f>
        <v>58.459999999999944</v>
      </c>
      <c r="D33" s="223">
        <f t="shared" si="10"/>
        <v>187.18000000000009</v>
      </c>
      <c r="E33" s="223">
        <f t="shared" si="10"/>
        <v>417.6699999999999</v>
      </c>
      <c r="F33" s="223">
        <f t="shared" si="10"/>
        <v>660.2000000000005</v>
      </c>
      <c r="G33" s="223">
        <f t="shared" si="10"/>
        <v>597.64000000000067</v>
      </c>
      <c r="H33" s="223">
        <f t="shared" si="10"/>
        <v>668.8400000000006</v>
      </c>
      <c r="I33" s="223">
        <f t="shared" si="10"/>
        <v>987.52999999999952</v>
      </c>
      <c r="J33" s="223">
        <f t="shared" si="10"/>
        <v>1876.3799999999999</v>
      </c>
      <c r="K33" s="223">
        <f t="shared" si="10"/>
        <v>2431.7400000000002</v>
      </c>
      <c r="L33" s="223">
        <f t="shared" si="10"/>
        <v>3113.9399999999991</v>
      </c>
      <c r="M33" s="223"/>
      <c r="N33" s="223"/>
    </row>
    <row r="34" spans="1:14">
      <c r="A34" s="140" t="s">
        <v>19</v>
      </c>
      <c r="B34" s="140"/>
      <c r="C34" s="223">
        <f>'Screener Input'!B29</f>
        <v>-8.5299999999999994</v>
      </c>
      <c r="D34" s="223">
        <f>'Screener Input'!C29</f>
        <v>57.82</v>
      </c>
      <c r="E34" s="223">
        <f>'Screener Input'!D29</f>
        <v>110.82</v>
      </c>
      <c r="F34" s="223">
        <f>'Screener Input'!E29</f>
        <v>162.80000000000001</v>
      </c>
      <c r="G34" s="223">
        <f>'Screener Input'!F29</f>
        <v>124.85</v>
      </c>
      <c r="H34" s="223">
        <f>'Screener Input'!G29</f>
        <v>145.18</v>
      </c>
      <c r="I34" s="223">
        <f>'Screener Input'!H29</f>
        <v>290.88</v>
      </c>
      <c r="J34" s="223">
        <f>'Screener Input'!I29</f>
        <v>538.88</v>
      </c>
      <c r="K34" s="223">
        <f>'Screener Input'!J29</f>
        <v>720.3</v>
      </c>
      <c r="L34" s="223">
        <f>'Screener Input'!K29</f>
        <v>935.93</v>
      </c>
      <c r="M34" s="223">
        <f>SUM('Screener Input'!H48:K48)</f>
        <v>1004.04</v>
      </c>
      <c r="N34" s="223"/>
    </row>
    <row r="35" spans="1:14">
      <c r="A35" s="140" t="s">
        <v>229</v>
      </c>
      <c r="B35" s="140"/>
      <c r="C35" s="223">
        <f t="shared" ref="C35:L35" si="11">C33-C34</f>
        <v>66.989999999999938</v>
      </c>
      <c r="D35" s="223">
        <f t="shared" si="11"/>
        <v>129.3600000000001</v>
      </c>
      <c r="E35" s="223">
        <f t="shared" si="11"/>
        <v>306.84999999999991</v>
      </c>
      <c r="F35" s="223">
        <f t="shared" si="11"/>
        <v>497.40000000000049</v>
      </c>
      <c r="G35" s="223">
        <f t="shared" si="11"/>
        <v>472.79000000000065</v>
      </c>
      <c r="H35" s="223">
        <f t="shared" si="11"/>
        <v>523.66000000000054</v>
      </c>
      <c r="I35" s="223">
        <f t="shared" si="11"/>
        <v>696.64999999999952</v>
      </c>
      <c r="J35" s="223">
        <f t="shared" si="11"/>
        <v>1337.5</v>
      </c>
      <c r="K35" s="223">
        <f t="shared" si="11"/>
        <v>1711.4400000000003</v>
      </c>
      <c r="L35" s="223">
        <f t="shared" si="11"/>
        <v>2178.0099999999993</v>
      </c>
      <c r="M35" s="223">
        <f>SUM('Screener Input'!H49:K49)</f>
        <v>2076.23</v>
      </c>
      <c r="N35" s="223"/>
    </row>
    <row r="36" spans="1:14">
      <c r="A36" s="140" t="s">
        <v>250</v>
      </c>
      <c r="B36" s="140"/>
      <c r="C36" s="223">
        <f>'Screener Input'!B31</f>
        <v>14.046975</v>
      </c>
      <c r="D36" s="223">
        <f>'Screener Input'!C31</f>
        <v>8.8620833000000001</v>
      </c>
      <c r="E36" s="223">
        <f>'Screener Input'!D31</f>
        <v>29.631561300000001</v>
      </c>
      <c r="F36" s="223">
        <f>'Screener Input'!E31</f>
        <v>43.188132799999998</v>
      </c>
      <c r="G36" s="223">
        <f>'Screener Input'!F31</f>
        <v>54.001966000000003</v>
      </c>
      <c r="H36" s="223">
        <f>'Screener Input'!G31</f>
        <v>81.116648999999995</v>
      </c>
      <c r="I36" s="223">
        <f>'Screener Input'!H31</f>
        <v>135.52391499999999</v>
      </c>
      <c r="J36" s="223">
        <f>'Screener Input'!I31</f>
        <v>271.61183</v>
      </c>
      <c r="K36" s="223">
        <f>'Screener Input'!J31</f>
        <v>272.10248999999999</v>
      </c>
      <c r="L36" s="223">
        <f>'Screener Input'!K31</f>
        <v>299.81103899999999</v>
      </c>
      <c r="M36" s="223"/>
      <c r="N36" s="223"/>
    </row>
    <row r="37" spans="1:14">
      <c r="A37" s="140" t="s">
        <v>3</v>
      </c>
      <c r="C37" s="223">
        <f>'Screener Input'!B90*'Screener Input'!B93</f>
        <v>742.38262874999998</v>
      </c>
      <c r="D37" s="223">
        <f>'Screener Input'!C90*'Screener Input'!C93</f>
        <v>255.44322106300004</v>
      </c>
      <c r="E37" s="223">
        <f>'Screener Input'!D90*'Screener Input'!D93</f>
        <v>1867.1116152960001</v>
      </c>
      <c r="F37" s="223">
        <f>'Screener Input'!E90*'Screener Input'!E93</f>
        <v>3415.1285937429998</v>
      </c>
      <c r="G37" s="223">
        <f>'Screener Input'!F90*'Screener Input'!F93</f>
        <v>5958.3609205759994</v>
      </c>
      <c r="H37" s="223">
        <f>'Screener Input'!G90*'Screener Input'!G93</f>
        <v>7468.3017178979999</v>
      </c>
      <c r="I37" s="223">
        <f>'Screener Input'!H90*'Screener Input'!H93</f>
        <v>16522.127049395</v>
      </c>
      <c r="J37" s="223">
        <f>'Screener Input'!I90*'Screener Input'!I93</f>
        <v>53602.431683401999</v>
      </c>
      <c r="K37" s="223">
        <f>'Screener Input'!J90*'Screener Input'!J93</f>
        <v>70249.244048280001</v>
      </c>
      <c r="L37" s="223">
        <f>'Screener Input'!K90*'Screener Input'!K93</f>
        <v>82979.246375010014</v>
      </c>
      <c r="M37" s="223"/>
      <c r="N37" s="223"/>
    </row>
    <row r="38" spans="1:14">
      <c r="A38" s="141" t="s">
        <v>251</v>
      </c>
      <c r="B38" s="192">
        <f>'Screener Input'!B9</f>
        <v>79066</v>
      </c>
      <c r="C38" s="434"/>
      <c r="D38" s="435"/>
      <c r="E38" s="435"/>
      <c r="F38" s="435"/>
      <c r="G38" s="435"/>
      <c r="H38" s="435"/>
      <c r="I38" s="435"/>
      <c r="J38" s="435"/>
      <c r="K38" s="436"/>
      <c r="L38" s="226">
        <f>L35+L34+L32+L30</f>
        <v>3342.5799999999995</v>
      </c>
      <c r="M38" s="126"/>
      <c r="N38" s="126"/>
    </row>
    <row r="39" spans="1:14">
      <c r="A39" s="141" t="s">
        <v>325</v>
      </c>
      <c r="C39" s="188"/>
      <c r="D39" s="188"/>
      <c r="E39" s="188"/>
      <c r="F39" s="188"/>
      <c r="G39" s="188"/>
      <c r="H39" s="188"/>
      <c r="I39" s="188"/>
      <c r="J39" s="188"/>
      <c r="K39" s="188"/>
      <c r="L39" s="126"/>
      <c r="N39" s="126"/>
    </row>
    <row r="40" spans="1:14">
      <c r="A40" s="142" t="s">
        <v>252</v>
      </c>
      <c r="B40" s="143"/>
      <c r="C40" s="223">
        <f>'Screener Input'!B57</f>
        <v>28.09</v>
      </c>
      <c r="D40" s="223">
        <f>'Screener Input'!C57</f>
        <v>12.66</v>
      </c>
      <c r="E40" s="223">
        <f>'Screener Input'!D57</f>
        <v>26.94</v>
      </c>
      <c r="F40" s="223">
        <f>'Screener Input'!E57</f>
        <v>26.99</v>
      </c>
      <c r="G40" s="223">
        <f>'Screener Input'!F57</f>
        <v>27</v>
      </c>
      <c r="H40" s="223">
        <f>'Screener Input'!G57</f>
        <v>27.04</v>
      </c>
      <c r="I40" s="223">
        <f>'Screener Input'!H57</f>
        <v>27.1</v>
      </c>
      <c r="J40" s="223">
        <f>'Screener Input'!I57</f>
        <v>27.16</v>
      </c>
      <c r="K40" s="223">
        <f>'Screener Input'!J57</f>
        <v>27.21</v>
      </c>
      <c r="L40" s="223">
        <f>'Screener Input'!K57</f>
        <v>27.26</v>
      </c>
      <c r="M40" s="223"/>
      <c r="N40" s="223"/>
    </row>
    <row r="41" spans="1:14">
      <c r="A41" s="142" t="s">
        <v>253</v>
      </c>
      <c r="B41" s="142"/>
      <c r="C41" s="225">
        <f>'Screener Input'!B58</f>
        <v>1075.5999999999999</v>
      </c>
      <c r="D41" s="225">
        <f>'Screener Input'!C58</f>
        <v>1042.3499999999999</v>
      </c>
      <c r="E41" s="225">
        <f>'Screener Input'!D58</f>
        <v>1205.2</v>
      </c>
      <c r="F41" s="225">
        <f>'Screener Input'!E58</f>
        <v>1466.14</v>
      </c>
      <c r="G41" s="225">
        <f>'Screener Input'!F58</f>
        <v>1727.89</v>
      </c>
      <c r="H41" s="225">
        <f>'Screener Input'!G58</f>
        <v>2028.38</v>
      </c>
      <c r="I41" s="225">
        <f>'Screener Input'!H58</f>
        <v>2488.7600000000002</v>
      </c>
      <c r="J41" s="225">
        <f>'Screener Input'!I58</f>
        <v>3625.93</v>
      </c>
      <c r="K41" s="225">
        <f>'Screener Input'!J58</f>
        <v>5317.86</v>
      </c>
      <c r="L41" s="225">
        <f>'Screener Input'!K58</f>
        <v>7002.81</v>
      </c>
      <c r="M41" s="225"/>
      <c r="N41" s="225"/>
    </row>
    <row r="42" spans="1:14">
      <c r="A42" s="142" t="s">
        <v>6</v>
      </c>
      <c r="B42" s="140"/>
      <c r="C42" s="223">
        <f t="shared" ref="C42:L42" si="12">C41+C40</f>
        <v>1103.6899999999998</v>
      </c>
      <c r="D42" s="223">
        <f t="shared" si="12"/>
        <v>1055.01</v>
      </c>
      <c r="E42" s="223">
        <f t="shared" si="12"/>
        <v>1232.1400000000001</v>
      </c>
      <c r="F42" s="223">
        <f t="shared" si="12"/>
        <v>1493.13</v>
      </c>
      <c r="G42" s="223">
        <f t="shared" si="12"/>
        <v>1754.89</v>
      </c>
      <c r="H42" s="223">
        <f t="shared" si="12"/>
        <v>2055.42</v>
      </c>
      <c r="I42" s="223">
        <f t="shared" si="12"/>
        <v>2515.86</v>
      </c>
      <c r="J42" s="223">
        <f t="shared" si="12"/>
        <v>3653.0899999999997</v>
      </c>
      <c r="K42" s="223">
        <f t="shared" si="12"/>
        <v>5345.07</v>
      </c>
      <c r="L42" s="223">
        <f t="shared" si="12"/>
        <v>7030.0700000000006</v>
      </c>
      <c r="M42" s="223"/>
      <c r="N42" s="223"/>
    </row>
    <row r="43" spans="1:14">
      <c r="A43" s="144" t="s">
        <v>7</v>
      </c>
      <c r="B43" s="145"/>
      <c r="C43" s="223"/>
      <c r="D43" s="223"/>
      <c r="E43" s="223"/>
      <c r="F43" s="223"/>
      <c r="G43" s="223"/>
      <c r="H43" s="223"/>
      <c r="I43" s="223"/>
      <c r="J43" s="223"/>
      <c r="K43" s="223"/>
      <c r="L43" s="226"/>
      <c r="M43" s="226"/>
      <c r="N43" s="226"/>
    </row>
    <row r="44" spans="1:14">
      <c r="A44" s="144" t="s">
        <v>8</v>
      </c>
      <c r="B44" s="145"/>
      <c r="C44" s="223"/>
      <c r="D44" s="223"/>
      <c r="E44" s="223"/>
      <c r="F44" s="223"/>
      <c r="G44" s="223"/>
      <c r="H44" s="223"/>
      <c r="I44" s="223"/>
      <c r="J44" s="223"/>
      <c r="K44" s="223"/>
      <c r="L44" s="226"/>
      <c r="M44" s="226"/>
      <c r="N44" s="226"/>
    </row>
    <row r="45" spans="1:14">
      <c r="A45" s="144" t="s">
        <v>254</v>
      </c>
      <c r="B45" s="142"/>
      <c r="C45" s="225">
        <f>'Screener Input'!B59</f>
        <v>165.61</v>
      </c>
      <c r="D45" s="225">
        <f>'Screener Input'!C59</f>
        <v>126.37</v>
      </c>
      <c r="E45" s="225">
        <f>'Screener Input'!D59</f>
        <v>95.64</v>
      </c>
      <c r="F45" s="225">
        <f>'Screener Input'!E59</f>
        <v>43.22</v>
      </c>
      <c r="G45" s="225">
        <f>'Screener Input'!F59</f>
        <v>22.93</v>
      </c>
      <c r="H45" s="225">
        <f>'Screener Input'!G59</f>
        <v>83.9</v>
      </c>
      <c r="I45" s="225">
        <f>'Screener Input'!H59</f>
        <v>58.36</v>
      </c>
      <c r="J45" s="225">
        <f>'Screener Input'!I59</f>
        <v>22.57</v>
      </c>
      <c r="K45" s="225">
        <f>'Screener Input'!J59</f>
        <v>111.85</v>
      </c>
      <c r="L45" s="225">
        <f>'Screener Input'!K59</f>
        <v>150.84</v>
      </c>
      <c r="M45" s="225"/>
      <c r="N45" s="225"/>
    </row>
    <row r="46" spans="1:14">
      <c r="A46" s="144" t="s">
        <v>255</v>
      </c>
      <c r="B46" s="142"/>
      <c r="C46" s="225">
        <f>'Screener Input'!B60</f>
        <v>1066.73</v>
      </c>
      <c r="D46" s="225">
        <f>'Screener Input'!C60</f>
        <v>1316.05</v>
      </c>
      <c r="E46" s="225">
        <f>'Screener Input'!D60</f>
        <v>1646.59</v>
      </c>
      <c r="F46" s="225">
        <f>'Screener Input'!E60</f>
        <v>2282.9699999999998</v>
      </c>
      <c r="G46" s="225">
        <f>'Screener Input'!F60</f>
        <v>2729.3</v>
      </c>
      <c r="H46" s="225">
        <f>'Screener Input'!G60</f>
        <v>3263.98</v>
      </c>
      <c r="I46" s="225">
        <f>'Screener Input'!H60</f>
        <v>3913.97</v>
      </c>
      <c r="J46" s="225">
        <f>'Screener Input'!I60</f>
        <v>1278.75</v>
      </c>
      <c r="K46" s="225">
        <f>'Screener Input'!J60</f>
        <v>1565.35</v>
      </c>
      <c r="L46" s="225">
        <f>'Screener Input'!K60</f>
        <v>2361.6799999999998</v>
      </c>
      <c r="M46" s="225"/>
      <c r="N46" s="225"/>
    </row>
    <row r="47" spans="1:14">
      <c r="A47" s="144" t="s">
        <v>256</v>
      </c>
      <c r="B47" s="142"/>
      <c r="C47" s="225">
        <f>'Screener Input'!B65</f>
        <v>1948.81</v>
      </c>
      <c r="D47" s="225">
        <f>'Screener Input'!C65</f>
        <v>1827.57</v>
      </c>
      <c r="E47" s="225">
        <f>'Screener Input'!D65</f>
        <v>2061.0700000000002</v>
      </c>
      <c r="F47" s="225">
        <f>'Screener Input'!E65</f>
        <v>2449.9899999999998</v>
      </c>
      <c r="G47" s="225">
        <f>'Screener Input'!F65</f>
        <v>2372.4499999999998</v>
      </c>
      <c r="H47" s="225">
        <f>'Screener Input'!G65</f>
        <v>2458.11</v>
      </c>
      <c r="I47" s="225">
        <f>'Screener Input'!H65</f>
        <v>2682.37</v>
      </c>
      <c r="J47" s="225">
        <f>'Screener Input'!I65</f>
        <v>682.1</v>
      </c>
      <c r="K47" s="225">
        <f>'Screener Input'!J65</f>
        <v>788.59</v>
      </c>
      <c r="L47" s="225">
        <f>'Screener Input'!K65</f>
        <v>2126.85</v>
      </c>
      <c r="M47" s="225"/>
      <c r="N47" s="225"/>
    </row>
    <row r="48" spans="1:14">
      <c r="A48" s="144" t="s">
        <v>11</v>
      </c>
      <c r="B48" s="142"/>
      <c r="C48" s="225">
        <f>'Screener Input'!B60</f>
        <v>1066.73</v>
      </c>
      <c r="D48" s="225">
        <f>'Screener Input'!C60</f>
        <v>1316.05</v>
      </c>
      <c r="E48" s="225">
        <f>'Screener Input'!D60</f>
        <v>1646.59</v>
      </c>
      <c r="F48" s="225">
        <f>'Screener Input'!E60</f>
        <v>2282.9699999999998</v>
      </c>
      <c r="G48" s="225">
        <f>'Screener Input'!F60</f>
        <v>2729.3</v>
      </c>
      <c r="H48" s="225">
        <f>'Screener Input'!G60</f>
        <v>3263.98</v>
      </c>
      <c r="I48" s="225">
        <f>'Screener Input'!H60</f>
        <v>3913.97</v>
      </c>
      <c r="J48" s="225">
        <f>'Screener Input'!I60</f>
        <v>1278.75</v>
      </c>
      <c r="K48" s="225">
        <f>'Screener Input'!J60</f>
        <v>1565.35</v>
      </c>
      <c r="L48" s="225">
        <f>'Screener Input'!K60</f>
        <v>2361.6799999999998</v>
      </c>
      <c r="M48" s="225"/>
      <c r="N48" s="225"/>
    </row>
    <row r="49" spans="1:14">
      <c r="A49" s="144" t="s">
        <v>12</v>
      </c>
      <c r="B49" s="142"/>
      <c r="C49" s="225">
        <f>'Screener Input'!B66</f>
        <v>2336.0300000000002</v>
      </c>
      <c r="D49" s="225">
        <f>'Screener Input'!C66</f>
        <v>2497.4299999999998</v>
      </c>
      <c r="E49" s="225">
        <f>'Screener Input'!D66</f>
        <v>2974.37</v>
      </c>
      <c r="F49" s="225">
        <f>'Screener Input'!E66</f>
        <v>3819.32</v>
      </c>
      <c r="G49" s="225">
        <f>'Screener Input'!F66</f>
        <v>4507.12</v>
      </c>
      <c r="H49" s="225">
        <f>'Screener Input'!G66</f>
        <v>5403.3</v>
      </c>
      <c r="I49" s="225">
        <f>'Screener Input'!H66</f>
        <v>6488.19</v>
      </c>
      <c r="J49" s="225">
        <f>'Screener Input'!I66</f>
        <v>4954.41</v>
      </c>
      <c r="K49" s="225">
        <f>'Screener Input'!J66</f>
        <v>7022.27</v>
      </c>
      <c r="L49" s="225">
        <f>'Screener Input'!K66</f>
        <v>9542.59</v>
      </c>
      <c r="M49" s="225"/>
      <c r="N49" s="225"/>
    </row>
    <row r="50" spans="1:14">
      <c r="A50" s="256" t="s">
        <v>257</v>
      </c>
      <c r="B50" s="256"/>
      <c r="C50" s="257">
        <f>'Screener Input'!B62</f>
        <v>329.22</v>
      </c>
      <c r="D50" s="257">
        <f>'Screener Input'!C62</f>
        <v>363.52</v>
      </c>
      <c r="E50" s="257">
        <f>'Screener Input'!D62</f>
        <v>384.38</v>
      </c>
      <c r="F50" s="257">
        <f>'Screener Input'!E62</f>
        <v>504.42</v>
      </c>
      <c r="G50" s="257">
        <f>'Screener Input'!F62</f>
        <v>991.8</v>
      </c>
      <c r="H50" s="257">
        <f>'Screener Input'!G62</f>
        <v>1656.14</v>
      </c>
      <c r="I50" s="257">
        <f>'Screener Input'!H62</f>
        <v>2309.33</v>
      </c>
      <c r="J50" s="257">
        <f>'Screener Input'!I62</f>
        <v>789.59</v>
      </c>
      <c r="K50" s="257">
        <f>'Screener Input'!J62</f>
        <v>872.78</v>
      </c>
      <c r="L50" s="257">
        <f>'Screener Input'!K62</f>
        <v>1501.69</v>
      </c>
      <c r="M50" s="223"/>
      <c r="N50" s="223"/>
    </row>
    <row r="51" spans="1:14">
      <c r="A51" s="140" t="s">
        <v>10</v>
      </c>
      <c r="B51" s="140"/>
      <c r="C51" s="223">
        <f>'Screener Input'!B63</f>
        <v>51.76</v>
      </c>
      <c r="D51" s="223">
        <f>'Screener Input'!C63</f>
        <v>12.23</v>
      </c>
      <c r="E51" s="223">
        <f>'Screener Input'!D63</f>
        <v>70.33</v>
      </c>
      <c r="F51" s="223">
        <f>'Screener Input'!E63</f>
        <v>352.29</v>
      </c>
      <c r="G51" s="223">
        <f>'Screener Input'!F63</f>
        <v>504.37</v>
      </c>
      <c r="H51" s="223">
        <f>'Screener Input'!G63</f>
        <v>463.59</v>
      </c>
      <c r="I51" s="223">
        <f>'Screener Input'!H63</f>
        <v>418.8</v>
      </c>
      <c r="J51" s="223">
        <f>'Screener Input'!I63</f>
        <v>94.48</v>
      </c>
      <c r="K51" s="223">
        <f>'Screener Input'!J63</f>
        <v>373.77</v>
      </c>
      <c r="L51" s="223">
        <f>'Screener Input'!K63</f>
        <v>333.21</v>
      </c>
      <c r="M51" s="223"/>
      <c r="N51" s="223"/>
    </row>
    <row r="52" spans="1:14">
      <c r="A52" s="144" t="s">
        <v>56</v>
      </c>
      <c r="B52" s="142"/>
      <c r="C52" s="225">
        <f>'Screener Input'!B65-'Screener Input'!B60</f>
        <v>882.07999999999993</v>
      </c>
      <c r="D52" s="225">
        <f>'Screener Input'!C65-'Screener Input'!C60</f>
        <v>511.52</v>
      </c>
      <c r="E52" s="225">
        <f>'Screener Input'!D65-'Screener Input'!D60</f>
        <v>414.48000000000025</v>
      </c>
      <c r="F52" s="225">
        <f>'Screener Input'!E65-'Screener Input'!E60</f>
        <v>167.01999999999998</v>
      </c>
      <c r="G52" s="225">
        <f>'Screener Input'!F65-'Screener Input'!F60</f>
        <v>-356.85000000000036</v>
      </c>
      <c r="H52" s="225">
        <f>'Screener Input'!G65-'Screener Input'!G60</f>
        <v>-805.86999999999989</v>
      </c>
      <c r="I52" s="225">
        <f>'Screener Input'!H65-'Screener Input'!H60</f>
        <v>-1231.5999999999999</v>
      </c>
      <c r="J52" s="225">
        <f>'Screener Input'!I65-'Screener Input'!I60</f>
        <v>-596.65</v>
      </c>
      <c r="K52" s="225">
        <f>'Screener Input'!J65-'Screener Input'!J60</f>
        <v>-776.75999999999988</v>
      </c>
      <c r="L52" s="225">
        <f>'Screener Input'!K65-'Screener Input'!K60</f>
        <v>-234.82999999999993</v>
      </c>
      <c r="M52" s="225"/>
      <c r="N52" s="225"/>
    </row>
    <row r="53" spans="1:14">
      <c r="A53" s="142" t="s">
        <v>235</v>
      </c>
      <c r="B53" s="142"/>
      <c r="C53" s="225">
        <f>'Screener Input'!B67</f>
        <v>180.19</v>
      </c>
      <c r="D53" s="225">
        <f>'Screener Input'!C67</f>
        <v>232.53</v>
      </c>
      <c r="E53" s="225">
        <f>'Screener Input'!D67</f>
        <v>260.93</v>
      </c>
      <c r="F53" s="225">
        <f>'Screener Input'!E67</f>
        <v>344.58</v>
      </c>
      <c r="G53" s="225">
        <f>'Screener Input'!F67</f>
        <v>445.87</v>
      </c>
      <c r="H53" s="225">
        <f>'Screener Input'!G67</f>
        <v>512.5</v>
      </c>
      <c r="I53" s="225">
        <f>'Screener Input'!H67</f>
        <v>562.16999999999996</v>
      </c>
      <c r="J53" s="225">
        <f>'Screener Input'!I67</f>
        <v>32.64</v>
      </c>
      <c r="K53" s="225">
        <f>'Screener Input'!J67</f>
        <v>50.04</v>
      </c>
      <c r="L53" s="225">
        <f>'Screener Input'!K67</f>
        <v>68</v>
      </c>
      <c r="M53" s="225"/>
      <c r="N53" s="225"/>
    </row>
    <row r="54" spans="1:14">
      <c r="A54" s="142" t="s">
        <v>234</v>
      </c>
      <c r="B54" s="142"/>
      <c r="C54" s="225">
        <f>'Screener Input'!B68</f>
        <v>338.07</v>
      </c>
      <c r="D54" s="225">
        <f>'Screener Input'!C68</f>
        <v>218.96</v>
      </c>
      <c r="E54" s="225">
        <f>'Screener Input'!D68</f>
        <v>326.52</v>
      </c>
      <c r="F54" s="225">
        <f>'Screener Input'!E68</f>
        <v>427.96</v>
      </c>
      <c r="G54" s="225">
        <f>'Screener Input'!F68</f>
        <v>488.84</v>
      </c>
      <c r="H54" s="225">
        <f>'Screener Input'!G68</f>
        <v>526.79999999999995</v>
      </c>
      <c r="I54" s="225">
        <f>'Screener Input'!H68</f>
        <v>645.52</v>
      </c>
      <c r="J54" s="225">
        <f>'Screener Input'!I68</f>
        <v>308.39</v>
      </c>
      <c r="K54" s="225">
        <f>'Screener Input'!J68</f>
        <v>335.9</v>
      </c>
      <c r="L54" s="225">
        <f>'Screener Input'!K68</f>
        <v>394.64</v>
      </c>
      <c r="M54" s="225"/>
      <c r="N54" s="225"/>
    </row>
    <row r="55" spans="1:14">
      <c r="A55" s="142" t="s">
        <v>258</v>
      </c>
      <c r="B55" s="142"/>
      <c r="C55" s="225">
        <f>'Screener Input'!B69</f>
        <v>1231.8</v>
      </c>
      <c r="D55" s="225">
        <f>'Screener Input'!C69</f>
        <v>1170.6500000000001</v>
      </c>
      <c r="E55" s="225">
        <f>'Screener Input'!D69</f>
        <v>1245.68</v>
      </c>
      <c r="F55" s="225">
        <f>'Screener Input'!E69</f>
        <v>1191.51</v>
      </c>
      <c r="G55" s="225">
        <f>'Screener Input'!F69</f>
        <v>803.5</v>
      </c>
      <c r="H55" s="225">
        <f>'Screener Input'!G69</f>
        <v>682.56</v>
      </c>
      <c r="I55" s="225">
        <f>'Screener Input'!H69</f>
        <v>353.32</v>
      </c>
      <c r="J55" s="225">
        <f>'Screener Input'!I69</f>
        <v>49.17</v>
      </c>
      <c r="K55" s="225">
        <f>'Screener Input'!J69</f>
        <v>25.06</v>
      </c>
      <c r="L55" s="225">
        <f>'Screener Input'!K69</f>
        <v>1212</v>
      </c>
      <c r="M55" s="225"/>
      <c r="N55" s="225"/>
    </row>
    <row r="56" spans="1:14">
      <c r="A56" s="140" t="s">
        <v>259</v>
      </c>
      <c r="B56" s="145"/>
      <c r="C56" s="223"/>
      <c r="D56" s="223"/>
      <c r="E56" s="223"/>
      <c r="F56" s="223"/>
      <c r="G56" s="223"/>
      <c r="H56" s="223"/>
      <c r="I56" s="223"/>
      <c r="J56" s="223"/>
      <c r="K56" s="223"/>
      <c r="L56" s="226"/>
      <c r="M56" s="226"/>
      <c r="N56" s="226"/>
    </row>
    <row r="57" spans="1:14">
      <c r="A57" s="144" t="s">
        <v>260</v>
      </c>
      <c r="B57" s="140"/>
      <c r="C57" s="223">
        <f t="shared" ref="C57:L57" si="13">C42+C45</f>
        <v>1269.2999999999997</v>
      </c>
      <c r="D57" s="223">
        <f t="shared" si="13"/>
        <v>1181.3800000000001</v>
      </c>
      <c r="E57" s="223">
        <f t="shared" si="13"/>
        <v>1327.7800000000002</v>
      </c>
      <c r="F57" s="223">
        <f t="shared" si="13"/>
        <v>1536.3500000000001</v>
      </c>
      <c r="G57" s="223">
        <f t="shared" si="13"/>
        <v>1777.8200000000002</v>
      </c>
      <c r="H57" s="223">
        <f t="shared" si="13"/>
        <v>2139.3200000000002</v>
      </c>
      <c r="I57" s="223">
        <f t="shared" si="13"/>
        <v>2574.2200000000003</v>
      </c>
      <c r="J57" s="223">
        <f t="shared" si="13"/>
        <v>3675.66</v>
      </c>
      <c r="K57" s="223">
        <f t="shared" si="13"/>
        <v>5456.92</v>
      </c>
      <c r="L57" s="223">
        <f t="shared" si="13"/>
        <v>7180.9100000000008</v>
      </c>
      <c r="M57" s="223"/>
      <c r="N57" s="223"/>
    </row>
    <row r="58" spans="1:14">
      <c r="A58" s="144" t="s">
        <v>261</v>
      </c>
      <c r="B58" s="140"/>
      <c r="C58" s="223">
        <f t="shared" ref="C58:L58" si="14">C49-C48</f>
        <v>1269.3000000000002</v>
      </c>
      <c r="D58" s="223">
        <f t="shared" si="14"/>
        <v>1181.3799999999999</v>
      </c>
      <c r="E58" s="223">
        <f t="shared" si="14"/>
        <v>1327.78</v>
      </c>
      <c r="F58" s="223">
        <f t="shared" si="14"/>
        <v>1536.3500000000004</v>
      </c>
      <c r="G58" s="223">
        <f t="shared" si="14"/>
        <v>1777.8199999999997</v>
      </c>
      <c r="H58" s="223">
        <f t="shared" si="14"/>
        <v>2139.3200000000002</v>
      </c>
      <c r="I58" s="223">
        <f t="shared" si="14"/>
        <v>2574.2199999999998</v>
      </c>
      <c r="J58" s="223">
        <f t="shared" si="14"/>
        <v>3675.66</v>
      </c>
      <c r="K58" s="223">
        <f t="shared" si="14"/>
        <v>5456.92</v>
      </c>
      <c r="L58" s="223">
        <f t="shared" si="14"/>
        <v>7180.91</v>
      </c>
      <c r="M58" s="223"/>
      <c r="N58" s="223"/>
    </row>
    <row r="59" spans="1:14">
      <c r="A59" s="144" t="s">
        <v>262</v>
      </c>
      <c r="B59" s="140"/>
      <c r="C59" s="223">
        <f>'Screener Input'!B59+'Screener Input'!B60</f>
        <v>1232.3400000000001</v>
      </c>
      <c r="D59" s="223">
        <f>'Screener Input'!C59+'Screener Input'!C60</f>
        <v>1442.42</v>
      </c>
      <c r="E59" s="223">
        <f>'Screener Input'!D59+'Screener Input'!D60</f>
        <v>1742.23</v>
      </c>
      <c r="F59" s="223">
        <f>'Screener Input'!E59+'Screener Input'!E60</f>
        <v>2326.1899999999996</v>
      </c>
      <c r="G59" s="223">
        <f>'Screener Input'!F59+'Screener Input'!F60</f>
        <v>2752.23</v>
      </c>
      <c r="H59" s="223">
        <f>'Screener Input'!G59+'Screener Input'!G60</f>
        <v>3347.88</v>
      </c>
      <c r="I59" s="223">
        <f>'Screener Input'!H59+'Screener Input'!H60</f>
        <v>3972.33</v>
      </c>
      <c r="J59" s="223">
        <f>'Screener Input'!I59+'Screener Input'!I60</f>
        <v>1301.32</v>
      </c>
      <c r="K59" s="223">
        <f>'Screener Input'!J59+'Screener Input'!J60</f>
        <v>1677.1999999999998</v>
      </c>
      <c r="L59" s="223">
        <f>'Screener Input'!K59+'Screener Input'!K60</f>
        <v>2512.52</v>
      </c>
      <c r="M59" s="223"/>
      <c r="N59" s="223"/>
    </row>
    <row r="60" spans="1:14">
      <c r="A60" s="145" t="s">
        <v>12</v>
      </c>
      <c r="B60" s="146"/>
      <c r="C60" s="227">
        <f>'Screener Input'!B66</f>
        <v>2336.0300000000002</v>
      </c>
      <c r="D60" s="227">
        <f>'Screener Input'!C66</f>
        <v>2497.4299999999998</v>
      </c>
      <c r="E60" s="227">
        <f>'Screener Input'!D66</f>
        <v>2974.37</v>
      </c>
      <c r="F60" s="227">
        <f>'Screener Input'!E66</f>
        <v>3819.32</v>
      </c>
      <c r="G60" s="227">
        <f>'Screener Input'!F66</f>
        <v>4507.12</v>
      </c>
      <c r="H60" s="227">
        <f>'Screener Input'!G66</f>
        <v>5403.3</v>
      </c>
      <c r="I60" s="227">
        <f>'Screener Input'!H66</f>
        <v>6488.19</v>
      </c>
      <c r="J60" s="227">
        <f>'Screener Input'!I66</f>
        <v>4954.41</v>
      </c>
      <c r="K60" s="227">
        <f>'Screener Input'!J66</f>
        <v>7022.27</v>
      </c>
      <c r="L60" s="227">
        <f>'Screener Input'!K66</f>
        <v>9542.59</v>
      </c>
      <c r="M60" s="227"/>
      <c r="N60" s="227"/>
    </row>
    <row r="61" spans="1:14">
      <c r="A61" s="437"/>
      <c r="B61" s="437"/>
      <c r="C61" s="437"/>
      <c r="D61" s="437"/>
      <c r="E61" s="437"/>
      <c r="F61" s="437"/>
      <c r="G61" s="437"/>
      <c r="H61" s="437"/>
      <c r="I61" s="437"/>
      <c r="J61" s="437"/>
      <c r="K61" s="437"/>
      <c r="L61" s="126"/>
      <c r="M61" s="126"/>
      <c r="N61" s="126"/>
    </row>
    <row r="62" spans="1:14">
      <c r="A62" s="142" t="s">
        <v>54</v>
      </c>
      <c r="B62" s="140"/>
      <c r="C62" s="223">
        <f>'Screener Input'!B82</f>
        <v>-89</v>
      </c>
      <c r="D62" s="223">
        <f>'Screener Input'!C82</f>
        <v>368.46</v>
      </c>
      <c r="E62" s="223">
        <f>'Screener Input'!D82</f>
        <v>335.95</v>
      </c>
      <c r="F62" s="223">
        <f>'Screener Input'!E82</f>
        <v>404.99</v>
      </c>
      <c r="G62" s="223">
        <f>'Screener Input'!F82</f>
        <v>496.04</v>
      </c>
      <c r="H62" s="223">
        <f>'Screener Input'!G82</f>
        <v>716.2</v>
      </c>
      <c r="I62" s="223">
        <f>'Screener Input'!H82</f>
        <v>1047.47</v>
      </c>
      <c r="J62" s="223">
        <f>'Screener Input'!I82</f>
        <v>1463.08</v>
      </c>
      <c r="K62" s="223">
        <f>'Screener Input'!J82</f>
        <v>1707.97</v>
      </c>
      <c r="L62" s="223">
        <f>'Screener Input'!K82</f>
        <v>2482.25</v>
      </c>
      <c r="M62" s="140"/>
      <c r="N62" s="140"/>
    </row>
    <row r="63" spans="1:14">
      <c r="A63" s="142" t="s">
        <v>22</v>
      </c>
      <c r="B63" s="143"/>
      <c r="C63" s="223"/>
      <c r="D63" s="223">
        <f t="shared" ref="D63:L63" si="15">D62-D23</f>
        <v>319.81</v>
      </c>
      <c r="E63" s="223">
        <f t="shared" si="15"/>
        <v>199.69</v>
      </c>
      <c r="F63" s="223">
        <f t="shared" si="15"/>
        <v>-60.970000000000027</v>
      </c>
      <c r="G63" s="223">
        <f t="shared" si="15"/>
        <v>-225.58999999999986</v>
      </c>
      <c r="H63" s="223">
        <f t="shared" si="15"/>
        <v>-37.400000000000091</v>
      </c>
      <c r="I63" s="223">
        <f t="shared" si="15"/>
        <v>219.25000000000023</v>
      </c>
      <c r="J63" s="223">
        <f t="shared" si="15"/>
        <v>3170.54</v>
      </c>
      <c r="K63" s="223">
        <f t="shared" si="15"/>
        <v>1191.68</v>
      </c>
      <c r="L63" s="223">
        <f t="shared" si="15"/>
        <v>1670.6</v>
      </c>
      <c r="M63" s="143"/>
      <c r="N63" s="143"/>
    </row>
    <row r="64" spans="1:14">
      <c r="A64" s="142" t="s">
        <v>263</v>
      </c>
      <c r="B64" s="147"/>
      <c r="C64" s="223">
        <f>'Screener Input'!B83</f>
        <v>265.49</v>
      </c>
      <c r="D64" s="223">
        <f>'Screener Input'!C83</f>
        <v>-265.56</v>
      </c>
      <c r="E64" s="223">
        <f>'Screener Input'!D83</f>
        <v>-192.05</v>
      </c>
      <c r="F64" s="223">
        <f>'Screener Input'!E83</f>
        <v>-338.01</v>
      </c>
      <c r="G64" s="223">
        <f>'Screener Input'!F83</f>
        <v>-773.18</v>
      </c>
      <c r="H64" s="223">
        <f>'Screener Input'!G83</f>
        <v>-789.79</v>
      </c>
      <c r="I64" s="223">
        <f>'Screener Input'!H83</f>
        <v>-1214.48</v>
      </c>
      <c r="J64" s="223">
        <f>'Screener Input'!I83</f>
        <v>-1001.4</v>
      </c>
      <c r="K64" s="223">
        <f>'Screener Input'!J83</f>
        <v>-1743.58</v>
      </c>
      <c r="L64" s="223">
        <f>'Screener Input'!K83</f>
        <v>-2145.02</v>
      </c>
      <c r="M64" s="147"/>
      <c r="N64" s="147"/>
    </row>
    <row r="65" spans="1:14">
      <c r="A65" s="142" t="s">
        <v>264</v>
      </c>
      <c r="B65" s="147"/>
      <c r="C65" s="223">
        <f>'Screener Input'!B84</f>
        <v>1003.38</v>
      </c>
      <c r="D65" s="223">
        <f>'Screener Input'!C84</f>
        <v>-164.05</v>
      </c>
      <c r="E65" s="223">
        <f>'Screener Input'!D84</f>
        <v>-68.87</v>
      </c>
      <c r="F65" s="223">
        <f>'Screener Input'!E84</f>
        <v>-113.68</v>
      </c>
      <c r="G65" s="223">
        <f>'Screener Input'!F84</f>
        <v>-110.87</v>
      </c>
      <c r="H65" s="223">
        <f>'Screener Input'!G84</f>
        <v>-47.35</v>
      </c>
      <c r="I65" s="223">
        <f>'Screener Input'!H84</f>
        <v>-162.22999999999999</v>
      </c>
      <c r="J65" s="223">
        <f>'Screener Input'!I84</f>
        <v>-465.52</v>
      </c>
      <c r="K65" s="223">
        <f>'Screener Input'!J84</f>
        <v>25.29</v>
      </c>
      <c r="L65" s="223">
        <f>'Screener Input'!K84</f>
        <v>-262.01</v>
      </c>
      <c r="M65" s="147"/>
      <c r="N65" s="147"/>
    </row>
    <row r="66" spans="1:14">
      <c r="A66" s="142" t="s">
        <v>265</v>
      </c>
      <c r="B66" s="148"/>
      <c r="C66" s="325">
        <f t="shared" ref="C66:L66" si="16">C34/C33</f>
        <v>-0.14591173451932959</v>
      </c>
      <c r="D66" s="325">
        <f t="shared" si="16"/>
        <v>0.30890052356020925</v>
      </c>
      <c r="E66" s="325">
        <f t="shared" si="16"/>
        <v>0.26532908755716239</v>
      </c>
      <c r="F66" s="325">
        <f t="shared" si="16"/>
        <v>0.24659194183580715</v>
      </c>
      <c r="G66" s="325">
        <f t="shared" si="16"/>
        <v>0.2089050264373199</v>
      </c>
      <c r="H66" s="325">
        <f t="shared" si="16"/>
        <v>0.21706237665211392</v>
      </c>
      <c r="I66" s="325">
        <f t="shared" si="16"/>
        <v>0.29455307686855098</v>
      </c>
      <c r="J66" s="325">
        <f t="shared" si="16"/>
        <v>0.28719129387437514</v>
      </c>
      <c r="K66" s="325">
        <f t="shared" si="16"/>
        <v>0.29620765377877567</v>
      </c>
      <c r="L66" s="325">
        <f t="shared" si="16"/>
        <v>0.30056134671830548</v>
      </c>
      <c r="M66" s="148"/>
      <c r="N66" s="148"/>
    </row>
    <row r="67" spans="1:14">
      <c r="A67" s="142" t="s">
        <v>266</v>
      </c>
      <c r="B67" s="143"/>
      <c r="C67" s="223">
        <f t="shared" ref="C67:L67" si="17">C31*(1-C66)</f>
        <v>78.368903523776893</v>
      </c>
      <c r="D67" s="223">
        <f t="shared" si="17"/>
        <v>135.35183246073308</v>
      </c>
      <c r="E67" s="223">
        <f t="shared" si="17"/>
        <v>313.82937366820687</v>
      </c>
      <c r="F67" s="223">
        <f t="shared" si="17"/>
        <v>503.17863980611986</v>
      </c>
      <c r="G67" s="223">
        <f t="shared" si="17"/>
        <v>475.78824994980317</v>
      </c>
      <c r="H67" s="223">
        <f t="shared" si="17"/>
        <v>529.82954847198198</v>
      </c>
      <c r="I67" s="223">
        <f t="shared" si="17"/>
        <v>703.54927090822514</v>
      </c>
      <c r="J67" s="223">
        <f t="shared" si="17"/>
        <v>1339.0111544569861</v>
      </c>
      <c r="K67" s="223">
        <f t="shared" si="17"/>
        <v>1713.9455007525478</v>
      </c>
      <c r="L67" s="223">
        <f t="shared" si="17"/>
        <v>2181.7450024085238</v>
      </c>
      <c r="M67" s="143"/>
      <c r="N67" s="143"/>
    </row>
    <row r="68" spans="1:14">
      <c r="A68" s="431"/>
      <c r="B68" s="431"/>
      <c r="C68" s="431"/>
      <c r="D68" s="431"/>
      <c r="E68" s="431"/>
      <c r="F68" s="431"/>
      <c r="G68" s="431"/>
      <c r="H68" s="431"/>
      <c r="I68" s="431"/>
      <c r="J68" s="431"/>
      <c r="K68" s="431"/>
      <c r="L68" s="126"/>
      <c r="M68" s="126"/>
      <c r="N68" s="126"/>
    </row>
    <row r="69" spans="1:14">
      <c r="A69" s="149" t="s">
        <v>267</v>
      </c>
      <c r="C69" s="150"/>
      <c r="D69" s="326">
        <f t="shared" ref="D69:L69" si="18">D37+C36</f>
        <v>269.49019606300004</v>
      </c>
      <c r="E69" s="326">
        <f t="shared" si="18"/>
        <v>1875.9736985960001</v>
      </c>
      <c r="F69" s="326">
        <f t="shared" si="18"/>
        <v>3444.7601550429999</v>
      </c>
      <c r="G69" s="326">
        <f t="shared" si="18"/>
        <v>6001.5490533759994</v>
      </c>
      <c r="H69" s="326">
        <f t="shared" si="18"/>
        <v>7522.3036838979997</v>
      </c>
      <c r="I69" s="326">
        <f t="shared" si="18"/>
        <v>16603.243698394999</v>
      </c>
      <c r="J69" s="326">
        <f t="shared" si="18"/>
        <v>53737.955598401997</v>
      </c>
      <c r="K69" s="326">
        <f t="shared" si="18"/>
        <v>70520.855878279996</v>
      </c>
      <c r="L69" s="326">
        <f t="shared" si="18"/>
        <v>83251.348865010019</v>
      </c>
      <c r="M69" s="150"/>
      <c r="N69" s="150"/>
    </row>
    <row r="70" spans="1:14">
      <c r="A70" s="134" t="s">
        <v>268</v>
      </c>
      <c r="B70" s="150"/>
      <c r="C70" s="327">
        <f t="shared" ref="C70:L70" si="19">C35-C36</f>
        <v>52.943024999999935</v>
      </c>
      <c r="D70" s="327">
        <f t="shared" si="19"/>
        <v>120.4979167000001</v>
      </c>
      <c r="E70" s="327">
        <f t="shared" si="19"/>
        <v>277.21843869999992</v>
      </c>
      <c r="F70" s="327">
        <f t="shared" si="19"/>
        <v>454.21186720000048</v>
      </c>
      <c r="G70" s="327">
        <f t="shared" si="19"/>
        <v>418.78803400000066</v>
      </c>
      <c r="H70" s="327">
        <f t="shared" si="19"/>
        <v>442.54335100000054</v>
      </c>
      <c r="I70" s="327">
        <f t="shared" si="19"/>
        <v>561.12608499999953</v>
      </c>
      <c r="J70" s="327">
        <f t="shared" si="19"/>
        <v>1065.8881699999999</v>
      </c>
      <c r="K70" s="327">
        <f t="shared" si="19"/>
        <v>1439.3375100000003</v>
      </c>
      <c r="L70" s="327">
        <f t="shared" si="19"/>
        <v>1878.1989609999994</v>
      </c>
      <c r="M70" s="150"/>
      <c r="N70" s="150"/>
    </row>
    <row r="71" spans="1:14">
      <c r="A71" s="213"/>
      <c r="B71" s="213"/>
      <c r="C71" s="213"/>
      <c r="D71" s="213"/>
      <c r="E71" s="213"/>
      <c r="F71" s="213"/>
      <c r="G71" s="213"/>
      <c r="H71" s="213"/>
      <c r="I71" s="213"/>
      <c r="J71" s="213"/>
      <c r="K71" s="213"/>
      <c r="L71" s="126"/>
      <c r="M71" s="126"/>
      <c r="N71" s="126"/>
    </row>
    <row r="72" spans="1:14">
      <c r="A72" s="151" t="s">
        <v>297</v>
      </c>
      <c r="B72" s="167"/>
      <c r="C72" s="167">
        <f>'Screener Input'!B90</f>
        <v>264.25</v>
      </c>
      <c r="D72" s="167">
        <f>'Screener Input'!C90</f>
        <v>201.77</v>
      </c>
      <c r="E72" s="167">
        <f>'Screener Input'!D90</f>
        <v>693.12</v>
      </c>
      <c r="F72" s="167">
        <f>'Screener Input'!E90</f>
        <v>1265.21</v>
      </c>
      <c r="G72" s="167">
        <f>'Screener Input'!F90</f>
        <v>2206.7199999999998</v>
      </c>
      <c r="H72" s="167">
        <f>'Screener Input'!G90</f>
        <v>2762.06</v>
      </c>
      <c r="I72" s="167">
        <f>'Screener Input'!H90</f>
        <v>6095.65</v>
      </c>
      <c r="J72" s="167">
        <f>'Screener Input'!I90</f>
        <v>19734.939999999999</v>
      </c>
      <c r="K72" s="167">
        <f>'Screener Input'!J90</f>
        <v>25817.200000000001</v>
      </c>
      <c r="L72" s="167">
        <f>'Screener Input'!K90</f>
        <v>30444.9</v>
      </c>
      <c r="M72" s="167"/>
      <c r="N72" s="167"/>
    </row>
    <row r="73" spans="1:14">
      <c r="A73" s="151" t="s">
        <v>30</v>
      </c>
      <c r="B73" s="167"/>
      <c r="C73" s="167">
        <f>SUM('Screener Input'!B57:B58)/'Screener Input'!B93</f>
        <v>392.85682504596178</v>
      </c>
      <c r="D73" s="167">
        <f>SUM('Screener Input'!C57:C58)/'Screener Input'!C93</f>
        <v>833.33339915683246</v>
      </c>
      <c r="E73" s="167">
        <f>SUM('Screener Input'!D57:D58)/'Screener Input'!D93</f>
        <v>457.40215518107044</v>
      </c>
      <c r="F73" s="167">
        <f>SUM('Screener Input'!E57:E58)/'Screener Input'!E93</f>
        <v>553.16306705438308</v>
      </c>
      <c r="G73" s="167">
        <f>SUM('Screener Input'!F57:F58)/'Screener Input'!F93</f>
        <v>649.93559678919837</v>
      </c>
      <c r="H73" s="167">
        <f>SUM('Screener Input'!G57:G58)/'Screener Input'!G93</f>
        <v>760.17193461726959</v>
      </c>
      <c r="I73" s="167">
        <f>SUM('Screener Input'!H57:H58)/'Screener Input'!H93</f>
        <v>928.1978018418373</v>
      </c>
      <c r="J73" s="167">
        <f>SUM('Screener Input'!I57:I58)/'Screener Input'!I93</f>
        <v>1344.9671908620473</v>
      </c>
      <c r="K73" s="167">
        <f>SUM('Screener Input'!J57:J58)/'Screener Input'!J93</f>
        <v>1964.3590913115127</v>
      </c>
      <c r="L73" s="167">
        <f>SUM('Screener Input'!K57:K58)/'Screener Input'!K93</f>
        <v>2579.3169677117862</v>
      </c>
      <c r="M73" s="167"/>
      <c r="N73" s="167"/>
    </row>
    <row r="74" spans="1:14">
      <c r="A74" s="151" t="s">
        <v>28</v>
      </c>
      <c r="B74" s="152"/>
      <c r="C74" s="152">
        <f>('Screener Input'!B30/'Screener Input'!B93)</f>
        <v>22.28237752256269</v>
      </c>
      <c r="D74" s="152">
        <f>('Screener Input'!C30/'Screener Input'!C93)</f>
        <v>65.868259216204834</v>
      </c>
      <c r="E74" s="152">
        <f>('Screener Input'!D30/'Screener Input'!D93)</f>
        <v>70.131977824604192</v>
      </c>
      <c r="F74" s="152">
        <f>('Screener Input'!E30/'Screener Input'!E93)</f>
        <v>114.39068280349457</v>
      </c>
      <c r="G74" s="152">
        <f>('Screener Input'!F30/'Screener Input'!F93)</f>
        <v>120.09192406069067</v>
      </c>
      <c r="H74" s="152">
        <f>('Screener Input'!G30/'Screener Input'!G93)</f>
        <v>145.69388831631838</v>
      </c>
      <c r="I74" s="152">
        <f>('Screener Input'!H30/'Screener Input'!H93)</f>
        <v>227.0300411554669</v>
      </c>
      <c r="J74" s="152">
        <f>('Screener Input'!I30/'Screener Input'!I93)</f>
        <v>492.62949997428308</v>
      </c>
      <c r="K74" s="152">
        <f>('Screener Input'!J30/'Screener Input'!J93)</f>
        <v>612.66620529639397</v>
      </c>
      <c r="L74" s="152">
        <f>('Screener Input'!K30/'Screener Input'!K93)</f>
        <v>718.99854227849164</v>
      </c>
      <c r="M74" s="191">
        <f>SUM('Screener Input'!H49:K49)/'Screener Input'!K93</f>
        <v>761.76414571579528</v>
      </c>
      <c r="N74" s="152">
        <f>SUM('Screener Input'!D49:G49)/'Screener Input'!K93</f>
        <v>642.22151606632463</v>
      </c>
    </row>
    <row r="75" spans="1:14">
      <c r="A75" s="151" t="s">
        <v>26</v>
      </c>
      <c r="B75" s="152"/>
      <c r="C75" s="152">
        <f>'Screener Input'!B31/'Screener Input'!B93</f>
        <v>5</v>
      </c>
      <c r="D75" s="152">
        <f>'Screener Input'!C31/'Screener Input'!C93</f>
        <v>7</v>
      </c>
      <c r="E75" s="152">
        <f>'Screener Input'!D31/'Screener Input'!D93</f>
        <v>11</v>
      </c>
      <c r="F75" s="152">
        <f>'Screener Input'!E31/'Screener Input'!E93</f>
        <v>16</v>
      </c>
      <c r="G75" s="152">
        <f>'Screener Input'!F31/'Screener Input'!F93</f>
        <v>20</v>
      </c>
      <c r="H75" s="152">
        <f>'Screener Input'!G31/'Screener Input'!G93</f>
        <v>29.999999999999996</v>
      </c>
      <c r="I75" s="152">
        <f>'Screener Input'!H31/'Screener Input'!H93</f>
        <v>49.999999999999993</v>
      </c>
      <c r="J75" s="152">
        <f>'Screener Input'!I31/'Screener Input'!I93</f>
        <v>99.999999999999986</v>
      </c>
      <c r="K75" s="152">
        <f>'Screener Input'!J31/'Screener Input'!J93</f>
        <v>99.999999999999986</v>
      </c>
      <c r="L75" s="152">
        <f>'Screener Input'!K31/'Screener Input'!K93</f>
        <v>110</v>
      </c>
      <c r="M75" s="152"/>
      <c r="N75" s="152"/>
    </row>
    <row r="76" spans="1:14">
      <c r="A76" s="151" t="s">
        <v>31</v>
      </c>
      <c r="B76" s="152"/>
      <c r="C76" s="152">
        <f>'Screener Input'!B90/('Screener Input'!B30/'Screener Input'!B93)</f>
        <v>11.859147424121405</v>
      </c>
      <c r="D76" s="152">
        <f>'Screener Input'!C90/('Screener Input'!C30/'Screener Input'!C93)</f>
        <v>3.0632356525122919</v>
      </c>
      <c r="E76" s="152">
        <f>'Screener Input'!D90/('Screener Input'!D30/'Screener Input'!D93)</f>
        <v>9.8830807500317608</v>
      </c>
      <c r="F76" s="152">
        <f>'Screener Input'!E90/('Screener Input'!E30/'Screener Input'!E93)</f>
        <v>11.060428777870261</v>
      </c>
      <c r="G76" s="152">
        <f>'Screener Input'!F90/('Screener Input'!F30/'Screener Input'!F93)</f>
        <v>18.375257264466786</v>
      </c>
      <c r="H76" s="152">
        <f>'Screener Input'!G90/('Screener Input'!G30/'Screener Input'!G93)</f>
        <v>18.957967502406458</v>
      </c>
      <c r="I76" s="152">
        <f>'Screener Input'!H90/('Screener Input'!H30/'Screener Input'!H93)</f>
        <v>26.849530436484333</v>
      </c>
      <c r="J76" s="152">
        <f>'Screener Input'!I90/('Screener Input'!I30/'Screener Input'!I93)</f>
        <v>40.060410513439066</v>
      </c>
      <c r="K76" s="152">
        <f>'Screener Input'!J90/('Screener Input'!J30/'Screener Input'!J93)</f>
        <v>42.139095933176577</v>
      </c>
      <c r="L76" s="152">
        <f>'Screener Input'!K90/('Screener Input'!K30/'Screener Input'!K93)</f>
        <v>42.343479450626894</v>
      </c>
      <c r="M76" s="152"/>
      <c r="N76" s="152"/>
    </row>
    <row r="77" spans="1:14">
      <c r="A77" s="151" t="s">
        <v>269</v>
      </c>
      <c r="B77" s="151"/>
      <c r="C77" s="152"/>
      <c r="D77" s="152">
        <f>D76/(((('Screener Input'!C30/'Screener Input'!C93) - ('Screener Input'!B30/'Screener Input'!B93))/('Screener Input'!B30/'Screener Input'!B93))*100)</f>
        <v>1.5660156591442556E-2</v>
      </c>
      <c r="E77" s="152">
        <f>E76/(((('Screener Input'!D30/'Screener Input'!D93) - ('Screener Input'!C30/'Screener Input'!C93))/('Screener Input'!C30/'Screener Input'!C93))*100)</f>
        <v>1.5267924187477298</v>
      </c>
      <c r="F77" s="152">
        <f>F76/(((('Screener Input'!E30/'Screener Input'!E93) - ('Screener Input'!D30/'Screener Input'!D93))/('Screener Input'!D30/'Screener Input'!D93))*100)</f>
        <v>0.17526263955309673</v>
      </c>
      <c r="G77" s="152">
        <f>G76/(((('Screener Input'!F30/'Screener Input'!F93) - ('Screener Input'!E30/'Screener Input'!E93))/('Screener Input'!E30/'Screener Input'!E93))*100)</f>
        <v>3.6868431458134476</v>
      </c>
      <c r="H77" s="152">
        <f>H76/(((('Screener Input'!G30/'Screener Input'!G93) - ('Screener Input'!F30/'Screener Input'!F93))/('Screener Input'!F30/'Screener Input'!F93))*100)</f>
        <v>0.88926723391686036</v>
      </c>
      <c r="I77" s="152">
        <f>I76/(((('Screener Input'!H30/'Screener Input'!H93) - ('Screener Input'!G30/'Screener Input'!G93))/('Screener Input'!G30/'Screener Input'!G93))*100)</f>
        <v>0.48094387946953837</v>
      </c>
      <c r="J77" s="152">
        <f>J76/(((('Screener Input'!I30/'Screener Input'!I93) - ('Screener Input'!H30/'Screener Input'!H93))/('Screener Input'!H30/'Screener Input'!H93))*100)</f>
        <v>0.34242978837450283</v>
      </c>
      <c r="K77" s="152">
        <f>K76/(((('Screener Input'!J30/'Screener Input'!J93) - ('Screener Input'!I30/'Screener Input'!I93))/('Screener Input'!I30/'Screener Input'!I93))*100)</f>
        <v>1.7293844997847754</v>
      </c>
      <c r="L77" s="152">
        <f>L76/(((('Screener Input'!K30/'Screener Input'!K93) - ('Screener Input'!J30/'Screener Input'!J93))/('Screener Input'!J30/'Screener Input'!J93))*100)</f>
        <v>2.439748773548458</v>
      </c>
      <c r="M77" s="152"/>
      <c r="N77" s="152"/>
    </row>
    <row r="78" spans="1:14">
      <c r="A78" s="142" t="s">
        <v>270</v>
      </c>
      <c r="C78" s="153">
        <f t="shared" ref="C78:L78" si="20">C37/C42</f>
        <v>0.67263690778207663</v>
      </c>
      <c r="D78" s="153">
        <f t="shared" si="20"/>
        <v>0.24212398087506284</v>
      </c>
      <c r="E78" s="153">
        <f t="shared" si="20"/>
        <v>1.5153404769717727</v>
      </c>
      <c r="F78" s="153">
        <f t="shared" si="20"/>
        <v>2.2872278996088751</v>
      </c>
      <c r="G78" s="153">
        <f t="shared" si="20"/>
        <v>3.3952902578372428</v>
      </c>
      <c r="H78" s="153">
        <f t="shared" si="20"/>
        <v>3.6334674752109057</v>
      </c>
      <c r="I78" s="153">
        <f t="shared" si="20"/>
        <v>6.5671885754354369</v>
      </c>
      <c r="J78" s="153">
        <f t="shared" si="20"/>
        <v>14.673175772675188</v>
      </c>
      <c r="K78" s="153">
        <f t="shared" si="20"/>
        <v>13.142810860901729</v>
      </c>
      <c r="L78" s="153">
        <f t="shared" si="20"/>
        <v>11.803473702965974</v>
      </c>
      <c r="M78" s="153"/>
      <c r="N78" s="153"/>
    </row>
    <row r="79" spans="1:14">
      <c r="A79" s="145" t="s">
        <v>271</v>
      </c>
      <c r="B79" s="143"/>
      <c r="C79" s="143">
        <f t="shared" ref="C79:L79" si="21">C37/C62</f>
        <v>-8.3413778511235961</v>
      </c>
      <c r="D79" s="143">
        <f t="shared" si="21"/>
        <v>0.69327259692503951</v>
      </c>
      <c r="E79" s="143">
        <f t="shared" si="21"/>
        <v>5.5577068471379674</v>
      </c>
      <c r="F79" s="143">
        <f t="shared" si="21"/>
        <v>8.4326244937973769</v>
      </c>
      <c r="G79" s="143">
        <f t="shared" si="21"/>
        <v>12.011855738601724</v>
      </c>
      <c r="H79" s="143">
        <f t="shared" si="21"/>
        <v>10.42767623275342</v>
      </c>
      <c r="I79" s="143">
        <f t="shared" si="21"/>
        <v>15.773365394135393</v>
      </c>
      <c r="J79" s="143">
        <f t="shared" si="21"/>
        <v>36.636705910409546</v>
      </c>
      <c r="K79" s="143">
        <f t="shared" si="21"/>
        <v>41.130256414503769</v>
      </c>
      <c r="L79" s="143">
        <f t="shared" si="21"/>
        <v>33.429044767855778</v>
      </c>
      <c r="M79" s="143"/>
      <c r="N79" s="143"/>
    </row>
    <row r="80" spans="1:14">
      <c r="A80" s="145" t="s">
        <v>272</v>
      </c>
      <c r="B80" s="143"/>
      <c r="C80" s="143"/>
      <c r="D80" s="143">
        <f t="shared" ref="D80:L80" si="22">D37/D63</f>
        <v>0.79873431432100317</v>
      </c>
      <c r="E80" s="143">
        <f t="shared" si="22"/>
        <v>9.3500506549952433</v>
      </c>
      <c r="F80" s="143">
        <f t="shared" si="22"/>
        <v>-56.013262157503661</v>
      </c>
      <c r="G80" s="143">
        <f t="shared" si="22"/>
        <v>-26.412345053309114</v>
      </c>
      <c r="H80" s="143">
        <f t="shared" si="22"/>
        <v>-199.68721170850219</v>
      </c>
      <c r="I80" s="143">
        <f t="shared" si="22"/>
        <v>75.357477990399005</v>
      </c>
      <c r="J80" s="143">
        <f t="shared" si="22"/>
        <v>16.906404487375021</v>
      </c>
      <c r="K80" s="143">
        <f t="shared" si="22"/>
        <v>58.949755008290815</v>
      </c>
      <c r="L80" s="143">
        <f t="shared" si="22"/>
        <v>49.670325855985887</v>
      </c>
      <c r="M80" s="143"/>
      <c r="N80" s="143"/>
    </row>
    <row r="81" spans="1:14">
      <c r="A81" s="145" t="s">
        <v>273</v>
      </c>
      <c r="B81" s="143"/>
      <c r="C81" s="143">
        <f t="shared" ref="C81:L81" si="23">C37/C26</f>
        <v>0.43243238935553019</v>
      </c>
      <c r="D81" s="143">
        <f t="shared" si="23"/>
        <v>8.692595565382509E-2</v>
      </c>
      <c r="E81" s="143">
        <f t="shared" si="23"/>
        <v>0.42462534575127131</v>
      </c>
      <c r="F81" s="143">
        <f t="shared" si="23"/>
        <v>0.60078751987766554</v>
      </c>
      <c r="G81" s="143">
        <f t="shared" si="23"/>
        <v>0.93246690014632472</v>
      </c>
      <c r="H81" s="143">
        <f t="shared" si="23"/>
        <v>1.0966991274190137</v>
      </c>
      <c r="I81" s="143">
        <f t="shared" si="23"/>
        <v>1.8907669951884345</v>
      </c>
      <c r="J81" s="143">
        <f t="shared" si="23"/>
        <v>8.6827211455815707</v>
      </c>
      <c r="K81" s="143">
        <f t="shared" si="23"/>
        <v>9.9880063082623387</v>
      </c>
      <c r="L81" s="143">
        <f t="shared" si="23"/>
        <v>9.2559527733542613</v>
      </c>
      <c r="M81" s="143"/>
      <c r="N81" s="143"/>
    </row>
    <row r="82" spans="1:14">
      <c r="A82" s="145" t="s">
        <v>274</v>
      </c>
      <c r="B82" s="143"/>
      <c r="C82" s="143">
        <f t="shared" ref="C82:L82" si="24">(C37-C45+C8)/C29</f>
        <v>17.178691382503807</v>
      </c>
      <c r="D82" s="143">
        <f t="shared" si="24"/>
        <v>5.2045137591118404</v>
      </c>
      <c r="E82" s="143">
        <f t="shared" si="24"/>
        <v>6.2277367335356182</v>
      </c>
      <c r="F82" s="143">
        <f t="shared" si="24"/>
        <v>6.2356265713936256</v>
      </c>
      <c r="G82" s="143">
        <f t="shared" si="24"/>
        <v>9.8580031020713772</v>
      </c>
      <c r="H82" s="143">
        <f t="shared" si="24"/>
        <v>9.9992088327358761</v>
      </c>
      <c r="I82" s="143">
        <f t="shared" si="24"/>
        <v>13.817001511255993</v>
      </c>
      <c r="J82" s="143">
        <f t="shared" si="24"/>
        <v>26.613583287877528</v>
      </c>
      <c r="K82" s="143">
        <f t="shared" si="24"/>
        <v>27.099062630896327</v>
      </c>
      <c r="L82" s="143">
        <f t="shared" si="24"/>
        <v>25.142376958819245</v>
      </c>
      <c r="M82" s="143"/>
      <c r="N82" s="143"/>
    </row>
    <row r="83" spans="1:14">
      <c r="A83" s="140" t="s">
        <v>275</v>
      </c>
      <c r="B83" s="154"/>
      <c r="C83" s="154">
        <f t="shared" ref="C83:L83" si="25">C36/C37</f>
        <v>1.8921475875118259E-2</v>
      </c>
      <c r="D83" s="154">
        <f t="shared" si="25"/>
        <v>3.4692967239926646E-2</v>
      </c>
      <c r="E83" s="154">
        <f t="shared" si="25"/>
        <v>1.5870267774699909E-2</v>
      </c>
      <c r="F83" s="154">
        <f t="shared" si="25"/>
        <v>1.2646121987654224E-2</v>
      </c>
      <c r="G83" s="154">
        <f t="shared" si="25"/>
        <v>9.0632250580046422E-3</v>
      </c>
      <c r="H83" s="154">
        <f t="shared" si="25"/>
        <v>1.0861458476644244E-2</v>
      </c>
      <c r="I83" s="154">
        <f t="shared" si="25"/>
        <v>8.2025706856528827E-3</v>
      </c>
      <c r="J83" s="154">
        <f t="shared" si="25"/>
        <v>5.0671550052850426E-3</v>
      </c>
      <c r="K83" s="154">
        <f t="shared" si="25"/>
        <v>3.8733867344251118E-3</v>
      </c>
      <c r="L83" s="154">
        <f t="shared" si="25"/>
        <v>3.6130846217264623E-3</v>
      </c>
      <c r="M83" s="154"/>
      <c r="N83" s="154"/>
    </row>
    <row r="84" spans="1:14">
      <c r="A84" s="155" t="s">
        <v>276</v>
      </c>
      <c r="B84" s="156"/>
      <c r="C84" s="157">
        <f t="shared" ref="C84:L84" si="26">C37+C8-C45</f>
        <v>1808.5726287499997</v>
      </c>
      <c r="D84" s="157">
        <f t="shared" si="26"/>
        <v>1299.723221063</v>
      </c>
      <c r="E84" s="157">
        <f t="shared" si="26"/>
        <v>3017.1516152960003</v>
      </c>
      <c r="F84" s="157">
        <f t="shared" si="26"/>
        <v>4563.4185937429993</v>
      </c>
      <c r="G84" s="157">
        <f t="shared" si="26"/>
        <v>6738.9309205759992</v>
      </c>
      <c r="H84" s="157">
        <f t="shared" si="26"/>
        <v>8066.9617178980006</v>
      </c>
      <c r="I84" s="157">
        <f t="shared" si="26"/>
        <v>16817.087049394999</v>
      </c>
      <c r="J84" s="157">
        <f t="shared" si="26"/>
        <v>53629.031683401998</v>
      </c>
      <c r="K84" s="157">
        <f t="shared" si="26"/>
        <v>70162.454048279993</v>
      </c>
      <c r="L84" s="157">
        <f t="shared" si="26"/>
        <v>84040.406375010018</v>
      </c>
      <c r="M84" s="157"/>
      <c r="N84" s="157"/>
    </row>
    <row r="85" spans="1:14">
      <c r="A85" s="431"/>
      <c r="B85" s="431"/>
      <c r="C85" s="431"/>
      <c r="D85" s="431"/>
      <c r="E85" s="431"/>
      <c r="F85" s="431"/>
      <c r="G85" s="431"/>
      <c r="H85" s="431"/>
      <c r="I85" s="431"/>
      <c r="J85" s="431"/>
      <c r="K85" s="431"/>
      <c r="L85" s="126" t="s">
        <v>277</v>
      </c>
      <c r="M85" s="126"/>
      <c r="N85" s="126"/>
    </row>
    <row r="86" spans="1:14">
      <c r="A86" s="140" t="s">
        <v>278</v>
      </c>
      <c r="B86" s="143"/>
      <c r="C86" s="143">
        <f t="shared" ref="C86:K86" si="27">C52/C60</f>
        <v>0.37759789043805081</v>
      </c>
      <c r="D86" s="143">
        <f t="shared" si="27"/>
        <v>0.20481855347297023</v>
      </c>
      <c r="E86" s="143">
        <f t="shared" si="27"/>
        <v>0.13935051792480432</v>
      </c>
      <c r="F86" s="143">
        <f t="shared" si="27"/>
        <v>4.3730297539876201E-2</v>
      </c>
      <c r="G86" s="143">
        <f t="shared" si="27"/>
        <v>-7.9174727985942328E-2</v>
      </c>
      <c r="H86" s="143">
        <f t="shared" si="27"/>
        <v>-0.1491440416042048</v>
      </c>
      <c r="I86" s="143">
        <f t="shared" si="27"/>
        <v>-0.18982181471257778</v>
      </c>
      <c r="J86" s="143">
        <f t="shared" si="27"/>
        <v>-0.12042806307915574</v>
      </c>
      <c r="K86" s="143">
        <f t="shared" si="27"/>
        <v>-0.11061380436810317</v>
      </c>
      <c r="L86" s="140">
        <v>1.2</v>
      </c>
      <c r="M86" s="140"/>
      <c r="N86" s="140"/>
    </row>
    <row r="87" spans="1:14">
      <c r="A87" s="140" t="s">
        <v>279</v>
      </c>
      <c r="B87" s="143"/>
      <c r="C87" s="143">
        <f t="shared" ref="C87:K87" si="28">C70/C60</f>
        <v>2.2663675124035193E-2</v>
      </c>
      <c r="D87" s="143">
        <f t="shared" si="28"/>
        <v>4.8248766411871452E-2</v>
      </c>
      <c r="E87" s="143">
        <f t="shared" si="28"/>
        <v>9.3202405450565975E-2</v>
      </c>
      <c r="F87" s="143">
        <f t="shared" si="28"/>
        <v>0.11892480001675704</v>
      </c>
      <c r="G87" s="143">
        <f t="shared" si="28"/>
        <v>9.2916992225634251E-2</v>
      </c>
      <c r="H87" s="143">
        <f t="shared" si="28"/>
        <v>8.1902420927951539E-2</v>
      </c>
      <c r="I87" s="143">
        <f t="shared" si="28"/>
        <v>8.6484225184527516E-2</v>
      </c>
      <c r="J87" s="143">
        <f t="shared" si="28"/>
        <v>0.21513927389941487</v>
      </c>
      <c r="K87" s="143">
        <f t="shared" si="28"/>
        <v>0.20496755465113137</v>
      </c>
      <c r="L87" s="140">
        <v>1.4</v>
      </c>
      <c r="M87" s="140"/>
      <c r="N87" s="140"/>
    </row>
    <row r="88" spans="1:14">
      <c r="A88" s="140" t="s">
        <v>280</v>
      </c>
      <c r="B88" s="143"/>
      <c r="C88" s="143">
        <f t="shared" ref="C88:K88" si="29">C31/C60</f>
        <v>2.9276165117742468E-2</v>
      </c>
      <c r="D88" s="143">
        <f t="shared" si="29"/>
        <v>7.8420616393652706E-2</v>
      </c>
      <c r="E88" s="143">
        <f t="shared" si="29"/>
        <v>0.14361696762675791</v>
      </c>
      <c r="F88" s="143">
        <f t="shared" si="29"/>
        <v>0.17486620654985716</v>
      </c>
      <c r="G88" s="143">
        <f t="shared" si="29"/>
        <v>0.13343997941035532</v>
      </c>
      <c r="H88" s="143">
        <f t="shared" si="29"/>
        <v>0.12524198175189247</v>
      </c>
      <c r="I88" s="143">
        <f t="shared" si="29"/>
        <v>0.15371158982705493</v>
      </c>
      <c r="J88" s="143">
        <f t="shared" si="29"/>
        <v>0.37915715493873131</v>
      </c>
      <c r="K88" s="143">
        <f t="shared" si="29"/>
        <v>0.34679669109846245</v>
      </c>
      <c r="L88" s="140">
        <v>3.3</v>
      </c>
      <c r="M88" s="140"/>
      <c r="N88" s="140"/>
    </row>
    <row r="89" spans="1:14">
      <c r="A89" s="140" t="s">
        <v>281</v>
      </c>
      <c r="B89" s="143"/>
      <c r="C89" s="143">
        <f t="shared" ref="C89:L89" si="30">C37/C59</f>
        <v>0.60241705109791122</v>
      </c>
      <c r="D89" s="143">
        <f t="shared" si="30"/>
        <v>0.17709351025568143</v>
      </c>
      <c r="E89" s="143">
        <f t="shared" si="30"/>
        <v>1.0716791785791773</v>
      </c>
      <c r="F89" s="143">
        <f t="shared" si="30"/>
        <v>1.4681210880207551</v>
      </c>
      <c r="G89" s="143">
        <f t="shared" si="30"/>
        <v>2.1649211441543765</v>
      </c>
      <c r="H89" s="143">
        <f t="shared" si="30"/>
        <v>2.2307554983744935</v>
      </c>
      <c r="I89" s="143">
        <f t="shared" si="30"/>
        <v>4.1593037460117861</v>
      </c>
      <c r="J89" s="143">
        <f t="shared" si="30"/>
        <v>41.190815236376913</v>
      </c>
      <c r="K89" s="143">
        <f t="shared" si="30"/>
        <v>41.884834276341529</v>
      </c>
      <c r="L89" s="143">
        <f t="shared" si="30"/>
        <v>33.026302825454131</v>
      </c>
      <c r="M89" s="143"/>
      <c r="N89" s="143"/>
    </row>
    <row r="90" spans="1:14">
      <c r="A90" s="140" t="s">
        <v>282</v>
      </c>
      <c r="B90" s="143"/>
      <c r="C90" s="143">
        <f t="shared" ref="C90:K90" si="31">C26/C60</f>
        <v>0.73490494557004826</v>
      </c>
      <c r="D90" s="143">
        <f t="shared" si="31"/>
        <v>1.1766616081331611</v>
      </c>
      <c r="E90" s="143">
        <f t="shared" si="31"/>
        <v>1.4783231406987025</v>
      </c>
      <c r="F90" s="143">
        <f t="shared" si="31"/>
        <v>1.488333001686164</v>
      </c>
      <c r="G90" s="143">
        <f t="shared" si="31"/>
        <v>1.4177323878663095</v>
      </c>
      <c r="H90" s="143">
        <f t="shared" si="31"/>
        <v>1.2603038883645179</v>
      </c>
      <c r="I90" s="143">
        <f t="shared" si="31"/>
        <v>1.3468039622760739</v>
      </c>
      <c r="J90" s="143">
        <f t="shared" si="31"/>
        <v>1.2460535159585098</v>
      </c>
      <c r="K90" s="143">
        <f t="shared" si="31"/>
        <v>1.0015792614069239</v>
      </c>
      <c r="L90" s="140">
        <v>1</v>
      </c>
      <c r="M90" s="140"/>
      <c r="N90" s="140"/>
    </row>
    <row r="91" spans="1:14">
      <c r="A91" s="142"/>
      <c r="B91" s="143"/>
      <c r="C91" s="143"/>
      <c r="D91" s="143"/>
      <c r="E91" s="143"/>
      <c r="F91" s="143"/>
      <c r="G91" s="143"/>
      <c r="H91" s="143"/>
      <c r="I91" s="143"/>
      <c r="J91" s="143"/>
      <c r="K91" s="143"/>
      <c r="L91" s="143"/>
      <c r="M91" s="143"/>
      <c r="N91" s="143"/>
    </row>
    <row r="92" spans="1:14">
      <c r="A92" s="126" t="s">
        <v>358</v>
      </c>
      <c r="B92" s="126"/>
      <c r="C92" s="224">
        <f>SUM('Screener Output.v0'!C35:C35)/SUM('Screener Output.v0'!C40:C41)</f>
        <v>6.0696391196803402E-2</v>
      </c>
      <c r="D92" s="224">
        <f>SUM('Screener Output.v0'!D35:D35)/SUM('Screener Output.v0'!D40:D41)</f>
        <v>0.12261495151704732</v>
      </c>
      <c r="E92" s="224">
        <f>SUM('Screener Output.v0'!E35:E35)/SUM('Screener Output.v0'!E40:E41)</f>
        <v>0.24903825863944024</v>
      </c>
      <c r="F92" s="224">
        <f>SUM('Screener Output.v0'!F35:F35)/SUM('Screener Output.v0'!F40:F41)</f>
        <v>0.33312571577826477</v>
      </c>
      <c r="G92" s="224">
        <f>SUM('Screener Output.v0'!G35:G35)/SUM('Screener Output.v0'!G40:G41)</f>
        <v>0.26941289767449844</v>
      </c>
      <c r="H92" s="224">
        <f>SUM('Screener Output.v0'!H35:H35)/SUM('Screener Output.v0'!H40:H41)</f>
        <v>0.25477031458290789</v>
      </c>
      <c r="I92" s="224">
        <f>SUM('Screener Output.v0'!I35:I35)/SUM('Screener Output.v0'!I40:I41)</f>
        <v>0.27690332530426953</v>
      </c>
      <c r="J92" s="224">
        <f>SUM('Screener Output.v0'!J35:J35)/SUM('Screener Output.v0'!J40:J41)</f>
        <v>0.3661284008880154</v>
      </c>
      <c r="K92" s="224">
        <f>SUM('Screener Output.v0'!K35:K35)/SUM('Screener Output.v0'!K40:K41)</f>
        <v>0.32019038104271796</v>
      </c>
      <c r="L92" s="224">
        <f>SUM('Screener Output.v0'!L35:L35)/SUM('Screener Output.v0'!L40:L41)</f>
        <v>0.30981341579813559</v>
      </c>
      <c r="M92" s="224"/>
      <c r="N92" s="224"/>
    </row>
    <row r="93" spans="1:14">
      <c r="A93" s="126" t="s">
        <v>552</v>
      </c>
      <c r="B93" s="126"/>
      <c r="C93" s="224">
        <f>C31/(C60-C48)</f>
        <v>5.3880091388954492E-2</v>
      </c>
      <c r="D93" s="224">
        <f t="shared" ref="D93:L93" si="32">D31/(D60-D48)</f>
        <v>0.16578069715078983</v>
      </c>
      <c r="E93" s="224">
        <f t="shared" si="32"/>
        <v>0.32171745319254691</v>
      </c>
      <c r="F93" s="224">
        <f t="shared" si="32"/>
        <v>0.43471214241546541</v>
      </c>
      <c r="G93" s="224">
        <f t="shared" si="32"/>
        <v>0.33829634046191442</v>
      </c>
      <c r="H93" s="224">
        <f t="shared" si="32"/>
        <v>0.31632481349213792</v>
      </c>
      <c r="I93" s="224">
        <f t="shared" si="32"/>
        <v>0.38742220944596795</v>
      </c>
      <c r="J93" s="224">
        <f t="shared" si="32"/>
        <v>0.51106467954054502</v>
      </c>
      <c r="K93" s="224">
        <f t="shared" si="32"/>
        <v>0.44627738724408644</v>
      </c>
      <c r="L93" s="224">
        <f t="shared" si="32"/>
        <v>0.43438505704708724</v>
      </c>
      <c r="M93" s="224">
        <f>M31/(L60-L48)</f>
        <v>0.42975333209857802</v>
      </c>
      <c r="N93" s="224"/>
    </row>
    <row r="94" spans="1:14">
      <c r="A94" s="228" t="s">
        <v>472</v>
      </c>
      <c r="B94" s="126"/>
      <c r="C94" s="246">
        <f>C4</f>
        <v>39783</v>
      </c>
      <c r="D94" s="246">
        <f t="shared" ref="D94:L94" si="33">D4</f>
        <v>40148</v>
      </c>
      <c r="E94" s="246">
        <f t="shared" si="33"/>
        <v>40513</v>
      </c>
      <c r="F94" s="246">
        <f t="shared" si="33"/>
        <v>40878</v>
      </c>
      <c r="G94" s="246">
        <f t="shared" si="33"/>
        <v>41244</v>
      </c>
      <c r="H94" s="246">
        <f t="shared" si="33"/>
        <v>41609</v>
      </c>
      <c r="I94" s="246">
        <f t="shared" si="33"/>
        <v>41974</v>
      </c>
      <c r="J94" s="246">
        <f t="shared" si="33"/>
        <v>42430</v>
      </c>
      <c r="K94" s="246">
        <f t="shared" si="33"/>
        <v>42795</v>
      </c>
      <c r="L94" s="246">
        <f t="shared" si="33"/>
        <v>43160</v>
      </c>
      <c r="M94" s="224"/>
      <c r="N94" s="224"/>
    </row>
    <row r="95" spans="1:14">
      <c r="A95" s="126" t="s">
        <v>470</v>
      </c>
      <c r="B95" s="126"/>
      <c r="C95" s="224">
        <f>(C26-C7)/C26</f>
        <v>0.89504065798364363</v>
      </c>
      <c r="D95" s="224">
        <f t="shared" ref="D95:L95" si="34">(D26-D7)/D26</f>
        <v>0.92087129036319637</v>
      </c>
      <c r="E95" s="224">
        <f t="shared" si="34"/>
        <v>0.94065834599325004</v>
      </c>
      <c r="F95" s="224">
        <f t="shared" si="34"/>
        <v>0.93938167834185371</v>
      </c>
      <c r="G95" s="224">
        <f t="shared" si="34"/>
        <v>0.93022258599130814</v>
      </c>
      <c r="H95" s="224">
        <f t="shared" si="34"/>
        <v>0.92474081470821468</v>
      </c>
      <c r="I95" s="224">
        <f t="shared" si="34"/>
        <v>0.93566612346538003</v>
      </c>
      <c r="J95" s="224">
        <f t="shared" si="34"/>
        <v>0.99471285146417077</v>
      </c>
      <c r="K95" s="224">
        <f t="shared" si="34"/>
        <v>0.99288533503190513</v>
      </c>
      <c r="L95" s="224">
        <f t="shared" si="34"/>
        <v>0.99241491317306496</v>
      </c>
      <c r="M95" s="224"/>
      <c r="N95" s="224"/>
    </row>
    <row r="96" spans="1:14">
      <c r="A96" s="126" t="s">
        <v>471</v>
      </c>
      <c r="B96" s="126"/>
      <c r="C96" s="224">
        <f>1-C95</f>
        <v>0.10495934201635637</v>
      </c>
      <c r="D96" s="224">
        <f t="shared" ref="D96:L96" si="35">1-D95</f>
        <v>7.9128709636803629E-2</v>
      </c>
      <c r="E96" s="224">
        <f t="shared" si="35"/>
        <v>5.9341654006749955E-2</v>
      </c>
      <c r="F96" s="224">
        <f t="shared" si="35"/>
        <v>6.061832165814629E-2</v>
      </c>
      <c r="G96" s="224">
        <f t="shared" si="35"/>
        <v>6.9777414008691863E-2</v>
      </c>
      <c r="H96" s="224">
        <f t="shared" si="35"/>
        <v>7.5259185291785324E-2</v>
      </c>
      <c r="I96" s="224">
        <f t="shared" si="35"/>
        <v>6.4333876534619971E-2</v>
      </c>
      <c r="J96" s="224">
        <f t="shared" si="35"/>
        <v>5.2871485358292336E-3</v>
      </c>
      <c r="K96" s="224">
        <f t="shared" si="35"/>
        <v>7.1146649680948748E-3</v>
      </c>
      <c r="L96" s="224">
        <f t="shared" si="35"/>
        <v>7.5850868269350391E-3</v>
      </c>
      <c r="M96" s="224"/>
      <c r="N96" s="224"/>
    </row>
    <row r="97" spans="1:14">
      <c r="A97" s="126"/>
      <c r="B97" s="126"/>
      <c r="C97" s="224"/>
      <c r="D97" s="224"/>
      <c r="E97" s="224"/>
      <c r="F97" s="224"/>
      <c r="G97" s="224"/>
      <c r="H97" s="224"/>
      <c r="I97" s="224"/>
      <c r="J97" s="224"/>
      <c r="K97" s="224"/>
      <c r="L97" s="224"/>
      <c r="M97" s="224"/>
      <c r="N97" s="224"/>
    </row>
    <row r="98" spans="1:14">
      <c r="A98" s="126"/>
      <c r="B98" s="126"/>
      <c r="C98" s="224"/>
      <c r="D98" s="224"/>
      <c r="E98" s="224"/>
      <c r="F98" s="224"/>
      <c r="G98" s="224"/>
      <c r="H98" s="224"/>
      <c r="I98" s="224"/>
      <c r="J98" s="224"/>
      <c r="K98" s="224"/>
      <c r="L98" s="224"/>
      <c r="M98" s="224"/>
      <c r="N98" s="224"/>
    </row>
    <row r="99" spans="1:14">
      <c r="A99" s="228" t="s">
        <v>466</v>
      </c>
      <c r="B99" s="126"/>
      <c r="C99" s="246">
        <f t="shared" ref="C99:L99" si="36">C4</f>
        <v>39783</v>
      </c>
      <c r="D99" s="246">
        <f t="shared" si="36"/>
        <v>40148</v>
      </c>
      <c r="E99" s="246">
        <f t="shared" si="36"/>
        <v>40513</v>
      </c>
      <c r="F99" s="246">
        <f t="shared" si="36"/>
        <v>40878</v>
      </c>
      <c r="G99" s="246">
        <f t="shared" si="36"/>
        <v>41244</v>
      </c>
      <c r="H99" s="246">
        <f t="shared" si="36"/>
        <v>41609</v>
      </c>
      <c r="I99" s="246">
        <f t="shared" si="36"/>
        <v>41974</v>
      </c>
      <c r="J99" s="246">
        <f t="shared" si="36"/>
        <v>42430</v>
      </c>
      <c r="K99" s="246">
        <f t="shared" si="36"/>
        <v>42795</v>
      </c>
      <c r="L99" s="246">
        <f t="shared" si="36"/>
        <v>43160</v>
      </c>
      <c r="M99" s="224"/>
      <c r="N99" s="224"/>
    </row>
    <row r="100" spans="1:14">
      <c r="A100" s="126" t="s">
        <v>252</v>
      </c>
      <c r="B100" s="126"/>
      <c r="C100" s="224">
        <f t="shared" ref="C100:L100" si="37">C42/(C10+C42+C45)</f>
        <v>0.47246396664426388</v>
      </c>
      <c r="D100" s="224">
        <f t="shared" si="37"/>
        <v>0.42243826653800109</v>
      </c>
      <c r="E100" s="224">
        <f t="shared" si="37"/>
        <v>0.41425242992633737</v>
      </c>
      <c r="F100" s="224">
        <f t="shared" si="37"/>
        <v>0.39094131939717025</v>
      </c>
      <c r="G100" s="224">
        <f t="shared" si="37"/>
        <v>0.38935950229858529</v>
      </c>
      <c r="H100" s="224">
        <f t="shared" si="37"/>
        <v>0.38040086613736057</v>
      </c>
      <c r="I100" s="224">
        <f t="shared" si="37"/>
        <v>0.38775991455244069</v>
      </c>
      <c r="J100" s="224">
        <f t="shared" si="37"/>
        <v>0.73734107593033271</v>
      </c>
      <c r="K100" s="224">
        <f t="shared" si="37"/>
        <v>0.76115985286808963</v>
      </c>
      <c r="L100" s="224">
        <f t="shared" si="37"/>
        <v>0.73670460535347326</v>
      </c>
      <c r="M100" s="224"/>
      <c r="N100" s="224"/>
    </row>
    <row r="101" spans="1:14">
      <c r="A101" s="126" t="s">
        <v>462</v>
      </c>
      <c r="B101" s="126"/>
      <c r="C101" s="224">
        <f t="shared" ref="C101:L101" si="38">C10/(C10+C42+C45)</f>
        <v>0.45664225202587294</v>
      </c>
      <c r="D101" s="224">
        <f t="shared" si="38"/>
        <v>0.52696171664471081</v>
      </c>
      <c r="E101" s="224">
        <f t="shared" si="38"/>
        <v>0.55359286168163346</v>
      </c>
      <c r="F101" s="224">
        <f t="shared" si="38"/>
        <v>0.59774253008388922</v>
      </c>
      <c r="G101" s="224">
        <f t="shared" si="38"/>
        <v>0.60555299171089294</v>
      </c>
      <c r="H101" s="224">
        <f t="shared" si="38"/>
        <v>0.60407158588270138</v>
      </c>
      <c r="I101" s="224">
        <f t="shared" si="38"/>
        <v>0.60324528104139985</v>
      </c>
      <c r="J101" s="224">
        <f t="shared" si="38"/>
        <v>0.25810338667974592</v>
      </c>
      <c r="K101" s="224">
        <f t="shared" si="38"/>
        <v>0.22291224917298819</v>
      </c>
      <c r="L101" s="224">
        <f t="shared" si="38"/>
        <v>0.24748836531801113</v>
      </c>
      <c r="M101" s="224"/>
      <c r="N101" s="224"/>
    </row>
    <row r="102" spans="1:14">
      <c r="A102" s="126" t="s">
        <v>463</v>
      </c>
      <c r="B102" s="126"/>
      <c r="C102" s="224">
        <f t="shared" ref="C102:L102" si="39">C45/(C10+C42+C45)</f>
        <v>7.0893781329863056E-2</v>
      </c>
      <c r="D102" s="224">
        <f t="shared" si="39"/>
        <v>5.0600016817288179E-2</v>
      </c>
      <c r="E102" s="224">
        <f t="shared" si="39"/>
        <v>3.215470839202924E-2</v>
      </c>
      <c r="F102" s="224">
        <f t="shared" si="39"/>
        <v>1.1316150518940546E-2</v>
      </c>
      <c r="G102" s="224">
        <f t="shared" si="39"/>
        <v>5.0875059905216629E-3</v>
      </c>
      <c r="H102" s="224">
        <f t="shared" si="39"/>
        <v>1.5527547979938189E-2</v>
      </c>
      <c r="I102" s="224">
        <f t="shared" si="39"/>
        <v>8.9948044061594987E-3</v>
      </c>
      <c r="J102" s="224">
        <f t="shared" si="39"/>
        <v>4.5555373899213028E-3</v>
      </c>
      <c r="K102" s="224">
        <f t="shared" si="39"/>
        <v>1.5927897958922112E-2</v>
      </c>
      <c r="L102" s="224">
        <f t="shared" si="39"/>
        <v>1.5807029328515635E-2</v>
      </c>
      <c r="M102" s="224"/>
      <c r="N102" s="224"/>
    </row>
    <row r="103" spans="1:14">
      <c r="A103" s="126"/>
      <c r="B103" s="126"/>
      <c r="C103" s="224"/>
      <c r="D103" s="224"/>
      <c r="E103" s="224"/>
      <c r="F103" s="224"/>
      <c r="G103" s="224"/>
      <c r="H103" s="224"/>
      <c r="I103" s="224"/>
      <c r="J103" s="224"/>
      <c r="K103" s="224"/>
      <c r="L103" s="224"/>
      <c r="M103" s="224"/>
      <c r="N103" s="224"/>
    </row>
    <row r="104" spans="1:14">
      <c r="A104" s="126"/>
      <c r="B104" s="126"/>
      <c r="C104" s="224"/>
      <c r="D104" s="224"/>
      <c r="E104" s="224"/>
      <c r="F104" s="224"/>
      <c r="G104" s="224"/>
      <c r="H104" s="224"/>
      <c r="I104" s="224"/>
      <c r="J104" s="224"/>
      <c r="K104" s="224"/>
      <c r="L104" s="224"/>
      <c r="M104" s="224"/>
      <c r="N104" s="224"/>
    </row>
    <row r="105" spans="1:14">
      <c r="A105" s="126"/>
      <c r="B105" s="126"/>
      <c r="C105" s="246"/>
      <c r="D105" s="246">
        <f t="shared" ref="D105:L105" si="40">D4</f>
        <v>40148</v>
      </c>
      <c r="E105" s="246">
        <f t="shared" si="40"/>
        <v>40513</v>
      </c>
      <c r="F105" s="246">
        <f t="shared" si="40"/>
        <v>40878</v>
      </c>
      <c r="G105" s="246">
        <f t="shared" si="40"/>
        <v>41244</v>
      </c>
      <c r="H105" s="246">
        <f t="shared" si="40"/>
        <v>41609</v>
      </c>
      <c r="I105" s="246">
        <f t="shared" si="40"/>
        <v>41974</v>
      </c>
      <c r="J105" s="246">
        <f t="shared" si="40"/>
        <v>42430</v>
      </c>
      <c r="K105" s="246">
        <f t="shared" si="40"/>
        <v>42795</v>
      </c>
      <c r="L105" s="246">
        <f t="shared" si="40"/>
        <v>43160</v>
      </c>
      <c r="M105" s="224"/>
      <c r="N105" s="224"/>
    </row>
    <row r="106" spans="1:14">
      <c r="A106" s="274" t="s">
        <v>441</v>
      </c>
      <c r="B106" s="126"/>
      <c r="C106" s="224"/>
      <c r="D106" s="249">
        <f t="shared" ref="D106:L106" si="41">D11-C11</f>
        <v>-370.55999999999995</v>
      </c>
      <c r="E106" s="249">
        <f t="shared" si="41"/>
        <v>-97.039999999999736</v>
      </c>
      <c r="F106" s="249">
        <f t="shared" si="41"/>
        <v>-247.46000000000026</v>
      </c>
      <c r="G106" s="249">
        <f t="shared" si="41"/>
        <v>-523.87000000000035</v>
      </c>
      <c r="H106" s="249">
        <f t="shared" si="41"/>
        <v>-449.01999999999953</v>
      </c>
      <c r="I106" s="249">
        <f t="shared" si="41"/>
        <v>-425.73</v>
      </c>
      <c r="J106" s="249">
        <f t="shared" si="41"/>
        <v>634.94999999999993</v>
      </c>
      <c r="K106" s="249">
        <f t="shared" si="41"/>
        <v>-180.1099999999999</v>
      </c>
      <c r="L106" s="249">
        <f t="shared" si="41"/>
        <v>541.92999999999995</v>
      </c>
      <c r="M106" s="224"/>
      <c r="N106" s="224"/>
    </row>
    <row r="107" spans="1:14">
      <c r="A107" s="274" t="s">
        <v>359</v>
      </c>
      <c r="B107" s="126"/>
      <c r="C107" s="224"/>
      <c r="D107" s="249">
        <f t="shared" ref="D107:L107" si="42">C35</f>
        <v>66.989999999999938</v>
      </c>
      <c r="E107" s="249">
        <f t="shared" si="42"/>
        <v>129.3600000000001</v>
      </c>
      <c r="F107" s="249">
        <f t="shared" si="42"/>
        <v>306.84999999999991</v>
      </c>
      <c r="G107" s="249">
        <f t="shared" si="42"/>
        <v>497.40000000000049</v>
      </c>
      <c r="H107" s="249">
        <f t="shared" si="42"/>
        <v>472.79000000000065</v>
      </c>
      <c r="I107" s="249">
        <f t="shared" si="42"/>
        <v>523.66000000000054</v>
      </c>
      <c r="J107" s="249">
        <f t="shared" si="42"/>
        <v>696.64999999999952</v>
      </c>
      <c r="K107" s="249">
        <f t="shared" si="42"/>
        <v>1337.5</v>
      </c>
      <c r="L107" s="249">
        <f t="shared" si="42"/>
        <v>1711.4400000000003</v>
      </c>
      <c r="M107" s="224"/>
      <c r="N107" s="224"/>
    </row>
    <row r="108" spans="1:14">
      <c r="B108" s="126"/>
      <c r="C108" s="224"/>
      <c r="E108" s="249"/>
      <c r="F108" s="249"/>
      <c r="G108" s="249"/>
      <c r="H108" s="249"/>
      <c r="I108" s="249"/>
      <c r="J108" s="249"/>
      <c r="K108" s="249"/>
      <c r="L108" s="249"/>
      <c r="M108" s="224"/>
      <c r="N108" s="224"/>
    </row>
    <row r="109" spans="1:14">
      <c r="A109" s="274"/>
      <c r="B109" s="126"/>
      <c r="C109" s="224"/>
      <c r="D109" s="249"/>
      <c r="E109" s="249"/>
      <c r="F109" s="249"/>
      <c r="G109" s="249"/>
      <c r="H109" s="249"/>
      <c r="I109" s="249"/>
      <c r="J109" s="249"/>
      <c r="K109" s="249"/>
      <c r="L109" s="249"/>
      <c r="M109" s="224"/>
      <c r="N109" s="224"/>
    </row>
    <row r="110" spans="1:14">
      <c r="A110" s="126"/>
      <c r="B110" s="126"/>
      <c r="C110" s="224"/>
      <c r="D110" s="224"/>
      <c r="E110" s="224"/>
      <c r="F110" s="224"/>
      <c r="G110" s="224"/>
      <c r="H110" s="224"/>
      <c r="I110" s="224"/>
      <c r="J110" s="224"/>
      <c r="K110" s="224"/>
      <c r="L110" s="224"/>
      <c r="M110" s="224"/>
      <c r="N110" s="224"/>
    </row>
    <row r="111" spans="1:14">
      <c r="A111" s="126"/>
      <c r="B111" s="126"/>
      <c r="C111" s="246">
        <f t="shared" ref="C111:L111" si="43">C4</f>
        <v>39783</v>
      </c>
      <c r="D111" s="246">
        <f t="shared" si="43"/>
        <v>40148</v>
      </c>
      <c r="E111" s="246">
        <f t="shared" si="43"/>
        <v>40513</v>
      </c>
      <c r="F111" s="246">
        <f t="shared" si="43"/>
        <v>40878</v>
      </c>
      <c r="G111" s="246">
        <f t="shared" si="43"/>
        <v>41244</v>
      </c>
      <c r="H111" s="246">
        <f t="shared" si="43"/>
        <v>41609</v>
      </c>
      <c r="I111" s="246">
        <f t="shared" si="43"/>
        <v>41974</v>
      </c>
      <c r="J111" s="246">
        <f t="shared" si="43"/>
        <v>42430</v>
      </c>
      <c r="K111" s="246">
        <f t="shared" si="43"/>
        <v>42795</v>
      </c>
      <c r="L111" s="246">
        <f t="shared" si="43"/>
        <v>43160</v>
      </c>
      <c r="M111" s="224"/>
      <c r="N111" s="224"/>
    </row>
    <row r="112" spans="1:14">
      <c r="A112" s="126" t="s">
        <v>435</v>
      </c>
      <c r="B112" s="126"/>
      <c r="C112" s="249">
        <f t="shared" ref="C112:L112" si="44">(C7/C26)*365</f>
        <v>38.310159835970083</v>
      </c>
      <c r="D112" s="249">
        <f t="shared" si="44"/>
        <v>28.881979017433295</v>
      </c>
      <c r="E112" s="249">
        <f t="shared" si="44"/>
        <v>21.659703712463727</v>
      </c>
      <c r="F112" s="249">
        <f t="shared" si="44"/>
        <v>22.125687405223399</v>
      </c>
      <c r="G112" s="249">
        <f t="shared" si="44"/>
        <v>25.468756113172525</v>
      </c>
      <c r="H112" s="249">
        <f t="shared" si="44"/>
        <v>27.469602631501658</v>
      </c>
      <c r="I112" s="249">
        <f t="shared" si="44"/>
        <v>23.481864935136276</v>
      </c>
      <c r="J112" s="249">
        <f t="shared" si="44"/>
        <v>1.9298092155776501</v>
      </c>
      <c r="K112" s="249">
        <f t="shared" si="44"/>
        <v>2.5968527133546413</v>
      </c>
      <c r="L112" s="249">
        <f t="shared" si="44"/>
        <v>2.768556691831308</v>
      </c>
      <c r="M112" s="224"/>
      <c r="N112" s="224"/>
    </row>
    <row r="113" spans="1:14">
      <c r="A113" s="126" t="s">
        <v>436</v>
      </c>
      <c r="B113" s="126"/>
      <c r="C113" s="264">
        <f>C27/C54</f>
        <v>4.0907504363001745</v>
      </c>
      <c r="D113" s="264">
        <f t="shared" ref="D113:L113" si="45">D27/AVERAGE(C54:D54)</f>
        <v>7.5874907994183438</v>
      </c>
      <c r="E113" s="264">
        <f t="shared" si="45"/>
        <v>12.433856420033731</v>
      </c>
      <c r="F113" s="264">
        <f t="shared" si="45"/>
        <v>11.097444597603646</v>
      </c>
      <c r="G113" s="264">
        <f t="shared" si="45"/>
        <v>10.096793193717279</v>
      </c>
      <c r="H113" s="264">
        <f t="shared" si="45"/>
        <v>9.1730337521168934</v>
      </c>
      <c r="I113" s="264">
        <f t="shared" si="45"/>
        <v>9.990088030571858</v>
      </c>
      <c r="J113" s="264">
        <f t="shared" si="45"/>
        <v>7.3334591313645943</v>
      </c>
      <c r="K113" s="264">
        <f t="shared" si="45"/>
        <v>11.565351006534325</v>
      </c>
      <c r="L113" s="264">
        <f t="shared" si="45"/>
        <v>12.80989405097599</v>
      </c>
      <c r="M113" s="224"/>
      <c r="N113" s="224"/>
    </row>
    <row r="114" spans="1:14">
      <c r="A114" s="274" t="s">
        <v>220</v>
      </c>
      <c r="B114" s="126"/>
      <c r="C114" s="224">
        <f>C6/C26</f>
        <v>0.19692327407441926</v>
      </c>
      <c r="D114" s="224">
        <f t="shared" ref="D114:L114" si="46">D6/D26</f>
        <v>7.4510911547217576E-2</v>
      </c>
      <c r="E114" s="224">
        <f t="shared" si="46"/>
        <v>7.4258371464699297E-2</v>
      </c>
      <c r="F114" s="224">
        <f t="shared" si="46"/>
        <v>7.5286484812874491E-2</v>
      </c>
      <c r="G114" s="224">
        <f t="shared" si="46"/>
        <v>7.6502099410161978E-2</v>
      </c>
      <c r="H114" s="224">
        <f t="shared" si="46"/>
        <v>7.7359100120414692E-2</v>
      </c>
      <c r="I114" s="224">
        <f t="shared" si="46"/>
        <v>7.3872323284109531E-2</v>
      </c>
      <c r="J114" s="224">
        <f t="shared" si="46"/>
        <v>4.9954158607976723E-2</v>
      </c>
      <c r="K114" s="224">
        <f t="shared" si="46"/>
        <v>4.775811276544923E-2</v>
      </c>
      <c r="L114" s="224">
        <f t="shared" si="46"/>
        <v>4.402027449090682E-2</v>
      </c>
      <c r="M114" s="224"/>
      <c r="N114" s="224"/>
    </row>
    <row r="115" spans="1:14">
      <c r="A115" s="126"/>
      <c r="B115" s="126"/>
      <c r="C115" s="224"/>
      <c r="D115" s="224"/>
      <c r="E115" s="224"/>
      <c r="F115" s="224"/>
      <c r="G115" s="224"/>
      <c r="H115" s="224"/>
      <c r="I115" s="224"/>
      <c r="J115" s="224"/>
      <c r="K115" s="224"/>
      <c r="L115" s="224"/>
      <c r="M115" s="224"/>
      <c r="N115" s="224"/>
    </row>
    <row r="116" spans="1:14">
      <c r="A116" s="126"/>
      <c r="B116" s="126"/>
      <c r="C116" s="246">
        <f t="shared" ref="C116:L116" si="47">C4</f>
        <v>39783</v>
      </c>
      <c r="D116" s="246">
        <f t="shared" si="47"/>
        <v>40148</v>
      </c>
      <c r="E116" s="246">
        <f t="shared" si="47"/>
        <v>40513</v>
      </c>
      <c r="F116" s="246">
        <f t="shared" si="47"/>
        <v>40878</v>
      </c>
      <c r="G116" s="246">
        <f t="shared" si="47"/>
        <v>41244</v>
      </c>
      <c r="H116" s="246">
        <f t="shared" si="47"/>
        <v>41609</v>
      </c>
      <c r="I116" s="246">
        <f t="shared" si="47"/>
        <v>41974</v>
      </c>
      <c r="J116" s="246">
        <f t="shared" si="47"/>
        <v>42430</v>
      </c>
      <c r="K116" s="246">
        <f t="shared" si="47"/>
        <v>42795</v>
      </c>
      <c r="L116" s="246">
        <f t="shared" si="47"/>
        <v>43160</v>
      </c>
      <c r="M116" s="224"/>
      <c r="N116" s="224"/>
    </row>
    <row r="117" spans="1:14">
      <c r="A117" s="126" t="s">
        <v>327</v>
      </c>
      <c r="B117" s="126"/>
      <c r="C117" s="264">
        <f t="shared" ref="C117:L117" si="48">C45/C35</f>
        <v>2.4721600238841641</v>
      </c>
      <c r="D117" s="264">
        <f t="shared" si="48"/>
        <v>0.97688620902906542</v>
      </c>
      <c r="E117" s="264">
        <f t="shared" si="48"/>
        <v>0.31168323284992677</v>
      </c>
      <c r="F117" s="264">
        <f t="shared" si="48"/>
        <v>8.6891837555287413E-2</v>
      </c>
      <c r="G117" s="264">
        <f t="shared" si="48"/>
        <v>4.8499333742253362E-2</v>
      </c>
      <c r="H117" s="264">
        <f t="shared" si="48"/>
        <v>0.16021846236107382</v>
      </c>
      <c r="I117" s="264">
        <f t="shared" si="48"/>
        <v>8.3772339051173525E-2</v>
      </c>
      <c r="J117" s="264">
        <f t="shared" si="48"/>
        <v>1.6874766355140187E-2</v>
      </c>
      <c r="K117" s="264">
        <f t="shared" si="48"/>
        <v>6.5354321507035004E-2</v>
      </c>
      <c r="L117" s="264">
        <f t="shared" si="48"/>
        <v>6.9255880367858763E-2</v>
      </c>
      <c r="M117" s="224"/>
      <c r="N117" s="224"/>
    </row>
    <row r="118" spans="1:14">
      <c r="A118" s="126" t="s">
        <v>209</v>
      </c>
      <c r="B118" s="126"/>
      <c r="C118" s="264">
        <f t="shared" ref="C118:L118" si="49">C62/C35</f>
        <v>-1.3285565009702953</v>
      </c>
      <c r="D118" s="264">
        <f t="shared" si="49"/>
        <v>2.8483302411873819</v>
      </c>
      <c r="E118" s="264">
        <f t="shared" si="49"/>
        <v>1.094834609744175</v>
      </c>
      <c r="F118" s="264">
        <f t="shared" si="49"/>
        <v>0.81421391234418905</v>
      </c>
      <c r="G118" s="264">
        <f t="shared" si="49"/>
        <v>1.0491761670086071</v>
      </c>
      <c r="H118" s="264">
        <f t="shared" si="49"/>
        <v>1.3676813199404181</v>
      </c>
      <c r="I118" s="264">
        <f t="shared" si="49"/>
        <v>1.5035814253929531</v>
      </c>
      <c r="J118" s="264">
        <f t="shared" si="49"/>
        <v>1.0938915887850467</v>
      </c>
      <c r="K118" s="264">
        <f t="shared" si="49"/>
        <v>0.99797246762959835</v>
      </c>
      <c r="L118" s="264">
        <f t="shared" si="49"/>
        <v>1.1396871456053925</v>
      </c>
      <c r="M118" s="224"/>
      <c r="N118" s="224"/>
    </row>
    <row r="119" spans="1:14">
      <c r="A119" s="126" t="s">
        <v>425</v>
      </c>
      <c r="B119" s="126"/>
      <c r="C119" s="224">
        <f t="shared" ref="C119:L119" si="50">C35/C11</f>
        <v>7.5945492472338047E-2</v>
      </c>
      <c r="D119" s="224">
        <f t="shared" si="50"/>
        <v>0.25289333750391013</v>
      </c>
      <c r="E119" s="224">
        <f t="shared" si="50"/>
        <v>0.7403252267901943</v>
      </c>
      <c r="F119" s="224">
        <f t="shared" si="50"/>
        <v>2.9780864567117744</v>
      </c>
      <c r="G119" s="224">
        <f t="shared" si="50"/>
        <v>-1.3248984167016959</v>
      </c>
      <c r="H119" s="224">
        <f t="shared" si="50"/>
        <v>-0.64980704083785301</v>
      </c>
      <c r="I119" s="224">
        <f t="shared" si="50"/>
        <v>-0.56564631373822638</v>
      </c>
      <c r="J119" s="224">
        <f t="shared" si="50"/>
        <v>-2.2416827285678371</v>
      </c>
      <c r="K119" s="224">
        <f t="shared" si="50"/>
        <v>-2.2033060404758236</v>
      </c>
      <c r="L119" s="224">
        <f t="shared" si="50"/>
        <v>-9.274837116211728</v>
      </c>
      <c r="M119" s="224"/>
      <c r="N119" s="224"/>
    </row>
    <row r="120" spans="1:14">
      <c r="A120" s="126" t="s">
        <v>426</v>
      </c>
      <c r="B120" s="126"/>
      <c r="C120" s="259">
        <f>C26/C50</f>
        <v>5.2146285158860328</v>
      </c>
      <c r="D120" s="259">
        <f t="shared" ref="D120:L120" si="51">D26/AVERAGE(C50:D50)</f>
        <v>8.4840777203568436</v>
      </c>
      <c r="E120" s="259">
        <f t="shared" si="51"/>
        <v>11.758470383741143</v>
      </c>
      <c r="F120" s="259">
        <f t="shared" si="51"/>
        <v>12.791224122412242</v>
      </c>
      <c r="G120" s="259">
        <f t="shared" si="51"/>
        <v>8.5413776048976757</v>
      </c>
      <c r="H120" s="259">
        <f t="shared" si="51"/>
        <v>5.1434700182028292</v>
      </c>
      <c r="I120" s="259">
        <f t="shared" si="51"/>
        <v>4.4072051988793257</v>
      </c>
      <c r="J120" s="259">
        <f t="shared" si="51"/>
        <v>3.984265486040298</v>
      </c>
      <c r="K120" s="259">
        <f t="shared" si="51"/>
        <v>8.4618466406395694</v>
      </c>
      <c r="L120" s="259">
        <f t="shared" si="51"/>
        <v>7.5511250931786869</v>
      </c>
      <c r="M120" s="224"/>
      <c r="N120" s="224"/>
    </row>
    <row r="121" spans="1:14">
      <c r="A121" s="126" t="s">
        <v>442</v>
      </c>
      <c r="B121" s="126"/>
      <c r="C121" s="259">
        <f t="shared" ref="C121:L121" si="52">C10/C9</f>
        <v>0.54737506478312403</v>
      </c>
      <c r="D121" s="259">
        <f t="shared" si="52"/>
        <v>0.72010921606285938</v>
      </c>
      <c r="E121" s="259">
        <f t="shared" si="52"/>
        <v>0.79890057106260326</v>
      </c>
      <c r="F121" s="259">
        <f t="shared" si="52"/>
        <v>0.93182829317670679</v>
      </c>
      <c r="G121" s="259">
        <f t="shared" si="52"/>
        <v>1.1504141288541383</v>
      </c>
      <c r="H121" s="259">
        <f t="shared" si="52"/>
        <v>1.327841308973154</v>
      </c>
      <c r="I121" s="259">
        <f t="shared" si="52"/>
        <v>1.4591462027982716</v>
      </c>
      <c r="J121" s="259">
        <f t="shared" si="52"/>
        <v>1.8747251136197038</v>
      </c>
      <c r="K121" s="259">
        <f t="shared" si="52"/>
        <v>1.9849985417010105</v>
      </c>
      <c r="L121" s="259">
        <f t="shared" si="52"/>
        <v>1.110412111808543</v>
      </c>
      <c r="M121" s="224"/>
      <c r="N121" s="224"/>
    </row>
    <row r="122" spans="1:14">
      <c r="A122" s="126"/>
      <c r="B122" s="126"/>
      <c r="C122" s="224"/>
      <c r="D122" s="224"/>
      <c r="E122" s="224"/>
      <c r="F122" s="224"/>
      <c r="G122" s="224"/>
      <c r="H122" s="224"/>
      <c r="I122" s="224"/>
      <c r="J122" s="224"/>
      <c r="K122" s="224"/>
      <c r="L122" s="224"/>
      <c r="M122" s="224"/>
      <c r="N122" s="224"/>
    </row>
    <row r="123" spans="1:14">
      <c r="A123" s="126"/>
      <c r="B123" s="126"/>
      <c r="C123" s="224"/>
      <c r="D123" s="224"/>
      <c r="E123" s="224"/>
      <c r="F123" s="224"/>
      <c r="G123" s="224"/>
      <c r="H123" s="224"/>
      <c r="I123" s="224"/>
      <c r="J123" s="224"/>
      <c r="K123" s="224"/>
      <c r="L123" s="224"/>
      <c r="M123" s="224"/>
      <c r="N123" s="224"/>
    </row>
    <row r="124" spans="1:14">
      <c r="A124" s="126"/>
      <c r="B124" s="126"/>
      <c r="C124" s="224"/>
      <c r="D124" s="224"/>
      <c r="E124" s="224"/>
      <c r="F124" s="224"/>
      <c r="G124" s="224"/>
      <c r="H124" s="224"/>
      <c r="I124" s="224"/>
      <c r="J124" s="224"/>
      <c r="K124" s="224"/>
      <c r="L124" s="224"/>
      <c r="M124" s="224"/>
      <c r="N124" s="224"/>
    </row>
    <row r="125" spans="1:14">
      <c r="A125" s="228" t="s">
        <v>422</v>
      </c>
      <c r="B125" s="126"/>
      <c r="C125" s="240">
        <f t="shared" ref="C125:L125" si="53">C4</f>
        <v>39783</v>
      </c>
      <c r="D125" s="240">
        <f t="shared" si="53"/>
        <v>40148</v>
      </c>
      <c r="E125" s="240">
        <f t="shared" si="53"/>
        <v>40513</v>
      </c>
      <c r="F125" s="240">
        <f t="shared" si="53"/>
        <v>40878</v>
      </c>
      <c r="G125" s="240">
        <f t="shared" si="53"/>
        <v>41244</v>
      </c>
      <c r="H125" s="240">
        <f t="shared" si="53"/>
        <v>41609</v>
      </c>
      <c r="I125" s="240">
        <f t="shared" si="53"/>
        <v>41974</v>
      </c>
      <c r="J125" s="240">
        <f t="shared" si="53"/>
        <v>42430</v>
      </c>
      <c r="K125" s="240">
        <f t="shared" si="53"/>
        <v>42795</v>
      </c>
      <c r="L125" s="240">
        <f t="shared" si="53"/>
        <v>43160</v>
      </c>
      <c r="M125" s="126" t="s">
        <v>469</v>
      </c>
      <c r="N125" s="126"/>
    </row>
    <row r="126" spans="1:14">
      <c r="A126" s="126" t="s">
        <v>459</v>
      </c>
      <c r="B126" s="126"/>
      <c r="C126" s="224">
        <f t="shared" ref="C126:M126" si="54">C29/C26</f>
        <v>6.1324821174771046E-2</v>
      </c>
      <c r="D126" s="224">
        <f t="shared" si="54"/>
        <v>8.4981777222719448E-2</v>
      </c>
      <c r="E126" s="224">
        <f t="shared" si="54"/>
        <v>0.11017993759494936</v>
      </c>
      <c r="F126" s="224">
        <f t="shared" si="54"/>
        <v>0.12874312594776607</v>
      </c>
      <c r="G126" s="224">
        <f t="shared" si="54"/>
        <v>0.10698149733407</v>
      </c>
      <c r="H126" s="224">
        <f t="shared" si="54"/>
        <v>0.11847043966048937</v>
      </c>
      <c r="I126" s="224">
        <f t="shared" si="54"/>
        <v>0.139286499006674</v>
      </c>
      <c r="J126" s="224">
        <f t="shared" si="54"/>
        <v>0.32641338892614508</v>
      </c>
      <c r="K126" s="224">
        <f t="shared" si="54"/>
        <v>0.36811850950328157</v>
      </c>
      <c r="L126" s="224">
        <f t="shared" si="54"/>
        <v>0.37284940479377487</v>
      </c>
      <c r="M126" s="224">
        <f t="shared" si="54"/>
        <v>0.35052832874442685</v>
      </c>
      <c r="N126" s="126"/>
    </row>
    <row r="127" spans="1:14">
      <c r="A127" s="126" t="s">
        <v>419</v>
      </c>
      <c r="B127" s="126"/>
      <c r="C127" s="253">
        <f t="shared" ref="C127:M127" si="55">C35/C25</f>
        <v>3.6642599277978305E-2</v>
      </c>
      <c r="D127" s="253">
        <f t="shared" si="55"/>
        <v>4.2405745886780359E-2</v>
      </c>
      <c r="E127" s="253">
        <f t="shared" si="55"/>
        <v>6.7671129557629051E-2</v>
      </c>
      <c r="F127" s="253">
        <f t="shared" si="55"/>
        <v>8.536271430777953E-2</v>
      </c>
      <c r="G127" s="253">
        <f t="shared" si="55"/>
        <v>7.2441251323444561E-2</v>
      </c>
      <c r="H127" s="253">
        <f t="shared" si="55"/>
        <v>7.583681023708605E-2</v>
      </c>
      <c r="I127" s="253">
        <f t="shared" si="55"/>
        <v>7.8755245450927852E-2</v>
      </c>
      <c r="J127" s="253">
        <f t="shared" si="55"/>
        <v>0.20578537700650359</v>
      </c>
      <c r="K127" s="253">
        <f t="shared" si="55"/>
        <v>0.22971855637999725</v>
      </c>
      <c r="L127" s="253">
        <f t="shared" si="55"/>
        <v>0.22922512161084105</v>
      </c>
      <c r="M127" s="253">
        <f t="shared" si="55"/>
        <v>0.20664680051437012</v>
      </c>
      <c r="N127" s="126"/>
    </row>
    <row r="128" spans="1:14">
      <c r="A128" s="126"/>
      <c r="B128" s="126"/>
      <c r="C128" s="253"/>
      <c r="D128" s="253"/>
      <c r="E128" s="253"/>
      <c r="F128" s="253"/>
      <c r="G128" s="253"/>
      <c r="H128" s="253"/>
      <c r="I128" s="253"/>
      <c r="J128" s="253"/>
      <c r="K128" s="253"/>
      <c r="L128" s="253"/>
      <c r="M128" s="126"/>
      <c r="N128" s="126"/>
    </row>
    <row r="129" spans="1:14">
      <c r="A129" s="228" t="s">
        <v>246</v>
      </c>
      <c r="B129" s="126"/>
      <c r="C129" s="246">
        <f>C125</f>
        <v>39783</v>
      </c>
      <c r="D129" s="246">
        <f t="shared" ref="D129:L129" si="56">D125</f>
        <v>40148</v>
      </c>
      <c r="E129" s="246">
        <f t="shared" si="56"/>
        <v>40513</v>
      </c>
      <c r="F129" s="246">
        <f t="shared" si="56"/>
        <v>40878</v>
      </c>
      <c r="G129" s="246">
        <f t="shared" si="56"/>
        <v>41244</v>
      </c>
      <c r="H129" s="246">
        <f t="shared" si="56"/>
        <v>41609</v>
      </c>
      <c r="I129" s="246">
        <f t="shared" si="56"/>
        <v>41974</v>
      </c>
      <c r="J129" s="246">
        <f t="shared" si="56"/>
        <v>42430</v>
      </c>
      <c r="K129" s="246">
        <f t="shared" si="56"/>
        <v>42795</v>
      </c>
      <c r="L129" s="246">
        <f t="shared" si="56"/>
        <v>43160</v>
      </c>
      <c r="M129" s="126" t="s">
        <v>469</v>
      </c>
      <c r="N129" s="126"/>
    </row>
    <row r="130" spans="1:14">
      <c r="A130" s="126" t="s">
        <v>18</v>
      </c>
      <c r="B130" s="126"/>
      <c r="C130" s="224">
        <f>C30/C29</f>
        <v>0.35039893617021295</v>
      </c>
      <c r="D130" s="224">
        <f t="shared" ref="D130:L130" si="57">D30/D29</f>
        <v>0.21575301325431462</v>
      </c>
      <c r="E130" s="224">
        <f t="shared" si="57"/>
        <v>0.11827357731128864</v>
      </c>
      <c r="F130" s="224">
        <f t="shared" si="57"/>
        <v>8.739734637825719E-2</v>
      </c>
      <c r="G130" s="224">
        <f t="shared" si="57"/>
        <v>0.12020187244002331</v>
      </c>
      <c r="H130" s="224">
        <f t="shared" si="57"/>
        <v>0.16118796172343683</v>
      </c>
      <c r="I130" s="224">
        <f t="shared" si="57"/>
        <v>0.18060519418632365</v>
      </c>
      <c r="J130" s="224">
        <f t="shared" si="57"/>
        <v>6.7788199096819018E-2</v>
      </c>
      <c r="K130" s="224">
        <f t="shared" si="57"/>
        <v>5.9406514207584846E-2</v>
      </c>
      <c r="L130" s="224">
        <f t="shared" si="57"/>
        <v>6.680468380711907E-2</v>
      </c>
      <c r="M130" s="224">
        <f>M30/M29</f>
        <v>7.4448526655169822E-2</v>
      </c>
      <c r="N130" s="126"/>
    </row>
    <row r="131" spans="1:14">
      <c r="A131" s="126" t="s">
        <v>17</v>
      </c>
      <c r="B131" s="126"/>
      <c r="C131" s="224">
        <f>C32/C29</f>
        <v>9.4319908814589709E-2</v>
      </c>
      <c r="D131" s="224">
        <f t="shared" ref="D131:L131" si="58">D32/D29</f>
        <v>3.4717494894486035E-2</v>
      </c>
      <c r="E131" s="224">
        <f t="shared" si="58"/>
        <v>1.9609057320370719E-2</v>
      </c>
      <c r="F131" s="224">
        <f t="shared" si="58"/>
        <v>1.0480576090075557E-2</v>
      </c>
      <c r="G131" s="224">
        <f t="shared" si="58"/>
        <v>5.5441778818022189E-3</v>
      </c>
      <c r="H131" s="224">
        <f t="shared" si="58"/>
        <v>9.767464921414044E-3</v>
      </c>
      <c r="I131" s="224">
        <f t="shared" si="58"/>
        <v>8.0352961474945191E-3</v>
      </c>
      <c r="J131" s="224">
        <f t="shared" si="58"/>
        <v>1.0520569698774255E-3</v>
      </c>
      <c r="K131" s="224">
        <f t="shared" si="58"/>
        <v>1.3749898613809378E-3</v>
      </c>
      <c r="L131" s="224">
        <f t="shared" si="58"/>
        <v>1.5975683454098333E-3</v>
      </c>
      <c r="M131" s="224">
        <f>M32/M29</f>
        <v>1.7245257554172606E-3</v>
      </c>
      <c r="N131" s="126"/>
    </row>
    <row r="132" spans="1:14">
      <c r="A132" s="126" t="s">
        <v>420</v>
      </c>
      <c r="B132" s="126"/>
      <c r="C132" s="224">
        <f>C34/C29</f>
        <v>-8.1022036474164172E-2</v>
      </c>
      <c r="D132" s="224">
        <f t="shared" ref="D132:L132" si="59">D34/D29</f>
        <v>0.23153005245665312</v>
      </c>
      <c r="E132" s="224">
        <f t="shared" si="59"/>
        <v>0.22874481392036661</v>
      </c>
      <c r="F132" s="224">
        <f t="shared" si="59"/>
        <v>0.22245603487148641</v>
      </c>
      <c r="G132" s="224">
        <f t="shared" si="59"/>
        <v>0.1826360444704504</v>
      </c>
      <c r="H132" s="224">
        <f t="shared" si="59"/>
        <v>0.17995438544300649</v>
      </c>
      <c r="I132" s="224">
        <f t="shared" si="59"/>
        <v>0.23898844001873271</v>
      </c>
      <c r="J132" s="224">
        <f t="shared" si="59"/>
        <v>0.2674209716639373</v>
      </c>
      <c r="K132" s="224">
        <f t="shared" si="59"/>
        <v>0.27820370706536218</v>
      </c>
      <c r="L132" s="224">
        <f t="shared" si="59"/>
        <v>0.28000227369277625</v>
      </c>
      <c r="M132" s="224">
        <f>M34/M29</f>
        <v>0.30112918947289496</v>
      </c>
      <c r="N132" s="126"/>
    </row>
    <row r="133" spans="1:14">
      <c r="A133" s="126" t="s">
        <v>421</v>
      </c>
      <c r="B133" s="126"/>
      <c r="C133" s="224">
        <f>C35/C29</f>
        <v>0.63630319148936143</v>
      </c>
      <c r="D133" s="224">
        <f t="shared" ref="D133:L133" si="60">D35/D29</f>
        <v>0.5179994393945464</v>
      </c>
      <c r="E133" s="224">
        <f t="shared" si="60"/>
        <v>0.633372551447974</v>
      </c>
      <c r="F133" s="224">
        <f t="shared" si="60"/>
        <v>0.67966604266018082</v>
      </c>
      <c r="G133" s="224">
        <f t="shared" si="60"/>
        <v>0.69161790520772415</v>
      </c>
      <c r="H133" s="224">
        <f t="shared" si="60"/>
        <v>0.64909018791214257</v>
      </c>
      <c r="I133" s="224">
        <f t="shared" si="60"/>
        <v>0.57237106964744922</v>
      </c>
      <c r="J133" s="224">
        <f t="shared" si="60"/>
        <v>0.66373877226936639</v>
      </c>
      <c r="K133" s="224">
        <f t="shared" si="60"/>
        <v>0.66101478886567211</v>
      </c>
      <c r="L133" s="224">
        <f t="shared" si="60"/>
        <v>0.65159547415469476</v>
      </c>
      <c r="M133" s="224">
        <f>M35/M29</f>
        <v>0.62269775811651795</v>
      </c>
      <c r="N133" s="126"/>
    </row>
    <row r="134" spans="1:14">
      <c r="A134" s="126" t="s">
        <v>57</v>
      </c>
      <c r="B134" s="126"/>
      <c r="C134" s="224">
        <f>SUM(C130:C133)</f>
        <v>0.99999999999999989</v>
      </c>
      <c r="D134" s="224">
        <f t="shared" ref="D134:M134" si="61">SUM(D130:D133)</f>
        <v>1.0000000000000002</v>
      </c>
      <c r="E134" s="224">
        <f t="shared" si="61"/>
        <v>1</v>
      </c>
      <c r="F134" s="224">
        <f t="shared" si="61"/>
        <v>1</v>
      </c>
      <c r="G134" s="224">
        <f t="shared" si="61"/>
        <v>1</v>
      </c>
      <c r="H134" s="224">
        <f t="shared" si="61"/>
        <v>0.99999999999999989</v>
      </c>
      <c r="I134" s="224">
        <f t="shared" si="61"/>
        <v>1</v>
      </c>
      <c r="J134" s="224">
        <f t="shared" si="61"/>
        <v>1</v>
      </c>
      <c r="K134" s="224">
        <f t="shared" si="61"/>
        <v>1</v>
      </c>
      <c r="L134" s="224">
        <f t="shared" si="61"/>
        <v>0.99999999999999989</v>
      </c>
      <c r="M134" s="224">
        <f t="shared" si="61"/>
        <v>1</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8" t="s">
        <v>413</v>
      </c>
      <c r="B137" s="126"/>
      <c r="C137" s="240">
        <f t="shared" ref="C137:L137" si="62">C4</f>
        <v>39783</v>
      </c>
      <c r="D137" s="240">
        <f t="shared" si="62"/>
        <v>40148</v>
      </c>
      <c r="E137" s="240">
        <f t="shared" si="62"/>
        <v>40513</v>
      </c>
      <c r="F137" s="240">
        <f t="shared" si="62"/>
        <v>40878</v>
      </c>
      <c r="G137" s="240">
        <f t="shared" si="62"/>
        <v>41244</v>
      </c>
      <c r="H137" s="240">
        <f t="shared" si="62"/>
        <v>41609</v>
      </c>
      <c r="I137" s="240">
        <f t="shared" si="62"/>
        <v>41974</v>
      </c>
      <c r="J137" s="240">
        <f t="shared" si="62"/>
        <v>42430</v>
      </c>
      <c r="K137" s="240">
        <f t="shared" si="62"/>
        <v>42795</v>
      </c>
      <c r="L137" s="240">
        <f t="shared" si="62"/>
        <v>43160</v>
      </c>
      <c r="M137" s="126"/>
      <c r="N137" s="126"/>
    </row>
    <row r="138" spans="1:14" ht="39">
      <c r="A138" s="258" t="s">
        <v>414</v>
      </c>
      <c r="B138" s="126"/>
      <c r="C138" s="259">
        <f>C26/C50</f>
        <v>5.2146285158860328</v>
      </c>
      <c r="D138" s="259">
        <f t="shared" ref="D138:L138" si="63">D26/AVERAGE(C50:D50)</f>
        <v>8.4840777203568436</v>
      </c>
      <c r="E138" s="259">
        <f t="shared" si="63"/>
        <v>11.758470383741143</v>
      </c>
      <c r="F138" s="259">
        <f t="shared" si="63"/>
        <v>12.791224122412242</v>
      </c>
      <c r="G138" s="259">
        <f t="shared" si="63"/>
        <v>8.5413776048976757</v>
      </c>
      <c r="H138" s="259">
        <f t="shared" si="63"/>
        <v>5.1434700182028292</v>
      </c>
      <c r="I138" s="259">
        <f t="shared" si="63"/>
        <v>4.4072051988793257</v>
      </c>
      <c r="J138" s="259">
        <f t="shared" si="63"/>
        <v>3.984265486040298</v>
      </c>
      <c r="K138" s="259">
        <f t="shared" si="63"/>
        <v>8.4618466406395694</v>
      </c>
      <c r="L138" s="259">
        <f t="shared" si="63"/>
        <v>7.5511250931786869</v>
      </c>
      <c r="M138" s="126"/>
      <c r="N138" s="126"/>
    </row>
    <row r="139" spans="1:14">
      <c r="A139" s="260" t="s">
        <v>415</v>
      </c>
      <c r="B139" s="126"/>
      <c r="C139" s="224">
        <f t="shared" ref="C139:L139" si="64">C35/C26</f>
        <v>3.9021179431021187E-2</v>
      </c>
      <c r="D139" s="224">
        <f t="shared" si="64"/>
        <v>4.4020512960120904E-2</v>
      </c>
      <c r="E139" s="224">
        <f t="shared" si="64"/>
        <v>6.9784948192891633E-2</v>
      </c>
      <c r="F139" s="224">
        <f t="shared" si="64"/>
        <v>8.7502330932619415E-2</v>
      </c>
      <c r="G139" s="224">
        <f t="shared" si="64"/>
        <v>7.3990319082175224E-2</v>
      </c>
      <c r="H139" s="224">
        <f t="shared" si="64"/>
        <v>7.6897999941261203E-2</v>
      </c>
      <c r="I139" s="224">
        <f t="shared" si="64"/>
        <v>7.9723562423898359E-2</v>
      </c>
      <c r="J139" s="224">
        <f t="shared" si="64"/>
        <v>0.21665322201812273</v>
      </c>
      <c r="K139" s="224">
        <f t="shared" si="64"/>
        <v>0.24333177883685755</v>
      </c>
      <c r="L139" s="224">
        <f t="shared" si="64"/>
        <v>0.24294698470489545</v>
      </c>
      <c r="M139" s="224"/>
      <c r="N139" s="126"/>
    </row>
    <row r="140" spans="1:14" ht="26.25">
      <c r="A140" s="258" t="s">
        <v>416</v>
      </c>
      <c r="B140" s="126"/>
      <c r="C140" s="224">
        <f t="shared" ref="C140:L140" si="65">C36/C35</f>
        <v>0.20968763994626083</v>
      </c>
      <c r="D140" s="224">
        <f t="shared" si="65"/>
        <v>6.8507137445887392E-2</v>
      </c>
      <c r="E140" s="224">
        <f t="shared" si="65"/>
        <v>9.6566926185432653E-2</v>
      </c>
      <c r="F140" s="224">
        <f t="shared" si="65"/>
        <v>8.6827770004020824E-2</v>
      </c>
      <c r="G140" s="224">
        <f t="shared" si="65"/>
        <v>0.11421977199179324</v>
      </c>
      <c r="H140" s="224">
        <f t="shared" si="65"/>
        <v>0.15490327502577991</v>
      </c>
      <c r="I140" s="224">
        <f t="shared" si="65"/>
        <v>0.19453658939209084</v>
      </c>
      <c r="J140" s="224">
        <f t="shared" si="65"/>
        <v>0.20307426542056076</v>
      </c>
      <c r="K140" s="224">
        <f t="shared" si="65"/>
        <v>0.15899037652503151</v>
      </c>
      <c r="L140" s="224">
        <f t="shared" si="65"/>
        <v>0.13765365586016598</v>
      </c>
      <c r="M140" s="126"/>
      <c r="N140" s="126"/>
    </row>
    <row r="141" spans="1:14" ht="26.25">
      <c r="A141" s="258" t="s">
        <v>417</v>
      </c>
      <c r="B141" s="126"/>
      <c r="C141" s="224">
        <f t="shared" ref="C141:L141" si="66">C30/C50</f>
        <v>0.11205273069679848</v>
      </c>
      <c r="D141" s="224">
        <f t="shared" si="66"/>
        <v>0.14821742957746481</v>
      </c>
      <c r="E141" s="224">
        <f t="shared" si="66"/>
        <v>0.14907123159373536</v>
      </c>
      <c r="F141" s="224">
        <f t="shared" si="66"/>
        <v>0.12679909599143571</v>
      </c>
      <c r="G141" s="224">
        <f t="shared" si="66"/>
        <v>8.2849364791288571E-2</v>
      </c>
      <c r="H141" s="224">
        <f t="shared" si="66"/>
        <v>7.8519931889816069E-2</v>
      </c>
      <c r="I141" s="224">
        <f t="shared" si="66"/>
        <v>9.5187781737560248E-2</v>
      </c>
      <c r="J141" s="224">
        <f t="shared" si="66"/>
        <v>0.17300117782646687</v>
      </c>
      <c r="K141" s="224">
        <f t="shared" si="66"/>
        <v>0.17622997777217628</v>
      </c>
      <c r="L141" s="224">
        <f t="shared" si="66"/>
        <v>0.14869913231092968</v>
      </c>
      <c r="M141" s="126"/>
      <c r="N141" s="126"/>
    </row>
    <row r="142" spans="1:14">
      <c r="A142" s="258" t="s">
        <v>413</v>
      </c>
      <c r="B142" s="126"/>
      <c r="C142" s="224"/>
      <c r="D142" s="224"/>
      <c r="E142" s="261">
        <f t="shared" ref="E142" si="67">AVERAGE(C138:E138)*AVERAGE(C139:E139)*(1-AVERAGE(C140:E140))-AVERAGE(C141:E141)</f>
        <v>0.24183364353231457</v>
      </c>
      <c r="F142" s="261">
        <f t="shared" ref="F142" si="68">AVERAGE(D138:F138)*AVERAGE(D139:F139)*(1-AVERAGE(D140:F140))-AVERAGE(D141:F141)</f>
        <v>0.53547931080577316</v>
      </c>
      <c r="G142" s="261">
        <f t="shared" ref="G142:K142" si="69">AVERAGE(E138:G138)*AVERAGE(E139:G139)*(1-AVERAGE(E140:G140))-AVERAGE(E141:G141)</f>
        <v>0.64642532270784436</v>
      </c>
      <c r="H142" s="261">
        <f t="shared" si="69"/>
        <v>0.52202933614356084</v>
      </c>
      <c r="I142" s="261">
        <f t="shared" si="69"/>
        <v>0.30641529441395865</v>
      </c>
      <c r="J142" s="261">
        <f t="shared" si="69"/>
        <v>0.34240501989240191</v>
      </c>
      <c r="K142" s="261">
        <f t="shared" si="69"/>
        <v>0.67500336202309141</v>
      </c>
      <c r="L142" s="261">
        <f>AVERAGE(J138:L138)*AVERAGE(J139:L139)*(1-AVERAGE(J140:L140))-AVERAGE(J141:L141)</f>
        <v>1.135715976779901</v>
      </c>
      <c r="M142" s="126"/>
      <c r="N142" s="126"/>
    </row>
    <row r="143" spans="1:14">
      <c r="A143" s="258"/>
      <c r="B143" s="126"/>
      <c r="C143" s="224"/>
      <c r="D143" s="224"/>
      <c r="E143" s="224"/>
      <c r="F143" s="224"/>
      <c r="G143" s="224"/>
      <c r="H143" s="224"/>
      <c r="I143" s="224"/>
      <c r="J143" s="224"/>
      <c r="K143" s="224"/>
      <c r="L143" s="224"/>
      <c r="M143" s="126"/>
      <c r="N143" s="126"/>
    </row>
    <row r="144" spans="1:14">
      <c r="A144" s="258"/>
      <c r="B144" s="126"/>
      <c r="C144" s="224"/>
      <c r="D144" s="224"/>
      <c r="E144" s="224"/>
      <c r="F144" s="224"/>
      <c r="G144" s="224"/>
      <c r="H144" s="224"/>
      <c r="I144" s="224"/>
      <c r="J144" s="224"/>
      <c r="K144" s="224"/>
      <c r="L144" s="224"/>
      <c r="M144" s="126"/>
      <c r="N144" s="126"/>
    </row>
    <row r="145" spans="1:14">
      <c r="A145" s="258"/>
      <c r="B145" s="126"/>
      <c r="C145" s="224"/>
      <c r="D145" s="224"/>
      <c r="E145" s="224"/>
      <c r="F145" s="224"/>
      <c r="G145" s="224"/>
      <c r="H145" s="224"/>
      <c r="I145" s="224"/>
      <c r="J145" s="224"/>
      <c r="K145" s="224"/>
      <c r="L145" s="224"/>
      <c r="M145" s="126"/>
      <c r="N145" s="126"/>
    </row>
    <row r="146" spans="1:14">
      <c r="A146" s="258"/>
      <c r="B146" s="126"/>
      <c r="C146" s="224"/>
      <c r="D146" s="224"/>
      <c r="E146" s="224"/>
      <c r="F146" s="224"/>
      <c r="G146" s="224"/>
      <c r="H146" s="224"/>
      <c r="I146" s="224"/>
      <c r="J146" s="224"/>
      <c r="K146" s="224"/>
      <c r="L146" s="224"/>
      <c r="M146" s="126"/>
      <c r="N146" s="126"/>
    </row>
    <row r="147" spans="1:14">
      <c r="A147" s="258"/>
      <c r="B147" s="126"/>
      <c r="C147" s="224"/>
      <c r="D147" s="224"/>
      <c r="E147" s="224"/>
      <c r="F147" s="224"/>
      <c r="G147" s="224"/>
      <c r="H147" s="224"/>
      <c r="I147" s="224"/>
      <c r="J147" s="224"/>
      <c r="K147" s="224"/>
      <c r="L147" s="224"/>
      <c r="M147" s="126"/>
      <c r="N147" s="126"/>
    </row>
    <row r="148" spans="1:14">
      <c r="A148" s="258"/>
      <c r="B148" s="126"/>
      <c r="C148" s="224"/>
      <c r="D148" s="224"/>
      <c r="E148" s="224"/>
      <c r="F148" s="224"/>
      <c r="G148" s="224"/>
      <c r="H148" s="224"/>
      <c r="I148" s="224"/>
      <c r="J148" s="224"/>
      <c r="K148" s="224"/>
      <c r="L148" s="224"/>
      <c r="M148" s="126"/>
      <c r="N148" s="126"/>
    </row>
    <row r="149" spans="1:14">
      <c r="A149" s="258"/>
      <c r="B149" s="126"/>
      <c r="C149" s="224"/>
      <c r="D149" s="224"/>
      <c r="E149" s="224"/>
      <c r="F149" s="224"/>
      <c r="G149" s="224"/>
      <c r="H149" s="224"/>
      <c r="I149" s="224"/>
      <c r="J149" s="224"/>
      <c r="K149" s="224"/>
      <c r="L149" s="224"/>
      <c r="M149" s="126"/>
      <c r="N149" s="126"/>
    </row>
    <row r="150" spans="1:14">
      <c r="A150" s="258"/>
      <c r="B150" s="126"/>
      <c r="C150" s="224"/>
      <c r="D150" s="224"/>
      <c r="E150" s="224"/>
      <c r="F150" s="224"/>
      <c r="G150" s="224"/>
      <c r="H150" s="224"/>
      <c r="I150" s="224"/>
      <c r="J150" s="224"/>
      <c r="K150" s="224"/>
      <c r="L150" s="224"/>
      <c r="M150" s="126"/>
      <c r="N150" s="126"/>
    </row>
    <row r="151" spans="1:14">
      <c r="A151" s="258"/>
      <c r="B151" s="126"/>
      <c r="C151" s="224"/>
      <c r="D151" s="224"/>
      <c r="E151" s="224"/>
      <c r="F151" s="224"/>
      <c r="G151" s="224"/>
      <c r="H151" s="224"/>
      <c r="I151" s="224"/>
      <c r="J151" s="224"/>
      <c r="K151" s="224"/>
      <c r="L151" s="224"/>
      <c r="M151" s="126"/>
      <c r="N151" s="126"/>
    </row>
    <row r="152" spans="1:14">
      <c r="A152" s="258"/>
      <c r="B152" s="126"/>
      <c r="C152" s="224"/>
      <c r="D152" s="224"/>
      <c r="E152" s="224"/>
      <c r="F152" s="224"/>
      <c r="G152" s="224"/>
      <c r="H152" s="224"/>
      <c r="I152" s="224"/>
      <c r="J152" s="224"/>
      <c r="K152" s="224"/>
      <c r="L152" s="224"/>
      <c r="M152" s="126"/>
      <c r="N152" s="126"/>
    </row>
    <row r="153" spans="1:14">
      <c r="A153" s="126"/>
      <c r="B153" s="126"/>
      <c r="C153" s="126"/>
      <c r="D153" s="126"/>
      <c r="E153" s="126"/>
      <c r="F153" s="126"/>
      <c r="G153" s="126"/>
      <c r="H153" s="126"/>
      <c r="I153" s="126"/>
      <c r="J153" s="126"/>
      <c r="K153" s="126"/>
      <c r="L153" s="126"/>
      <c r="M153" s="126"/>
      <c r="N153" s="126"/>
    </row>
    <row r="155" spans="1:14">
      <c r="A155" s="228" t="s">
        <v>329</v>
      </c>
      <c r="C155" s="239">
        <f t="shared" ref="C155:L155" si="70">C4</f>
        <v>39783</v>
      </c>
      <c r="D155" s="239">
        <f t="shared" si="70"/>
        <v>40148</v>
      </c>
      <c r="E155" s="239">
        <f t="shared" si="70"/>
        <v>40513</v>
      </c>
      <c r="F155" s="239">
        <f t="shared" si="70"/>
        <v>40878</v>
      </c>
      <c r="G155" s="239">
        <f t="shared" si="70"/>
        <v>41244</v>
      </c>
      <c r="H155" s="239">
        <f t="shared" si="70"/>
        <v>41609</v>
      </c>
      <c r="I155" s="239">
        <f t="shared" si="70"/>
        <v>41974</v>
      </c>
      <c r="J155" s="239">
        <f t="shared" si="70"/>
        <v>42430</v>
      </c>
      <c r="K155" s="239">
        <f t="shared" si="70"/>
        <v>42795</v>
      </c>
      <c r="L155" s="239">
        <f t="shared" si="70"/>
        <v>43160</v>
      </c>
      <c r="M155" s="239"/>
      <c r="N155" s="239"/>
    </row>
    <row r="156" spans="1:14">
      <c r="A156" s="126" t="s">
        <v>360</v>
      </c>
      <c r="C156" s="229">
        <f>'Screener Input'!B62</f>
        <v>329.22</v>
      </c>
      <c r="D156" s="229">
        <f>'Screener Input'!C62</f>
        <v>363.52</v>
      </c>
      <c r="E156" s="229">
        <f>'Screener Input'!D62</f>
        <v>384.38</v>
      </c>
      <c r="F156" s="229">
        <f>'Screener Input'!E62</f>
        <v>504.42</v>
      </c>
      <c r="G156" s="229">
        <f>'Screener Input'!F62</f>
        <v>991.8</v>
      </c>
      <c r="H156" s="229">
        <f>'Screener Input'!G62</f>
        <v>1656.14</v>
      </c>
      <c r="I156" s="229">
        <f>'Screener Input'!H62</f>
        <v>2309.33</v>
      </c>
      <c r="J156" s="229">
        <f>'Screener Input'!I62</f>
        <v>789.59</v>
      </c>
      <c r="K156" s="229">
        <f>'Screener Input'!J62</f>
        <v>872.78</v>
      </c>
      <c r="L156" s="229">
        <f>'Screener Input'!K62</f>
        <v>1501.69</v>
      </c>
      <c r="M156" s="229"/>
      <c r="N156" s="229"/>
    </row>
    <row r="157" spans="1:14">
      <c r="A157" s="126" t="s">
        <v>360</v>
      </c>
      <c r="B157" s="126"/>
      <c r="C157" s="224">
        <f>'Screener Input'!B62/'Screener Input'!B66</f>
        <v>0.14093140927128503</v>
      </c>
      <c r="D157" s="224">
        <f>'Screener Input'!C62/'Screener Input'!C66</f>
        <v>0.1455576332469779</v>
      </c>
      <c r="E157" s="224">
        <f>'Screener Input'!D62/'Screener Input'!D66</f>
        <v>0.12923072785161227</v>
      </c>
      <c r="F157" s="224">
        <f>'Screener Input'!E62/'Screener Input'!E66</f>
        <v>0.13207063037399328</v>
      </c>
      <c r="G157" s="224">
        <f>'Screener Input'!F62/'Screener Input'!F66</f>
        <v>0.22005182910594792</v>
      </c>
      <c r="H157" s="224">
        <f>'Screener Input'!G62/'Screener Input'!G66</f>
        <v>0.30650528380804326</v>
      </c>
      <c r="I157" s="224">
        <f>'Screener Input'!H62/'Screener Input'!H66</f>
        <v>0.35592823268122542</v>
      </c>
      <c r="J157" s="224">
        <f>'Screener Input'!I62/'Screener Input'!I66</f>
        <v>0.15937114611023312</v>
      </c>
      <c r="K157" s="224">
        <f>'Screener Input'!J62/'Screener Input'!J66</f>
        <v>0.12428744551263336</v>
      </c>
      <c r="L157" s="224">
        <f>'Screener Input'!K62/'Screener Input'!K66</f>
        <v>0.15736712988821694</v>
      </c>
      <c r="M157" s="224"/>
      <c r="N157" s="224"/>
    </row>
    <row r="158" spans="1:14">
      <c r="A158" s="126" t="s">
        <v>361</v>
      </c>
      <c r="B158" s="126"/>
      <c r="C158" s="224">
        <f>'Screener Input'!B64/'Screener Input'!B66</f>
        <v>2.6711985719361478E-3</v>
      </c>
      <c r="D158" s="224">
        <f>'Screener Input'!C64/'Screener Input'!C66</f>
        <v>0.11776506248423381</v>
      </c>
      <c r="E158" s="224">
        <f>'Screener Input'!D64/'Screener Input'!D66</f>
        <v>0.15418054915830914</v>
      </c>
      <c r="F158" s="224">
        <f>'Screener Input'!E64/'Screener Input'!E66</f>
        <v>0.1342176094173832</v>
      </c>
      <c r="G158" s="224">
        <f>'Screener Input'!F64/'Screener Input'!F66</f>
        <v>0.14166474378316973</v>
      </c>
      <c r="H158" s="224">
        <f>'Screener Input'!G64/'Screener Input'!G66</f>
        <v>0.15276960376066478</v>
      </c>
      <c r="I158" s="224">
        <f>'Screener Input'!H64/'Screener Input'!H66</f>
        <v>0.16610025292107661</v>
      </c>
      <c r="J158" s="224">
        <f>'Screener Input'!I64/'Screener Input'!I66</f>
        <v>0.68388365113101257</v>
      </c>
      <c r="K158" s="224">
        <f>'Screener Input'!J64/'Screener Input'!J66</f>
        <v>0.71018773131765078</v>
      </c>
      <c r="L158" s="224">
        <f>'Screener Input'!K64/'Screener Input'!K66</f>
        <v>0.58483493475041892</v>
      </c>
      <c r="M158" s="224"/>
      <c r="N158" s="224"/>
    </row>
    <row r="159" spans="1:14">
      <c r="A159" s="126" t="s">
        <v>364</v>
      </c>
      <c r="B159" s="126"/>
      <c r="C159" s="224">
        <f>'Screener Input'!B68/'Screener Input'!B66</f>
        <v>0.14471988801513677</v>
      </c>
      <c r="D159" s="224">
        <f>'Screener Input'!C68/'Screener Input'!C66</f>
        <v>8.7674129004616755E-2</v>
      </c>
      <c r="E159" s="224">
        <f>'Screener Input'!D68/'Screener Input'!D66</f>
        <v>0.10977786892686518</v>
      </c>
      <c r="F159" s="224">
        <f>'Screener Input'!E68/'Screener Input'!E66</f>
        <v>0.11205135992794528</v>
      </c>
      <c r="G159" s="224">
        <f>'Screener Input'!F68/'Screener Input'!F66</f>
        <v>0.10845950407355473</v>
      </c>
      <c r="H159" s="224">
        <f>'Screener Input'!G68/'Screener Input'!G66</f>
        <v>9.7495974682138678E-2</v>
      </c>
      <c r="I159" s="224">
        <f>'Screener Input'!H68/'Screener Input'!H66</f>
        <v>9.9491537701577787E-2</v>
      </c>
      <c r="J159" s="224">
        <f>'Screener Input'!I68/'Screener Input'!I66</f>
        <v>6.2245554970218449E-2</v>
      </c>
      <c r="K159" s="224">
        <f>'Screener Input'!J68/'Screener Input'!J66</f>
        <v>4.7833535309807218E-2</v>
      </c>
      <c r="L159" s="224">
        <f>'Screener Input'!K68/'Screener Input'!K66</f>
        <v>4.1355648728489854E-2</v>
      </c>
      <c r="M159" s="224"/>
      <c r="N159" s="224"/>
    </row>
    <row r="160" spans="1:14">
      <c r="A160" s="126" t="s">
        <v>365</v>
      </c>
      <c r="B160" s="126"/>
      <c r="C160" s="224">
        <f>'Screener Input'!B67/'Screener Input'!B66</f>
        <v>7.7135139531598479E-2</v>
      </c>
      <c r="D160" s="224">
        <f>'Screener Input'!C67/'Screener Input'!C66</f>
        <v>9.310771473074321E-2</v>
      </c>
      <c r="E160" s="224">
        <f>'Screener Input'!D67/'Screener Input'!D66</f>
        <v>8.7726140325514318E-2</v>
      </c>
      <c r="F160" s="224">
        <f>'Screener Input'!E67/'Screener Input'!E66</f>
        <v>9.0220248630646288E-2</v>
      </c>
      <c r="G160" s="224">
        <f>'Screener Input'!F67/'Screener Input'!F66</f>
        <v>9.8925699781678769E-2</v>
      </c>
      <c r="H160" s="224">
        <f>'Screener Input'!G67/'Screener Input'!G66</f>
        <v>9.4849443858382843E-2</v>
      </c>
      <c r="I160" s="224">
        <f>'Screener Input'!H67/'Screener Input'!H66</f>
        <v>8.6645119825405847E-2</v>
      </c>
      <c r="J160" s="224">
        <f>'Screener Input'!I67/'Screener Input'!I66</f>
        <v>6.5880700224648344E-3</v>
      </c>
      <c r="K160" s="224">
        <f>'Screener Input'!J67/'Screener Input'!J66</f>
        <v>7.1259008839022137E-3</v>
      </c>
      <c r="L160" s="224">
        <f>'Screener Input'!K67/'Screener Input'!K66</f>
        <v>7.1259479868672967E-3</v>
      </c>
      <c r="M160" s="224"/>
      <c r="N160" s="224"/>
    </row>
    <row r="161" spans="1:14">
      <c r="A161" s="126" t="s">
        <v>366</v>
      </c>
      <c r="B161" s="126"/>
      <c r="C161" s="224">
        <f>'Screener Input'!B69/'Screener Input'!B66</f>
        <v>0.52730487194085685</v>
      </c>
      <c r="D161" s="224">
        <f>'Screener Input'!C69/'Screener Input'!C66</f>
        <v>0.46874186663890488</v>
      </c>
      <c r="E161" s="224">
        <f>'Screener Input'!D69/'Screener Input'!D66</f>
        <v>0.41880465443102238</v>
      </c>
      <c r="F161" s="224">
        <f>'Screener Input'!E69/'Screener Input'!E66</f>
        <v>0.31196914634018619</v>
      </c>
      <c r="G161" s="224">
        <f>'Screener Input'!F69/'Screener Input'!F66</f>
        <v>0.17827348728234438</v>
      </c>
      <c r="H161" s="224">
        <f>'Screener Input'!G69/'Screener Input'!G66</f>
        <v>0.12632280273166396</v>
      </c>
      <c r="I161" s="224">
        <f>'Screener Input'!H69/'Screener Input'!H66</f>
        <v>5.4455865195069814E-2</v>
      </c>
      <c r="J161" s="224">
        <f>'Screener Input'!I69/'Screener Input'!I66</f>
        <v>9.9244915136211982E-3</v>
      </c>
      <c r="K161" s="224">
        <f>'Screener Input'!J69/'Screener Input'!J66</f>
        <v>3.5686466057272075E-3</v>
      </c>
      <c r="L161" s="224">
        <f>'Screener Input'!K69/'Screener Input'!K66</f>
        <v>0.12700954353063476</v>
      </c>
      <c r="M161" s="224"/>
      <c r="N161" s="224"/>
    </row>
    <row r="162" spans="1:14">
      <c r="A162" s="126" t="s">
        <v>362</v>
      </c>
      <c r="B162" s="126"/>
      <c r="C162" s="224">
        <f>('Screener Input'!B66-'Screener Input'!B62-'Screener Input'!B64-'Screener Input'!B68-'Screener Input'!B67-'Screener Input'!B69)/'Screener Input'!B66</f>
        <v>0.1072374926691867</v>
      </c>
      <c r="D162" s="224">
        <f>('Screener Input'!C66-'Screener Input'!C62-'Screener Input'!C64-'Screener Input'!C68-'Screener Input'!C67-'Screener Input'!C69)/'Screener Input'!C66</f>
        <v>8.7153593894523429E-2</v>
      </c>
      <c r="E162" s="224">
        <f>('Screener Input'!D66-'Screener Input'!D62-'Screener Input'!D64-'Screener Input'!D68-'Screener Input'!D67-'Screener Input'!D69)/'Screener Input'!D66</f>
        <v>0.10028005930667655</v>
      </c>
      <c r="F162" s="224">
        <f>('Screener Input'!E66-'Screener Input'!E62-'Screener Input'!E64-'Screener Input'!E68-'Screener Input'!E67-'Screener Input'!E69)/'Screener Input'!E66</f>
        <v>0.21947100530984578</v>
      </c>
      <c r="G162" s="224">
        <f>('Screener Input'!F66-'Screener Input'!F62-'Screener Input'!F64-'Screener Input'!F68-'Screener Input'!F67-'Screener Input'!F69)/'Screener Input'!F66</f>
        <v>0.25262473597330437</v>
      </c>
      <c r="H162" s="224">
        <f>('Screener Input'!G66-'Screener Input'!G62-'Screener Input'!G64-'Screener Input'!G68-'Screener Input'!G67-'Screener Input'!G69)/'Screener Input'!G66</f>
        <v>0.2220568911591064</v>
      </c>
      <c r="I162" s="224">
        <f>('Screener Input'!H66-'Screener Input'!H62-'Screener Input'!H64-'Screener Input'!H68-'Screener Input'!H67-'Screener Input'!H69)/'Screener Input'!H66</f>
        <v>0.23737899167564447</v>
      </c>
      <c r="J162" s="224">
        <f>('Screener Input'!I66-'Screener Input'!I62-'Screener Input'!I64-'Screener Input'!I68-'Screener Input'!I67-'Screener Input'!I69)/'Screener Input'!I66</f>
        <v>7.7987086252449822E-2</v>
      </c>
      <c r="K162" s="224">
        <f>('Screener Input'!J66-'Screener Input'!J62-'Screener Input'!J64-'Screener Input'!J68-'Screener Input'!J67-'Screener Input'!J69)/'Screener Input'!J66</f>
        <v>0.10699674037027922</v>
      </c>
      <c r="L162" s="224">
        <f>('Screener Input'!K66-'Screener Input'!K62-'Screener Input'!K64-'Screener Input'!K68-'Screener Input'!K67-'Screener Input'!K69)/'Screener Input'!K66</f>
        <v>8.23067951153722E-2</v>
      </c>
      <c r="M162" s="224"/>
      <c r="N162" s="224"/>
    </row>
    <row r="164" spans="1:14">
      <c r="A164" s="230" t="s">
        <v>367</v>
      </c>
      <c r="C164" s="239">
        <f t="shared" ref="C164:L164" si="71">C4</f>
        <v>39783</v>
      </c>
      <c r="D164" s="239">
        <f t="shared" si="71"/>
        <v>40148</v>
      </c>
      <c r="E164" s="239">
        <f t="shared" si="71"/>
        <v>40513</v>
      </c>
      <c r="F164" s="239">
        <f t="shared" si="71"/>
        <v>40878</v>
      </c>
      <c r="G164" s="239">
        <f t="shared" si="71"/>
        <v>41244</v>
      </c>
      <c r="H164" s="239">
        <f t="shared" si="71"/>
        <v>41609</v>
      </c>
      <c r="I164" s="239">
        <f t="shared" si="71"/>
        <v>41974</v>
      </c>
      <c r="J164" s="239">
        <f t="shared" si="71"/>
        <v>42430</v>
      </c>
      <c r="K164" s="239">
        <f t="shared" si="71"/>
        <v>42795</v>
      </c>
      <c r="L164" s="239">
        <f t="shared" si="71"/>
        <v>43160</v>
      </c>
      <c r="M164" s="239"/>
      <c r="N164" s="239"/>
    </row>
    <row r="165" spans="1:14">
      <c r="A165" s="126" t="s">
        <v>368</v>
      </c>
      <c r="C165" s="231">
        <f>SUM('Screener Input'!B57:B58)/'Screener Input'!B61</f>
        <v>0.47246396664426388</v>
      </c>
      <c r="D165" s="231">
        <f>SUM('Screener Input'!C57:C58)/'Screener Input'!C61</f>
        <v>0.42243826653800109</v>
      </c>
      <c r="E165" s="231">
        <f>SUM('Screener Input'!D57:D58)/'Screener Input'!D61</f>
        <v>0.41425242992633737</v>
      </c>
      <c r="F165" s="231">
        <f>SUM('Screener Input'!E57:E58)/'Screener Input'!E61</f>
        <v>0.39094131939717019</v>
      </c>
      <c r="G165" s="231">
        <f>SUM('Screener Input'!F57:F58)/'Screener Input'!F61</f>
        <v>0.3893595022985854</v>
      </c>
      <c r="H165" s="231">
        <f>SUM('Screener Input'!G57:G58)/'Screener Input'!G61</f>
        <v>0.38040086613736052</v>
      </c>
      <c r="I165" s="231">
        <f>SUM('Screener Input'!H57:H58)/'Screener Input'!H61</f>
        <v>0.38775991455244069</v>
      </c>
      <c r="J165" s="231">
        <f>SUM('Screener Input'!I57:I58)/'Screener Input'!I61</f>
        <v>0.73734107593033271</v>
      </c>
      <c r="K165" s="231">
        <f>SUM('Screener Input'!J57:J58)/'Screener Input'!J61</f>
        <v>0.76115985286808963</v>
      </c>
      <c r="L165" s="231">
        <f>SUM('Screener Input'!K57:K58)/'Screener Input'!K61</f>
        <v>0.73670460535347326</v>
      </c>
      <c r="M165" s="231"/>
      <c r="N165" s="231"/>
    </row>
    <row r="166" spans="1:14">
      <c r="A166" s="126" t="s">
        <v>362</v>
      </c>
      <c r="C166" s="232">
        <f>1-C165</f>
        <v>0.52753603335573618</v>
      </c>
      <c r="D166" s="232">
        <f t="shared" ref="D166:L166" si="72">1-D165</f>
        <v>0.57756173346199891</v>
      </c>
      <c r="E166" s="232">
        <f t="shared" si="72"/>
        <v>0.58574757007366263</v>
      </c>
      <c r="F166" s="232">
        <f t="shared" si="72"/>
        <v>0.60905868060282975</v>
      </c>
      <c r="G166" s="232">
        <f t="shared" si="72"/>
        <v>0.6106404977014146</v>
      </c>
      <c r="H166" s="232">
        <f t="shared" si="72"/>
        <v>0.61959913386263943</v>
      </c>
      <c r="I166" s="232">
        <f t="shared" si="72"/>
        <v>0.61224008544755937</v>
      </c>
      <c r="J166" s="232">
        <f t="shared" si="72"/>
        <v>0.26265892406966729</v>
      </c>
      <c r="K166" s="232">
        <f t="shared" si="72"/>
        <v>0.23884014713191037</v>
      </c>
      <c r="L166" s="232">
        <f t="shared" si="72"/>
        <v>0.26329539464652674</v>
      </c>
      <c r="M166" s="232"/>
      <c r="N166" s="232"/>
    </row>
    <row r="170" spans="1:14">
      <c r="A170" s="230" t="s">
        <v>371</v>
      </c>
      <c r="C170" s="239">
        <f t="shared" ref="C170:L170" si="73">C4</f>
        <v>39783</v>
      </c>
      <c r="D170" s="239">
        <f t="shared" si="73"/>
        <v>40148</v>
      </c>
      <c r="E170" s="239">
        <f t="shared" si="73"/>
        <v>40513</v>
      </c>
      <c r="F170" s="239">
        <f t="shared" si="73"/>
        <v>40878</v>
      </c>
      <c r="G170" s="239">
        <f t="shared" si="73"/>
        <v>41244</v>
      </c>
      <c r="H170" s="239">
        <f t="shared" si="73"/>
        <v>41609</v>
      </c>
      <c r="I170" s="239">
        <f t="shared" si="73"/>
        <v>41974</v>
      </c>
      <c r="J170" s="239">
        <f t="shared" si="73"/>
        <v>42430</v>
      </c>
      <c r="K170" s="239">
        <f t="shared" si="73"/>
        <v>42795</v>
      </c>
      <c r="L170" s="239">
        <f t="shared" si="73"/>
        <v>43160</v>
      </c>
      <c r="M170" s="239"/>
      <c r="N170" s="239"/>
    </row>
    <row r="171" spans="1:14">
      <c r="A171" s="126" t="s">
        <v>363</v>
      </c>
      <c r="B171" s="126"/>
      <c r="C171" s="224">
        <f>IF(('Screener Input'!B18-'Screener Input'!B19)/('Screener Input'!B$17+'Screener Input'!B$25)&lt;0, 0, ('Screener Input'!B18-'Screener Input'!B19)/('Screener Input'!B$17+'Screener Input'!B$25))</f>
        <v>0.70651460452904502</v>
      </c>
      <c r="D171" s="224">
        <f>IF(('Screener Input'!C18-'Screener Input'!C19)/('Screener Input'!C$17+'Screener Input'!C$25)&lt;0, 0, ('Screener Input'!C18-'Screener Input'!C19)/('Screener Input'!C$17+'Screener Input'!C$25))</f>
        <v>0.72308418537106656</v>
      </c>
      <c r="E171" s="224">
        <f>IF(('Screener Input'!D18-'Screener Input'!D19)/('Screener Input'!D$17+'Screener Input'!D$25)&lt;0, 0, ('Screener Input'!D18-'Screener Input'!D19)/('Screener Input'!D$17+'Screener Input'!D$25))</f>
        <v>0.73316161016930459</v>
      </c>
      <c r="F171" s="224">
        <f>IF(('Screener Input'!E18-'Screener Input'!E19)/('Screener Input'!E$17+'Screener Input'!E$25)&lt;0, 0, ('Screener Input'!E18-'Screener Input'!E19)/('Screener Input'!E$17+'Screener Input'!E$25))</f>
        <v>0.70669824434948258</v>
      </c>
      <c r="G171" s="224">
        <f>IF(('Screener Input'!F18-'Screener Input'!F19)/('Screener Input'!F$17+'Screener Input'!F$25)&lt;0, 0, ('Screener Input'!F18-'Screener Input'!F19)/('Screener Input'!F$17+'Screener Input'!F$25))</f>
        <v>0.70286967193899352</v>
      </c>
      <c r="H171" s="224">
        <f>IF(('Screener Input'!G18-'Screener Input'!G19)/('Screener Input'!G$17+'Screener Input'!G$25)&lt;0, 0, ('Screener Input'!G18-'Screener Input'!G19)/('Screener Input'!G$17+'Screener Input'!G$25))</f>
        <v>0.67202889462700699</v>
      </c>
      <c r="I171" s="224">
        <f>IF(('Screener Input'!H18-'Screener Input'!H19)/('Screener Input'!H$17+'Screener Input'!H$25)&lt;0, 0, ('Screener Input'!H18-'Screener Input'!H19)/('Screener Input'!H$17+'Screener Input'!H$25))</f>
        <v>0.65241087255363017</v>
      </c>
      <c r="J171" s="224">
        <f>IF(('Screener Input'!I18-'Screener Input'!I19)/('Screener Input'!I$17+'Screener Input'!I$25)&lt;0, 0, ('Screener Input'!I18-'Screener Input'!I19)/('Screener Input'!I$17+'Screener Input'!I$25))</f>
        <v>0.52860762921398452</v>
      </c>
      <c r="K171" s="224">
        <f>IF(('Screener Input'!J18-'Screener Input'!J19)/('Screener Input'!J$17+'Screener Input'!J$25)&lt;0, 0, ('Screener Input'!J18-'Screener Input'!J19)/('Screener Input'!J$17+'Screener Input'!J$25))</f>
        <v>0.49745374595981828</v>
      </c>
      <c r="L171" s="224">
        <f>IF(('Screener Input'!K18-'Screener Input'!K19)/('Screener Input'!K$17+'Screener Input'!K$25)&lt;0, 0, ('Screener Input'!K18-'Screener Input'!K19)/('Screener Input'!K$17+'Screener Input'!K$25))</f>
        <v>0.4888850532856503</v>
      </c>
      <c r="M171" s="224"/>
      <c r="N171" s="224"/>
    </row>
    <row r="172" spans="1:14">
      <c r="A172" s="159" t="s">
        <v>284</v>
      </c>
      <c r="B172" s="126"/>
      <c r="C172" s="224">
        <f>IF(('Screener Input'!B20)/('Screener Input'!B$17+'Screener Input'!B$25)&lt;0, 0, ('Screener Input'!B20)/('Screener Input'!B$17+'Screener Input'!B$25))</f>
        <v>6.9084345257630457E-3</v>
      </c>
      <c r="D172" s="224">
        <f>IF(('Screener Input'!C20)/('Screener Input'!C$17+'Screener Input'!C$25)&lt;0, 0, ('Screener Input'!C20)/('Screener Input'!C$17+'Screener Input'!C$25))</f>
        <v>6.8381559925652256E-3</v>
      </c>
      <c r="E172" s="224">
        <f>IF(('Screener Input'!D20)/('Screener Input'!D$17+'Screener Input'!D$25)&lt;0, 0, ('Screener Input'!D20)/('Screener Input'!D$17+'Screener Input'!D$25))</f>
        <v>6.4065384182796954E-3</v>
      </c>
      <c r="F172" s="224">
        <f>IF(('Screener Input'!E20)/('Screener Input'!E$17+'Screener Input'!E$25)&lt;0, 0, ('Screener Input'!E20)/('Screener Input'!E$17+'Screener Input'!E$25))</f>
        <v>6.0117729839194089E-3</v>
      </c>
      <c r="G172" s="224">
        <f>IF(('Screener Input'!F20)/('Screener Input'!F$17+'Screener Input'!F$25)&lt;0, 0, ('Screener Input'!F20)/('Screener Input'!F$17+'Screener Input'!F$25))</f>
        <v>7.0650100436219542E-3</v>
      </c>
      <c r="H172" s="224">
        <f>IF(('Screener Input'!G20)/('Screener Input'!G$17+'Screener Input'!G$25)&lt;0, 0, ('Screener Input'!G20)/('Screener Input'!G$17+'Screener Input'!G$25))</f>
        <v>8.8992323054442445E-3</v>
      </c>
      <c r="I172" s="224">
        <f>IF(('Screener Input'!H20)/('Screener Input'!H$17+'Screener Input'!H$25)&lt;0, 0, ('Screener Input'!H20)/('Screener Input'!H$17+'Screener Input'!H$25))</f>
        <v>8.3735032377093652E-3</v>
      </c>
      <c r="J172" s="224">
        <f>IF(('Screener Input'!I20)/('Screener Input'!I$17+'Screener Input'!I$25)&lt;0, 0, ('Screener Input'!I20)/('Screener Input'!I$17+'Screener Input'!I$25))</f>
        <v>7.1051728674095972E-3</v>
      </c>
      <c r="K172" s="224">
        <f>IF(('Screener Input'!J20)/('Screener Input'!J$17+'Screener Input'!J$25)&lt;0, 0, ('Screener Input'!J20)/('Screener Input'!J$17+'Screener Input'!J$25))</f>
        <v>6.1770485466083958E-3</v>
      </c>
      <c r="L172" s="224">
        <f>IF(('Screener Input'!K20)/('Screener Input'!K$17+'Screener Input'!K$25)&lt;0, 0, ('Screener Input'!K20)/('Screener Input'!K$17+'Screener Input'!K$25))</f>
        <v>5.5159014989022929E-3</v>
      </c>
      <c r="M172" s="224"/>
      <c r="N172" s="224"/>
    </row>
    <row r="173" spans="1:14">
      <c r="A173" s="159" t="s">
        <v>285</v>
      </c>
      <c r="B173" s="126"/>
      <c r="C173" s="224">
        <f>IF(('Screener Input'!B21)/('Screener Input'!B$17+'Screener Input'!B$25)&lt;0, 0, ('Screener Input'!B21)/('Screener Input'!B$17+'Screener Input'!B$25))</f>
        <v>1.566021223060934E-2</v>
      </c>
      <c r="D173" s="224">
        <f>IF(('Screener Input'!C21)/('Screener Input'!C$17+'Screener Input'!C$25)&lt;0, 0, ('Screener Input'!C21)/('Screener Input'!C$17+'Screener Input'!C$25))</f>
        <v>1.2640426417704465E-2</v>
      </c>
      <c r="E173" s="224">
        <f>IF(('Screener Input'!D21)/('Screener Input'!D$17+'Screener Input'!D$25)&lt;0, 0, ('Screener Input'!D21)/('Screener Input'!D$17+'Screener Input'!D$25))</f>
        <v>1.0956173102242178E-2</v>
      </c>
      <c r="F173" s="224">
        <f>IF(('Screener Input'!E21)/('Screener Input'!E$17+'Screener Input'!E$25)&lt;0, 0, ('Screener Input'!E21)/('Screener Input'!E$17+'Screener Input'!E$25))</f>
        <v>1.4594381231872868E-2</v>
      </c>
      <c r="G173" s="224">
        <f>IF(('Screener Input'!F21)/('Screener Input'!F$17+'Screener Input'!F$25)&lt;0, 0, ('Screener Input'!F21)/('Screener Input'!F$17+'Screener Input'!F$25))</f>
        <v>1.6276643177921497E-2</v>
      </c>
      <c r="H173" s="224">
        <f>IF(('Screener Input'!G21)/('Screener Input'!G$17+'Screener Input'!G$25)&lt;0, 0, ('Screener Input'!G21)/('Screener Input'!G$17+'Screener Input'!G$25))</f>
        <v>1.8363265359321892E-2</v>
      </c>
      <c r="I173" s="224">
        <f>IF(('Screener Input'!H21)/('Screener Input'!H$17+'Screener Input'!H$25)&lt;0, 0, ('Screener Input'!H21)/('Screener Input'!H$17+'Screener Input'!H$25))</f>
        <v>1.9423995224830879E-2</v>
      </c>
      <c r="J173" s="224">
        <f>IF(('Screener Input'!I21)/('Screener Input'!I$17+'Screener Input'!I$25)&lt;0, 0, ('Screener Input'!I21)/('Screener Input'!I$17+'Screener Input'!I$25))</f>
        <v>2.6734405314878553E-2</v>
      </c>
      <c r="K173" s="224">
        <f>IF(('Screener Input'!J21)/('Screener Input'!J$17+'Screener Input'!J$25)&lt;0, 0, ('Screener Input'!J21)/('Screener Input'!J$17+'Screener Input'!J$25))</f>
        <v>2.3233058081974078E-2</v>
      </c>
      <c r="L173" s="224">
        <f>IF(('Screener Input'!K21)/('Screener Input'!K$17+'Screener Input'!K$25)&lt;0, 0, ('Screener Input'!K21)/('Screener Input'!K$17+'Screener Input'!K$25))</f>
        <v>2.2181480631723854E-2</v>
      </c>
      <c r="M173" s="224"/>
      <c r="N173" s="224"/>
    </row>
    <row r="174" spans="1:14">
      <c r="A174" s="159" t="s">
        <v>16</v>
      </c>
      <c r="B174" s="126"/>
      <c r="C174" s="224">
        <f>IF(('Screener Input'!B22)/('Screener Input'!B$17+'Screener Input'!B$25)&lt;0, 0, ('Screener Input'!B22)/('Screener Input'!B$17+'Screener Input'!B$25))</f>
        <v>8.5390001093972212E-2</v>
      </c>
      <c r="D174" s="224">
        <f>IF(('Screener Input'!C22)/('Screener Input'!C$17+'Screener Input'!C$25)&lt;0, 0, ('Screener Input'!C22)/('Screener Input'!C$17+'Screener Input'!C$25))</f>
        <v>7.0535284032610723E-2</v>
      </c>
      <c r="E174" s="224">
        <f>IF(('Screener Input'!D22)/('Screener Input'!D$17+'Screener Input'!D$25)&lt;0, 0, ('Screener Input'!D22)/('Screener Input'!D$17+'Screener Input'!D$25))</f>
        <v>5.8024933674133243E-2</v>
      </c>
      <c r="F174" s="224">
        <f>IF(('Screener Input'!E22)/('Screener Input'!E$17+'Screener Input'!E$25)&lt;0, 0, ('Screener Input'!E22)/('Screener Input'!E$17+'Screener Input'!E$25))</f>
        <v>5.9304261271001739E-2</v>
      </c>
      <c r="G174" s="224">
        <f>IF(('Screener Input'!F22)/('Screener Input'!F$17+'Screener Input'!F$25)&lt;0, 0, ('Screener Input'!F22)/('Screener Input'!F$17+'Screener Input'!F$25))</f>
        <v>7.0061732651194419E-2</v>
      </c>
      <c r="H174" s="224">
        <f>IF(('Screener Input'!G22)/('Screener Input'!G$17+'Screener Input'!G$25)&lt;0, 0, ('Screener Input'!G22)/('Screener Input'!G$17+'Screener Input'!G$25))</f>
        <v>7.723867465883863E-2</v>
      </c>
      <c r="I174" s="224">
        <f>IF(('Screener Input'!H22)/('Screener Input'!H$17+'Screener Input'!H$25)&lt;0, 0, ('Screener Input'!H22)/('Screener Input'!H$17+'Screener Input'!H$25))</f>
        <v>7.4571320044857642E-2</v>
      </c>
      <c r="J174" s="224">
        <f>IF(('Screener Input'!I22)/('Screener Input'!I$17+'Screener Input'!I$25)&lt;0, 0, ('Screener Input'!I22)/('Screener Input'!I$17+'Screener Input'!I$25))</f>
        <v>5.3882689257157099E-2</v>
      </c>
      <c r="K174" s="224">
        <f>IF(('Screener Input'!J22)/('Screener Input'!J$17+'Screener Input'!J$25)&lt;0, 0, ('Screener Input'!J22)/('Screener Input'!J$17+'Screener Input'!J$25))</f>
        <v>5.7217563112738519E-2</v>
      </c>
      <c r="L174" s="224">
        <f>IF(('Screener Input'!K22)/('Screener Input'!K$17+'Screener Input'!K$25)&lt;0, 0, ('Screener Input'!K22)/('Screener Input'!K$17+'Screener Input'!K$25))</f>
        <v>6.0377072541314011E-2</v>
      </c>
      <c r="M174" s="224"/>
      <c r="N174" s="224"/>
    </row>
    <row r="175" spans="1:14">
      <c r="A175" s="159" t="s">
        <v>286</v>
      </c>
      <c r="B175" s="126"/>
      <c r="C175" s="224">
        <f>IF(('Screener Input'!B23)/('Screener Input'!B$17+'Screener Input'!B$25)&lt;0, 0, ('Screener Input'!B23)/('Screener Input'!B$17+'Screener Input'!B$25))</f>
        <v>0.10511978995733509</v>
      </c>
      <c r="D175" s="224">
        <f>IF(('Screener Input'!C23)/('Screener Input'!C$17+'Screener Input'!C$25)&lt;0, 0, ('Screener Input'!C23)/('Screener Input'!C$17+'Screener Input'!C$25))</f>
        <v>8.7191406083533027E-2</v>
      </c>
      <c r="E175" s="224">
        <f>IF(('Screener Input'!D23)/('Screener Input'!D$17+'Screener Input'!D$25)&lt;0, 0, ('Screener Input'!D23)/('Screener Input'!D$17+'Screener Input'!D$25))</f>
        <v>7.3210965876637196E-2</v>
      </c>
      <c r="F175" s="224">
        <f>IF(('Screener Input'!E23)/('Screener Input'!E$17+'Screener Input'!E$25)&lt;0, 0, ('Screener Input'!E23)/('Screener Input'!E$17+'Screener Input'!E$25))</f>
        <v>7.3996464672467357E-2</v>
      </c>
      <c r="G175" s="224">
        <f>IF(('Screener Input'!F23)/('Screener Input'!F$17+'Screener Input'!F$25)&lt;0, 0, ('Screener Input'!F23)/('Screener Input'!F$17+'Screener Input'!F$25))</f>
        <v>8.327702469765709E-2</v>
      </c>
      <c r="H175" s="224">
        <f>IF(('Screener Input'!G23)/('Screener Input'!G$17+'Screener Input'!G$25)&lt;0, 0, ('Screener Input'!G23)/('Screener Input'!G$17+'Screener Input'!G$25))</f>
        <v>8.4434815476699066E-2</v>
      </c>
      <c r="I175" s="224">
        <f>IF(('Screener Input'!H23)/('Screener Input'!H$17+'Screener Input'!H$25)&lt;0, 0, ('Screener Input'!H23)/('Screener Input'!H$17+'Screener Input'!H$25))</f>
        <v>7.6242177043012685E-2</v>
      </c>
      <c r="J175" s="224">
        <f>IF(('Screener Input'!I23)/('Screener Input'!I$17+'Screener Input'!I$25)&lt;0, 0, ('Screener Input'!I23)/('Screener Input'!I$17+'Screener Input'!I$25))</f>
        <v>6.1143258932623942E-2</v>
      </c>
      <c r="K175" s="224">
        <f>IF(('Screener Input'!J23)/('Screener Input'!J$17+'Screener Input'!J$25)&lt;0, 0, ('Screener Input'!J23)/('Screener Input'!J$17+'Screener Input'!J$25))</f>
        <v>5.5334382080384853E-2</v>
      </c>
      <c r="L175" s="224">
        <f>IF(('Screener Input'!K23)/('Screener Input'!K$17+'Screener Input'!K$25)&lt;0, 0, ('Screener Input'!K23)/('Screener Input'!K$17+'Screener Input'!K$25))</f>
        <v>5.836478411049905E-2</v>
      </c>
      <c r="M175" s="224"/>
      <c r="N175" s="224"/>
    </row>
    <row r="176" spans="1:14">
      <c r="A176" s="159" t="s">
        <v>287</v>
      </c>
      <c r="B176" s="126"/>
      <c r="C176" s="224">
        <f>IF(('Screener Input'!B24)/('Screener Input'!B$17+'Screener Input'!B$25)&lt;0, 0, ('Screener Input'!B24)/('Screener Input'!B$17+'Screener Input'!B$25))</f>
        <v>2.2820260365386719E-2</v>
      </c>
      <c r="D176" s="224">
        <f>IF(('Screener Input'!C24)/('Screener Input'!C$17+'Screener Input'!C$25)&lt;0, 0, ('Screener Input'!C24)/('Screener Input'!C$17+'Screener Input'!C$25))</f>
        <v>1.7846079205908479E-2</v>
      </c>
      <c r="E176" s="224">
        <f>IF(('Screener Input'!D24)/('Screener Input'!D$17+'Screener Input'!D$25)&lt;0, 0, ('Screener Input'!D24)/('Screener Input'!D$17+'Screener Input'!D$25))</f>
        <v>1.1397242872863844E-2</v>
      </c>
      <c r="F176" s="224">
        <f>IF(('Screener Input'!E24)/('Screener Input'!E$17+'Screener Input'!E$25)&lt;0, 0, ('Screener Input'!E24)/('Screener Input'!E$17+'Screener Input'!E$25))</f>
        <v>1.3799790626233504E-2</v>
      </c>
      <c r="G176" s="224">
        <f>IF(('Screener Input'!F24)/('Screener Input'!F$17+'Screener Input'!F$25)&lt;0, 0, ('Screener Input'!F24)/('Screener Input'!F$17+'Screener Input'!F$25))</f>
        <v>1.5708194093951914E-2</v>
      </c>
      <c r="H176" s="224">
        <f>IF(('Screener Input'!G24)/('Screener Input'!G$17+'Screener Input'!G$25)&lt;0, 0, ('Screener Input'!G24)/('Screener Input'!G$17+'Screener Input'!G$25))</f>
        <v>2.2199565827527228E-2</v>
      </c>
      <c r="I176" s="224">
        <f>IF(('Screener Input'!H24)/('Screener Input'!H$17+'Screener Input'!H$25)&lt;0, 0, ('Screener Input'!H24)/('Screener Input'!H$17+'Screener Input'!H$25))</f>
        <v>3.13833972434251E-2</v>
      </c>
      <c r="J176" s="224">
        <f>IF(('Screener Input'!I24)/('Screener Input'!I$17+'Screener Input'!I$25)&lt;0, 0, ('Screener Input'!I24)/('Screener Input'!I$17+'Screener Input'!I$25))</f>
        <v>1.2487133605867538E-2</v>
      </c>
      <c r="K176" s="224">
        <f>IF(('Screener Input'!J24)/('Screener Input'!J$17+'Screener Input'!J$25)&lt;0, 0, ('Screener Input'!J24)/('Screener Input'!J$17+'Screener Input'!J$25))</f>
        <v>1.3060122198717879E-2</v>
      </c>
      <c r="L176" s="224">
        <f>IF(('Screener Input'!K24)/('Screener Input'!K$17+'Screener Input'!K$25)&lt;0, 0, ('Screener Input'!K24)/('Screener Input'!K$17+'Screener Input'!K$25))</f>
        <v>1.2885171160286353E-2</v>
      </c>
      <c r="M176" s="224"/>
      <c r="N176" s="224"/>
    </row>
    <row r="177" spans="1:14">
      <c r="A177" s="163" t="s">
        <v>18</v>
      </c>
      <c r="B177" s="126"/>
      <c r="C177" s="224">
        <f>IF(('Screener Input'!B26)/('Screener Input'!B$17+'Screener Input'!B$25)&lt;0, 0, ('Screener Input'!B26)/('Screener Input'!B$17+'Screener Input'!B$25))</f>
        <v>2.0178317470736243E-2</v>
      </c>
      <c r="D177" s="224">
        <f>IF(('Screener Input'!C26)/('Screener Input'!C$17+'Screener Input'!C$25)&lt;0, 0, ('Screener Input'!C26)/('Screener Input'!C$17+'Screener Input'!C$25))</f>
        <v>1.7662504548389951E-2</v>
      </c>
      <c r="E177" s="224">
        <f>IF(('Screener Input'!D26)/('Screener Input'!D$17+'Screener Input'!D$25)&lt;0, 0, ('Screener Input'!D26)/('Screener Input'!D$17+'Screener Input'!D$25))</f>
        <v>1.2636648928310724E-2</v>
      </c>
      <c r="F177" s="224">
        <f>IF(('Screener Input'!E26)/('Screener Input'!E$17+'Screener Input'!E$25)&lt;0, 0, ('Screener Input'!E26)/('Screener Input'!E$17+'Screener Input'!E$25))</f>
        <v>1.0976677135354992E-2</v>
      </c>
      <c r="G177" s="224">
        <f>IF(('Screener Input'!F26)/('Screener Input'!F$17+'Screener Input'!F$25)&lt;0, 0, ('Screener Input'!F26)/('Screener Input'!F$17+'Screener Input'!F$25))</f>
        <v>1.2590151274873477E-2</v>
      </c>
      <c r="H177" s="224">
        <f>IF(('Screener Input'!G26)/('Screener Input'!G$17+'Screener Input'!G$25)&lt;0, 0, ('Screener Input'!G26)/('Screener Input'!G$17+'Screener Input'!G$25))</f>
        <v>1.8832484442635793E-2</v>
      </c>
      <c r="I177" s="224">
        <f>IF(('Screener Input'!H26)/('Screener Input'!H$17+'Screener Input'!H$25)&lt;0, 0, ('Screener Input'!H26)/('Screener Input'!H$17+'Screener Input'!H$25))</f>
        <v>2.4850323770936582E-2</v>
      </c>
      <c r="J177" s="224">
        <f>IF(('Screener Input'!I26)/('Screener Input'!I$17+'Screener Input'!I$25)&lt;0, 0, ('Screener Input'!I26)/('Screener Input'!I$17+'Screener Input'!I$25))</f>
        <v>2.1017033644178236E-2</v>
      </c>
      <c r="K177" s="224">
        <f>IF(('Screener Input'!J26)/('Screener Input'!J$17+'Screener Input'!J$25)&lt;0, 0, ('Screener Input'!J26)/('Screener Input'!J$17+'Screener Input'!J$25))</f>
        <v>2.0645194197171604E-2</v>
      </c>
      <c r="L177" s="224">
        <f>IF(('Screener Input'!K26)/('Screener Input'!K$17+'Screener Input'!K$25)&lt;0, 0, ('Screener Input'!K26)/('Screener Input'!K$17+'Screener Input'!K$25))</f>
        <v>2.3501255575365046E-2</v>
      </c>
      <c r="M177" s="224"/>
      <c r="N177" s="224"/>
    </row>
    <row r="178" spans="1:14">
      <c r="A178" s="163" t="s">
        <v>17</v>
      </c>
      <c r="B178" s="126"/>
      <c r="C178" s="224">
        <f>IF(('Screener Input'!B27)/('Screener Input'!B$17+'Screener Input'!B$25)&lt;0, 0, ('Screener Input'!B27)/('Screener Input'!B$17+'Screener Input'!B$25))</f>
        <v>5.4315720380702327E-3</v>
      </c>
      <c r="D178" s="224">
        <f>IF(('Screener Input'!C27)/('Screener Input'!C$17+'Screener Input'!C$25)&lt;0, 0, ('Screener Input'!C27)/('Screener Input'!C$17+'Screener Input'!C$25))</f>
        <v>2.8421290726529484E-3</v>
      </c>
      <c r="E178" s="224">
        <f>IF(('Screener Input'!D27)/('Screener Input'!D$17+'Screener Input'!D$25)&lt;0, 0, ('Screener Input'!D27)/('Screener Input'!D$17+'Screener Input'!D$25))</f>
        <v>2.0950814104529125E-3</v>
      </c>
      <c r="F178" s="224">
        <f>IF(('Screener Input'!E27)/('Screener Input'!E$17+'Screener Input'!E$25)&lt;0, 0, ('Screener Input'!E27)/('Screener Input'!E$17+'Screener Input'!E$25))</f>
        <v>1.3163088434673669E-3</v>
      </c>
      <c r="G178" s="224">
        <f>IF(('Screener Input'!F27)/('Screener Input'!F$17+'Screener Input'!F$25)&lt;0, 0, ('Screener Input'!F27)/('Screener Input'!F$17+'Screener Input'!F$25))</f>
        <v>5.8070674615760592E-4</v>
      </c>
      <c r="H178" s="224">
        <f>IF(('Screener Input'!G27)/('Screener Input'!G$17+'Screener Input'!G$25)&lt;0, 0, ('Screener Input'!G27)/('Screener Input'!G$17+'Screener Input'!G$25))</f>
        <v>1.1411871532449251E-3</v>
      </c>
      <c r="I178" s="224">
        <f>IF(('Screener Input'!H27)/('Screener Input'!H$17+'Screener Input'!H$25)&lt;0, 0, ('Screener Input'!H27)/('Screener Input'!H$17+'Screener Input'!H$25))</f>
        <v>1.1056144412690374E-3</v>
      </c>
      <c r="J178" s="224">
        <f>IF(('Screener Input'!I27)/('Screener Input'!I$17+'Screener Input'!I$25)&lt;0, 0, ('Screener Input'!I27)/('Screener Input'!I$17+'Screener Input'!I$25))</f>
        <v>3.2617943869442064E-4</v>
      </c>
      <c r="K178" s="224">
        <f>IF(('Screener Input'!J27)/('Screener Input'!J$17+'Screener Input'!J$25)&lt;0, 0, ('Screener Input'!J27)/('Screener Input'!J$17+'Screener Input'!J$25))</f>
        <v>4.7784208661290497E-4</v>
      </c>
      <c r="L178" s="224">
        <f>IF(('Screener Input'!K27)/('Screener Input'!K$17+'Screener Input'!K$25)&lt;0, 0, ('Screener Input'!K27)/('Screener Input'!K$17+'Screener Input'!K$25))</f>
        <v>5.6200942576108083E-4</v>
      </c>
      <c r="M178" s="224"/>
      <c r="N178" s="224"/>
    </row>
    <row r="179" spans="1:14">
      <c r="A179" s="163" t="s">
        <v>19</v>
      </c>
      <c r="B179" s="126"/>
      <c r="C179" s="224">
        <f>IF(('Screener Input'!B29)/('Screener Input'!B$17+'Screener Input'!B$25)&lt;0, 0, ('Screener Input'!B29)/('Screener Input'!B$17+'Screener Input'!B$25))</f>
        <v>0</v>
      </c>
      <c r="D179" s="224">
        <f>IF(('Screener Input'!C29)/('Screener Input'!C$17+'Screener Input'!C$25)&lt;0, 0, ('Screener Input'!C29)/('Screener Input'!C$17+'Screener Input'!C$25))</f>
        <v>1.8954083388788175E-2</v>
      </c>
      <c r="E179" s="224">
        <f>IF(('Screener Input'!D29)/('Screener Input'!D$17+'Screener Input'!D$25)&lt;0, 0, ('Screener Input'!D29)/('Screener Input'!D$17+'Screener Input'!D$25))</f>
        <v>2.4439675990146497E-2</v>
      </c>
      <c r="F179" s="224">
        <f>IF(('Screener Input'!E29)/('Screener Input'!E$17+'Screener Input'!E$25)&lt;0, 0, ('Screener Input'!E29)/('Screener Input'!E$17+'Screener Input'!E$25))</f>
        <v>2.7939384578420778E-2</v>
      </c>
      <c r="G179" s="224">
        <f>IF(('Screener Input'!F29)/('Screener Input'!F$17+'Screener Input'!F$25)&lt;0, 0, ('Screener Input'!F29)/('Screener Input'!F$17+'Screener Input'!F$25))</f>
        <v>1.912961405218393E-2</v>
      </c>
      <c r="H179" s="224">
        <f>IF(('Screener Input'!G29)/('Screener Input'!G$17+'Screener Input'!G$25)&lt;0, 0, ('Screener Input'!G29)/('Screener Input'!G$17+'Screener Input'!G$25))</f>
        <v>2.1025069912195209E-2</v>
      </c>
      <c r="I179" s="224">
        <f>IF(('Screener Input'!H29)/('Screener Input'!H$17+'Screener Input'!H$25)&lt;0, 0, ('Screener Input'!H29)/('Screener Input'!H$17+'Screener Input'!H$25))</f>
        <v>3.2883550989400573E-2</v>
      </c>
      <c r="J179" s="224">
        <f>IF(('Screener Input'!I29)/('Screener Input'!I$17+'Screener Input'!I$25)&lt;0, 0, ('Screener Input'!I29)/('Screener Input'!I$17+'Screener Input'!I$25))</f>
        <v>8.2911120718702547E-2</v>
      </c>
      <c r="K179" s="224">
        <f>IF(('Screener Input'!J29)/('Screener Input'!J$17+'Screener Input'!J$25)&lt;0, 0, ('Screener Input'!J29)/('Screener Input'!J$17+'Screener Input'!J$25))</f>
        <v>9.6682487355976246E-2</v>
      </c>
      <c r="L179" s="224">
        <f>IF(('Screener Input'!K29)/('Screener Input'!K$17+'Screener Input'!K$25)&lt;0, 0, ('Screener Input'!K29)/('Screener Input'!K$17+'Screener Input'!K$25))</f>
        <v>9.8502150159656993E-2</v>
      </c>
      <c r="M179" s="224"/>
      <c r="N179" s="224"/>
    </row>
    <row r="180" spans="1:14">
      <c r="A180" s="163" t="s">
        <v>288</v>
      </c>
      <c r="B180" s="126"/>
      <c r="C180" s="253">
        <f>1-SUM(C171:C179)</f>
        <v>3.1976807789082073E-2</v>
      </c>
      <c r="D180" s="253">
        <f t="shared" ref="D180:L180" si="74">1-SUM(D171:D179)</f>
        <v>4.2405745886780477E-2</v>
      </c>
      <c r="E180" s="253">
        <f t="shared" si="74"/>
        <v>6.7671129557629217E-2</v>
      </c>
      <c r="F180" s="253">
        <f t="shared" si="74"/>
        <v>8.5362714307779419E-2</v>
      </c>
      <c r="G180" s="253">
        <f t="shared" si="74"/>
        <v>7.2441251323444478E-2</v>
      </c>
      <c r="H180" s="253">
        <f t="shared" si="74"/>
        <v>7.5836810237086105E-2</v>
      </c>
      <c r="I180" s="253">
        <f t="shared" si="74"/>
        <v>7.8755245450928046E-2</v>
      </c>
      <c r="J180" s="253">
        <f t="shared" si="74"/>
        <v>0.20578537700650346</v>
      </c>
      <c r="K180" s="253">
        <f t="shared" si="74"/>
        <v>0.22971855637999716</v>
      </c>
      <c r="L180" s="253">
        <f t="shared" si="74"/>
        <v>0.22922512161084097</v>
      </c>
      <c r="M180" s="253"/>
      <c r="N180" s="253"/>
    </row>
    <row r="181" spans="1:14">
      <c r="A181" s="159"/>
      <c r="B181" s="126"/>
      <c r="C181" s="224">
        <f>SUM(C171:C180)</f>
        <v>1</v>
      </c>
      <c r="D181" s="224">
        <f t="shared" ref="D181:L181" si="75">SUM(D171:D180)</f>
        <v>1</v>
      </c>
      <c r="E181" s="224">
        <f t="shared" si="75"/>
        <v>1</v>
      </c>
      <c r="F181" s="224">
        <f t="shared" si="75"/>
        <v>1</v>
      </c>
      <c r="G181" s="224">
        <f t="shared" si="75"/>
        <v>1</v>
      </c>
      <c r="H181" s="224">
        <f t="shared" si="75"/>
        <v>1</v>
      </c>
      <c r="I181" s="224">
        <f t="shared" si="75"/>
        <v>1</v>
      </c>
      <c r="J181" s="224">
        <f t="shared" si="75"/>
        <v>1</v>
      </c>
      <c r="K181" s="224">
        <f t="shared" si="75"/>
        <v>1</v>
      </c>
      <c r="L181" s="224">
        <f t="shared" si="75"/>
        <v>1</v>
      </c>
      <c r="M181" s="224"/>
      <c r="N181" s="224"/>
    </row>
    <row r="182" spans="1:14">
      <c r="A182" s="159"/>
      <c r="B182" s="126"/>
      <c r="C182" s="224"/>
      <c r="D182" s="224"/>
      <c r="E182" s="224"/>
      <c r="F182" s="224"/>
      <c r="G182" s="224"/>
      <c r="H182" s="224"/>
      <c r="I182" s="224"/>
      <c r="J182" s="224"/>
      <c r="K182" s="224"/>
      <c r="L182" s="224"/>
      <c r="M182" s="224"/>
      <c r="N182" s="224"/>
    </row>
    <row r="183" spans="1:14">
      <c r="A183" s="230" t="s">
        <v>377</v>
      </c>
      <c r="B183" s="126"/>
      <c r="C183" s="246">
        <f t="shared" ref="C183:L183" si="76">C4</f>
        <v>39783</v>
      </c>
      <c r="D183" s="246">
        <f t="shared" si="76"/>
        <v>40148</v>
      </c>
      <c r="E183" s="246">
        <f t="shared" si="76"/>
        <v>40513</v>
      </c>
      <c r="F183" s="246">
        <f t="shared" si="76"/>
        <v>40878</v>
      </c>
      <c r="G183" s="246">
        <f t="shared" si="76"/>
        <v>41244</v>
      </c>
      <c r="H183" s="246">
        <f t="shared" si="76"/>
        <v>41609</v>
      </c>
      <c r="I183" s="246">
        <f t="shared" si="76"/>
        <v>41974</v>
      </c>
      <c r="J183" s="246">
        <f t="shared" si="76"/>
        <v>42430</v>
      </c>
      <c r="K183" s="246">
        <f t="shared" si="76"/>
        <v>42795</v>
      </c>
      <c r="L183" s="246">
        <f t="shared" si="76"/>
        <v>43160</v>
      </c>
      <c r="M183" s="246"/>
      <c r="N183" s="246"/>
    </row>
    <row r="184" spans="1:14">
      <c r="A184" s="242" t="s">
        <v>226</v>
      </c>
      <c r="B184" s="126"/>
      <c r="C184" s="246"/>
      <c r="D184" s="251">
        <f>('Screener Input'!C17+'Screener Input'!C25)</f>
        <v>3050.53</v>
      </c>
      <c r="E184" s="251">
        <f>('Screener Input'!D17+'Screener Input'!D25)</f>
        <v>4534.43</v>
      </c>
      <c r="F184" s="251">
        <f>('Screener Input'!E17+'Screener Input'!E25)</f>
        <v>5826.9</v>
      </c>
      <c r="G184" s="251">
        <f>('Screener Input'!F17+'Screener Input'!F25)</f>
        <v>6526.5300000000007</v>
      </c>
      <c r="H184" s="251">
        <f>('Screener Input'!G17+'Screener Input'!G25)</f>
        <v>6905.09</v>
      </c>
      <c r="I184" s="251">
        <f>('Screener Input'!H17+'Screener Input'!H25)</f>
        <v>8845.76</v>
      </c>
      <c r="J184" s="251">
        <f>('Screener Input'!I17+'Screener Input'!I25)</f>
        <v>6499.49</v>
      </c>
      <c r="K184" s="251">
        <f>('Screener Input'!J17+'Screener Input'!J25)</f>
        <v>7450.16</v>
      </c>
      <c r="L184" s="251">
        <f>('Screener Input'!K17+'Screener Input'!K25)</f>
        <v>9501.619999999999</v>
      </c>
      <c r="M184" s="251"/>
      <c r="N184" s="251"/>
    </row>
    <row r="185" spans="1:14" s="244" customFormat="1">
      <c r="A185" s="242" t="s">
        <v>398</v>
      </c>
      <c r="B185" s="242"/>
      <c r="C185" s="243"/>
      <c r="D185" s="243">
        <f>('Screener Input'!C17+'Screener Input'!C25)/('Screener Input'!B17+'Screener Input'!B25)-1</f>
        <v>0.66859752762279845</v>
      </c>
      <c r="E185" s="243">
        <f>('Screener Input'!D17+'Screener Input'!D25)/('Screener Input'!C17+'Screener Input'!C25)-1</f>
        <v>0.48644006123526085</v>
      </c>
      <c r="F185" s="243">
        <f>('Screener Input'!E17+'Screener Input'!E25)/('Screener Input'!D17+'Screener Input'!D25)-1</f>
        <v>0.28503472321769197</v>
      </c>
      <c r="G185" s="243">
        <f>('Screener Input'!F17+'Screener Input'!F25)/('Screener Input'!E17+'Screener Input'!E25)-1</f>
        <v>0.12006899037223917</v>
      </c>
      <c r="H185" s="243">
        <f>('Screener Input'!G17+'Screener Input'!G25)/('Screener Input'!F17+'Screener Input'!F25)-1</f>
        <v>5.8003257473726366E-2</v>
      </c>
      <c r="I185" s="243">
        <f>('Screener Input'!H17+'Screener Input'!H25)/('Screener Input'!G17+'Screener Input'!G25)-1</f>
        <v>0.28104919704160269</v>
      </c>
      <c r="J185" s="243">
        <f>('Screener Input'!I17+'Screener Input'!I25)/('Screener Input'!H17+'Screener Input'!H25)-1</f>
        <v>-0.26524233078898818</v>
      </c>
      <c r="K185" s="243">
        <f>('Screener Input'!J17+'Screener Input'!J25)/('Screener Input'!I17+'Screener Input'!I25)-1</f>
        <v>0.1462683995205778</v>
      </c>
      <c r="L185" s="243">
        <f>('Screener Input'!K17+'Screener Input'!K25)/('Screener Input'!J17+'Screener Input'!J25)-1</f>
        <v>0.27535784466373858</v>
      </c>
      <c r="M185" s="243"/>
      <c r="N185" s="243"/>
    </row>
    <row r="186" spans="1:14" s="244" customFormat="1">
      <c r="A186" s="242" t="s">
        <v>28</v>
      </c>
      <c r="B186" s="242"/>
      <c r="C186" s="243"/>
      <c r="D186" s="250">
        <f>'Screener Input'!C30/'Screener Input'!C93</f>
        <v>65.868259216204834</v>
      </c>
      <c r="E186" s="250">
        <f>'Screener Input'!D30/'Screener Input'!D93</f>
        <v>70.131977824604192</v>
      </c>
      <c r="F186" s="250">
        <f>'Screener Input'!E30/'Screener Input'!E93</f>
        <v>114.39068280349457</v>
      </c>
      <c r="G186" s="250">
        <f>'Screener Input'!F30/'Screener Input'!F93</f>
        <v>120.09192406069067</v>
      </c>
      <c r="H186" s="250">
        <f>'Screener Input'!G30/'Screener Input'!G93</f>
        <v>145.69388831631838</v>
      </c>
      <c r="I186" s="250">
        <f>'Screener Input'!H30/'Screener Input'!H93</f>
        <v>227.0300411554669</v>
      </c>
      <c r="J186" s="250">
        <f>'Screener Input'!I30/'Screener Input'!I93</f>
        <v>492.62949997428308</v>
      </c>
      <c r="K186" s="250">
        <f>'Screener Input'!J30/'Screener Input'!J93</f>
        <v>612.66620529639397</v>
      </c>
      <c r="L186" s="250">
        <f>'Screener Input'!K30/'Screener Input'!K93</f>
        <v>718.99854227849164</v>
      </c>
      <c r="M186" s="250"/>
      <c r="N186" s="250"/>
    </row>
    <row r="187" spans="1:14" s="244" customFormat="1">
      <c r="A187" s="242" t="s">
        <v>399</v>
      </c>
      <c r="B187" s="242"/>
      <c r="C187" s="243"/>
      <c r="D187" s="243">
        <f>(('Screener Input'!C30/'Screener Input'!C93)/('Screener Input'!B30/'Screener Input'!B93))-1</f>
        <v>1.9560696182222004</v>
      </c>
      <c r="E187" s="243">
        <f>(('Screener Input'!D30/'Screener Input'!D93)/('Screener Input'!C30/'Screener Input'!C93))-1</f>
        <v>6.4731004874505782E-2</v>
      </c>
      <c r="F187" s="243">
        <f>(('Screener Input'!E30/'Screener Input'!E93)/('Screener Input'!D30/'Screener Input'!D93))-1</f>
        <v>0.63107738226888044</v>
      </c>
      <c r="G187" s="243">
        <f>(('Screener Input'!F30/'Screener Input'!F93)/('Screener Input'!E30/'Screener Input'!E93))-1</f>
        <v>4.9840084152569908E-2</v>
      </c>
      <c r="H187" s="243">
        <f>(('Screener Input'!G30/'Screener Input'!G93)/('Screener Input'!F30/'Screener Input'!F93))-1</f>
        <v>0.21318639413828766</v>
      </c>
      <c r="I187" s="243">
        <f>(('Screener Input'!H30/'Screener Input'!H93)/('Screener Input'!G30/'Screener Input'!G93))-1</f>
        <v>0.55826743166163761</v>
      </c>
      <c r="J187" s="243">
        <f>(('Screener Input'!I30/'Screener Input'!I93)/('Screener Input'!H30/'Screener Input'!H93))-1</f>
        <v>1.1698868461065799</v>
      </c>
      <c r="K187" s="243">
        <f>(('Screener Input'!J30/'Screener Input'!J93)/('Screener Input'!I30/'Screener Input'!I93))-1</f>
        <v>0.24366528055745174</v>
      </c>
      <c r="L187" s="243">
        <f>(('Screener Input'!K30/'Screener Input'!K93)/('Screener Input'!J30/'Screener Input'!J93))-1</f>
        <v>0.17355671989555299</v>
      </c>
      <c r="M187" s="243"/>
      <c r="N187" s="243"/>
    </row>
    <row r="188" spans="1:14" s="244" customFormat="1">
      <c r="A188" s="245"/>
      <c r="B188" s="242"/>
      <c r="C188" s="243"/>
      <c r="D188" s="243"/>
      <c r="E188" s="243"/>
      <c r="F188" s="243"/>
      <c r="G188" s="243"/>
      <c r="H188" s="243"/>
      <c r="I188" s="243"/>
      <c r="J188" s="243"/>
      <c r="K188" s="243"/>
      <c r="L188" s="243"/>
      <c r="M188" s="243"/>
      <c r="N188" s="243"/>
    </row>
    <row r="189" spans="1:14" s="244" customFormat="1">
      <c r="A189" s="230" t="s">
        <v>394</v>
      </c>
      <c r="B189" s="126"/>
      <c r="C189" s="246">
        <f>'Screener Input'!B41</f>
        <v>42460</v>
      </c>
      <c r="D189" s="246">
        <f>'Screener Input'!C41</f>
        <v>42551</v>
      </c>
      <c r="E189" s="246">
        <f>'Screener Input'!D41</f>
        <v>42643</v>
      </c>
      <c r="F189" s="246">
        <f>'Screener Input'!E41</f>
        <v>42735</v>
      </c>
      <c r="G189" s="246">
        <f>'Screener Input'!F41</f>
        <v>42825</v>
      </c>
      <c r="H189" s="246">
        <f>'Screener Input'!G41</f>
        <v>42916</v>
      </c>
      <c r="I189" s="246">
        <f>'Screener Input'!H41</f>
        <v>43008</v>
      </c>
      <c r="J189" s="246">
        <f>'Screener Input'!I41</f>
        <v>43100</v>
      </c>
      <c r="K189" s="246">
        <f>'Screener Input'!J41</f>
        <v>43190</v>
      </c>
      <c r="L189" s="246">
        <f>'Screener Input'!K41</f>
        <v>43281</v>
      </c>
      <c r="M189" s="246"/>
      <c r="N189" s="246"/>
    </row>
    <row r="190" spans="1:14" s="244" customFormat="1">
      <c r="A190" s="242" t="s">
        <v>395</v>
      </c>
      <c r="B190" s="126"/>
      <c r="C190" s="249">
        <f>('Screener Input'!B42+'Screener Input'!B44)</f>
        <v>1610.3</v>
      </c>
      <c r="D190" s="249">
        <f>('Screener Input'!C42+'Screener Input'!C44)</f>
        <v>1649.2</v>
      </c>
      <c r="E190" s="249">
        <f>('Screener Input'!D42+'Screener Input'!D44)</f>
        <v>1846.54</v>
      </c>
      <c r="F190" s="249">
        <f>('Screener Input'!E42+'Screener Input'!E44)</f>
        <v>1912.46</v>
      </c>
      <c r="G190" s="249">
        <f>('Screener Input'!F42+'Screener Input'!F44)</f>
        <v>2006.08</v>
      </c>
      <c r="H190" s="249">
        <f>('Screener Input'!G42+'Screener Input'!G44)</f>
        <v>2114.59</v>
      </c>
      <c r="I190" s="249">
        <f>('Screener Input'!H42+'Screener Input'!H44)</f>
        <v>2277.5700000000002</v>
      </c>
      <c r="J190" s="249">
        <f>('Screener Input'!I42+'Screener Input'!I44)</f>
        <v>2388.8100000000004</v>
      </c>
      <c r="K190" s="249">
        <f>('Screener Input'!J42+'Screener Input'!J44)</f>
        <v>2709.21</v>
      </c>
      <c r="L190" s="249">
        <f>('Screener Input'!K42+'Screener Input'!K44)</f>
        <v>2671.65</v>
      </c>
      <c r="M190" s="249"/>
      <c r="N190" s="249"/>
    </row>
    <row r="191" spans="1:14" s="244" customFormat="1">
      <c r="A191" s="242" t="s">
        <v>396</v>
      </c>
      <c r="B191" s="242"/>
      <c r="C191" s="243"/>
      <c r="D191" s="243"/>
      <c r="E191" s="243"/>
      <c r="F191" s="243"/>
      <c r="G191" s="243">
        <f t="shared" ref="G191:K191" si="77">G190/C190-1</f>
        <v>0.24578028938707064</v>
      </c>
      <c r="H191" s="243">
        <f t="shared" si="77"/>
        <v>0.28219136551055057</v>
      </c>
      <c r="I191" s="243">
        <f t="shared" si="77"/>
        <v>0.23342575844552527</v>
      </c>
      <c r="J191" s="243">
        <f t="shared" si="77"/>
        <v>0.24907710488062507</v>
      </c>
      <c r="K191" s="243">
        <f t="shared" si="77"/>
        <v>0.35049948157600896</v>
      </c>
      <c r="L191" s="243">
        <f>L190/H190-1</f>
        <v>0.26343641084087221</v>
      </c>
      <c r="M191" s="243"/>
      <c r="N191" s="243"/>
    </row>
    <row r="192" spans="1:14" s="244" customFormat="1">
      <c r="A192" s="242" t="s">
        <v>359</v>
      </c>
      <c r="B192" s="242"/>
      <c r="C192" s="249">
        <f>'Screener Input'!B49</f>
        <v>343.1</v>
      </c>
      <c r="D192" s="249">
        <f>'Screener Input'!C49</f>
        <v>376.29</v>
      </c>
      <c r="E192" s="249">
        <f>'Screener Input'!D49</f>
        <v>413.16</v>
      </c>
      <c r="F192" s="249">
        <f>'Screener Input'!E49</f>
        <v>418.19</v>
      </c>
      <c r="G192" s="249">
        <f>'Screener Input'!F49</f>
        <v>459.44</v>
      </c>
      <c r="H192" s="249">
        <f>'Screener Input'!G49</f>
        <v>459.62</v>
      </c>
      <c r="I192" s="249">
        <f>'Screener Input'!H49</f>
        <v>518.02</v>
      </c>
      <c r="J192" s="249">
        <f>'Screener Input'!I49</f>
        <v>520.5</v>
      </c>
      <c r="K192" s="249">
        <f>'Screener Input'!J49</f>
        <v>461.53</v>
      </c>
      <c r="L192" s="249">
        <f>'Screener Input'!K49</f>
        <v>576.17999999999995</v>
      </c>
      <c r="M192" s="249"/>
      <c r="N192" s="249"/>
    </row>
    <row r="193" spans="1:14" s="244" customFormat="1">
      <c r="A193" s="242" t="s">
        <v>397</v>
      </c>
      <c r="B193" s="242"/>
      <c r="C193" s="243"/>
      <c r="D193" s="243"/>
      <c r="E193" s="243"/>
      <c r="F193" s="243"/>
      <c r="G193" s="243">
        <f t="shared" ref="G193:K193" si="78">G192/C192-1</f>
        <v>0.33908481492276299</v>
      </c>
      <c r="H193" s="243">
        <f t="shared" si="78"/>
        <v>0.22145154003561074</v>
      </c>
      <c r="I193" s="243">
        <f t="shared" si="78"/>
        <v>0.25379998063704123</v>
      </c>
      <c r="J193" s="243">
        <f t="shared" si="78"/>
        <v>0.24464956120423742</v>
      </c>
      <c r="K193" s="243">
        <f t="shared" si="78"/>
        <v>4.5490161936270201E-3</v>
      </c>
      <c r="L193" s="243">
        <f>L192/H192-1</f>
        <v>0.25360080066141588</v>
      </c>
      <c r="M193" s="243"/>
      <c r="N193" s="243"/>
    </row>
    <row r="194" spans="1:14" s="244" customFormat="1">
      <c r="A194" s="242"/>
      <c r="B194" s="242"/>
      <c r="C194" s="242"/>
      <c r="D194" s="242"/>
      <c r="E194" s="242"/>
      <c r="F194" s="242"/>
      <c r="G194" s="242"/>
      <c r="H194" s="242"/>
      <c r="I194" s="242"/>
      <c r="J194" s="242"/>
      <c r="K194" s="242"/>
      <c r="L194" s="242"/>
      <c r="M194" s="242"/>
      <c r="N194" s="242"/>
    </row>
    <row r="195" spans="1:14">
      <c r="A195" s="230" t="s">
        <v>372</v>
      </c>
      <c r="B195" s="126"/>
      <c r="C195" s="240">
        <f>'Screener Input'!B41</f>
        <v>42460</v>
      </c>
      <c r="D195" s="240">
        <f>'Screener Input'!C41</f>
        <v>42551</v>
      </c>
      <c r="E195" s="240">
        <f>'Screener Input'!D41</f>
        <v>42643</v>
      </c>
      <c r="F195" s="240">
        <f>'Screener Input'!E41</f>
        <v>42735</v>
      </c>
      <c r="G195" s="240">
        <f>'Screener Input'!F41</f>
        <v>42825</v>
      </c>
      <c r="H195" s="240">
        <f>'Screener Input'!G41</f>
        <v>42916</v>
      </c>
      <c r="I195" s="240">
        <f>'Screener Input'!H41</f>
        <v>43008</v>
      </c>
      <c r="J195" s="240">
        <f>'Screener Input'!I41</f>
        <v>43100</v>
      </c>
      <c r="K195" s="240">
        <f>'Screener Input'!J41</f>
        <v>43190</v>
      </c>
      <c r="L195" s="240">
        <f>'Screener Input'!K41</f>
        <v>43281</v>
      </c>
      <c r="M195" s="240"/>
      <c r="N195" s="240"/>
    </row>
    <row r="196" spans="1:14">
      <c r="A196" s="163" t="s">
        <v>289</v>
      </c>
      <c r="B196" s="126"/>
      <c r="C196" s="224">
        <f>IF('Screener Input'!B43/('Screener Input'!B42+'Screener Input'!B44)&lt;0, 0, 'Screener Input'!B43/('Screener Input'!B42+'Screener Input'!B44))</f>
        <v>0.67401105384089921</v>
      </c>
      <c r="D196" s="224">
        <f>IF('Screener Input'!C43/('Screener Input'!C42+'Screener Input'!C44)&lt;0, 0, 'Screener Input'!C43/('Screener Input'!C42+'Screener Input'!C44))</f>
        <v>0.65833737569730777</v>
      </c>
      <c r="E196" s="224">
        <f>IF('Screener Input'!D43/('Screener Input'!D42+'Screener Input'!D44)&lt;0, 0, 'Screener Input'!D43/('Screener Input'!D42+'Screener Input'!D44))</f>
        <v>0.65672555157212953</v>
      </c>
      <c r="F196" s="224">
        <f>IF('Screener Input'!E43/('Screener Input'!E42+'Screener Input'!E44)&lt;0, 0, 'Screener Input'!E43/('Screener Input'!E42+'Screener Input'!E44))</f>
        <v>0.65765035608587896</v>
      </c>
      <c r="G196" s="224">
        <f>IF('Screener Input'!F43/('Screener Input'!F42+'Screener Input'!F44)&lt;0, 0, 'Screener Input'!F43/('Screener Input'!F42+'Screener Input'!F44))</f>
        <v>0.6547096825650025</v>
      </c>
      <c r="H196" s="224">
        <f>IF('Screener Input'!G43/('Screener Input'!G42+'Screener Input'!G44)&lt;0, 0, 'Screener Input'!G43/('Screener Input'!G42+'Screener Input'!G44))</f>
        <v>0.65785802448701636</v>
      </c>
      <c r="I196" s="224">
        <f>IF('Screener Input'!H43/('Screener Input'!H42+'Screener Input'!H44)&lt;0, 0, 'Screener Input'!H43/('Screener Input'!H42+'Screener Input'!H44))</f>
        <v>0.65191410143266726</v>
      </c>
      <c r="J196" s="224">
        <f>IF('Screener Input'!I43/('Screener Input'!I42+'Screener Input'!I44)&lt;0, 0, 'Screener Input'!I43/('Screener Input'!I42+'Screener Input'!I44))</f>
        <v>0.65815196687890609</v>
      </c>
      <c r="K196" s="224">
        <f>IF('Screener Input'!J43/('Screener Input'!J42+'Screener Input'!J44)&lt;0, 0, 'Screener Input'!J43/('Screener Input'!J42+'Screener Input'!J44))</f>
        <v>0.70790378006872845</v>
      </c>
      <c r="L196" s="253">
        <f>IF('Screener Input'!K43/('Screener Input'!K42+'Screener Input'!K44)&lt;0, 0, 'Screener Input'!K43/('Screener Input'!K42+'Screener Input'!K44))</f>
        <v>0.65059045907959501</v>
      </c>
      <c r="M196" s="224"/>
      <c r="N196" s="224"/>
    </row>
    <row r="197" spans="1:14">
      <c r="A197" s="163" t="s">
        <v>18</v>
      </c>
      <c r="B197" s="126"/>
      <c r="C197" s="224">
        <f>IF('Screener Input'!B45/('Screener Input'!B42+'Screener Input'!B44)&lt;0,0, 'Screener Input'!B45/('Screener Input'!B42+'Screener Input'!B44))</f>
        <v>2.3132335589641683E-2</v>
      </c>
      <c r="D197" s="224">
        <f>IF('Screener Input'!C45/('Screener Input'!C42+'Screener Input'!C44)&lt;0,0, 'Screener Input'!C45/('Screener Input'!C42+'Screener Input'!C44))</f>
        <v>2.3756973077855931E-2</v>
      </c>
      <c r="E197" s="224">
        <f>IF('Screener Input'!D45/('Screener Input'!D42+'Screener Input'!D44)&lt;0,0, 'Screener Input'!D45/('Screener Input'!D42+'Screener Input'!D44))</f>
        <v>1.9414689094197798E-2</v>
      </c>
      <c r="F197" s="224">
        <f>IF('Screener Input'!E45/('Screener Input'!E42+'Screener Input'!E44)&lt;0,0, 'Screener Input'!E45/('Screener Input'!E42+'Screener Input'!E44))</f>
        <v>1.8609539545925143E-2</v>
      </c>
      <c r="G197" s="224">
        <f>IF('Screener Input'!F45/('Screener Input'!F42+'Screener Input'!F44)&lt;0,0, 'Screener Input'!F45/('Screener Input'!F42+'Screener Input'!F44))</f>
        <v>2.1529550167490828E-2</v>
      </c>
      <c r="H197" s="224">
        <f>IF('Screener Input'!G45/('Screener Input'!G42+'Screener Input'!G44)&lt;0,0, 'Screener Input'!G45/('Screener Input'!G42+'Screener Input'!G44))</f>
        <v>2.1384760166273366E-2</v>
      </c>
      <c r="I197" s="224">
        <f>IF('Screener Input'!H45/('Screener Input'!H42+'Screener Input'!H44)&lt;0,0, 'Screener Input'!H45/('Screener Input'!H42+'Screener Input'!H44))</f>
        <v>2.1588798587968756E-2</v>
      </c>
      <c r="J197" s="224">
        <f>IF('Screener Input'!I45/('Screener Input'!I42+'Screener Input'!I44)&lt;0,0, 'Screener Input'!I45/('Screener Input'!I42+'Screener Input'!I44))</f>
        <v>2.7185083786487828E-2</v>
      </c>
      <c r="K197" s="224">
        <f>IF('Screener Input'!J45/('Screener Input'!J42+'Screener Input'!J44)&lt;0,0, 'Screener Input'!J45/('Screener Input'!J42+'Screener Input'!J44))</f>
        <v>2.3612049268975088E-2</v>
      </c>
      <c r="L197" s="253">
        <f>IF('Screener Input'!K45/('Screener Input'!K42+'Screener Input'!K44)&lt;0,0, 'Screener Input'!K45/('Screener Input'!K42+'Screener Input'!K44))</f>
        <v>2.6257181891340558E-2</v>
      </c>
      <c r="M197" s="224"/>
      <c r="N197" s="224"/>
    </row>
    <row r="198" spans="1:14">
      <c r="A198" s="163" t="s">
        <v>17</v>
      </c>
      <c r="B198" s="126"/>
      <c r="C198" s="224">
        <f>IF('Screener Input'!B46/('Screener Input'!B42+'Screener Input'!B44)&lt;0, 0, 'Screener Input'!B46/('Screener Input'!B42+'Screener Input'!B44))</f>
        <v>3.5397130969384583E-4</v>
      </c>
      <c r="D198" s="224">
        <f>IF('Screener Input'!C46/('Screener Input'!C42+'Screener Input'!C44)&lt;0, 0, 'Screener Input'!C46/('Screener Input'!C42+'Screener Input'!C44))</f>
        <v>4.1838467135580883E-4</v>
      </c>
      <c r="E198" s="224">
        <f>IF('Screener Input'!D46/('Screener Input'!D42+'Screener Input'!D44)&lt;0, 0, 'Screener Input'!D46/('Screener Input'!D42+'Screener Input'!D44))</f>
        <v>4.4407378123409186E-4</v>
      </c>
      <c r="F198" s="224">
        <f>IF('Screener Input'!E46/('Screener Input'!E42+'Screener Input'!E44)&lt;0, 0, 'Screener Input'!E46/('Screener Input'!E42+'Screener Input'!E44))</f>
        <v>5.0197128305951499E-4</v>
      </c>
      <c r="G198" s="224">
        <f>IF('Screener Input'!F46/('Screener Input'!F42+'Screener Input'!F44)&lt;0, 0, 'Screener Input'!F46/('Screener Input'!F42+'Screener Input'!F44))</f>
        <v>5.4334822140692299E-4</v>
      </c>
      <c r="H198" s="224">
        <f>IF('Screener Input'!G46/('Screener Input'!G42+'Screener Input'!G44)&lt;0, 0, 'Screener Input'!G46/('Screener Input'!G42+'Screener Input'!G44))</f>
        <v>5.2965350257023818E-4</v>
      </c>
      <c r="I198" s="224">
        <f>IF('Screener Input'!H46/('Screener Input'!H42+'Screener Input'!H44)&lt;0, 0, 'Screener Input'!H46/('Screener Input'!H42+'Screener Input'!H44))</f>
        <v>5.6639312951961953E-4</v>
      </c>
      <c r="J198" s="224">
        <f>IF('Screener Input'!I46/('Screener Input'!I42+'Screener Input'!I44)&lt;0, 0, 'Screener Input'!I46/('Screener Input'!I42+'Screener Input'!I44))</f>
        <v>6.6141719098630693E-4</v>
      </c>
      <c r="K198" s="224">
        <f>IF('Screener Input'!J46/('Screener Input'!J42+'Screener Input'!J44)&lt;0, 0, 'Screener Input'!J46/('Screener Input'!J42+'Screener Input'!J44))</f>
        <v>4.9830024250611807E-4</v>
      </c>
      <c r="L198" s="253">
        <f>IF('Screener Input'!K46/('Screener Input'!K42+'Screener Input'!K44)&lt;0, 0, 'Screener Input'!K46/('Screener Input'!K42+'Screener Input'!K44))</f>
        <v>5.7267980461512549E-4</v>
      </c>
      <c r="M198" s="224"/>
      <c r="N198" s="224"/>
    </row>
    <row r="199" spans="1:14">
      <c r="A199" s="163" t="s">
        <v>19</v>
      </c>
      <c r="B199" s="126"/>
      <c r="C199" s="224">
        <f>IF('Screener Input'!B48/('Screener Input'!B42+'Screener Input'!B44)&lt;0, 0, 'Screener Input'!B48/('Screener Input'!B42+'Screener Input'!B44))</f>
        <v>8.94367509159784E-2</v>
      </c>
      <c r="D199" s="224">
        <f>IF('Screener Input'!C48/('Screener Input'!C42+'Screener Input'!C44)&lt;0, 0, 'Screener Input'!C48/('Screener Input'!C42+'Screener Input'!C44))</f>
        <v>8.9322095561484349E-2</v>
      </c>
      <c r="E199" s="224">
        <f>IF('Screener Input'!D48/('Screener Input'!D42+'Screener Input'!D44)&lt;0, 0, 'Screener Input'!D48/('Screener Input'!D42+'Screener Input'!D44))</f>
        <v>9.9667486217466184E-2</v>
      </c>
      <c r="F199" s="224">
        <f>IF('Screener Input'!E48/('Screener Input'!E42+'Screener Input'!E44)&lt;0, 0, 'Screener Input'!E48/('Screener Input'!E42+'Screener Input'!E44))</f>
        <v>0.10457212176986709</v>
      </c>
      <c r="G199" s="224">
        <f>IF('Screener Input'!F48/('Screener Input'!F42+'Screener Input'!F44)&lt;0, 0, 'Screener Input'!F48/('Screener Input'!F42+'Screener Input'!F44))</f>
        <v>9.4193651300047865E-2</v>
      </c>
      <c r="H199" s="224">
        <f>IF('Screener Input'!G48/('Screener Input'!G42+'Screener Input'!G44)&lt;0, 0, 'Screener Input'!G48/('Screener Input'!G42+'Screener Input'!G44))</f>
        <v>0.10287100572687849</v>
      </c>
      <c r="I199" s="224">
        <f>IF('Screener Input'!H48/('Screener Input'!H42+'Screener Input'!H44)&lt;0, 0, 'Screener Input'!H48/('Screener Input'!H42+'Screener Input'!H44))</f>
        <v>9.8486544870190595E-2</v>
      </c>
      <c r="J199" s="224">
        <f>IF('Screener Input'!I48/('Screener Input'!I42+'Screener Input'!I44)&lt;0, 0, 'Screener Input'!I48/('Screener Input'!I42+'Screener Input'!I44))</f>
        <v>9.6110615745915312E-2</v>
      </c>
      <c r="K199" s="224">
        <f>IF('Screener Input'!J48/('Screener Input'!J42+'Screener Input'!J44)&lt;0, 0, 'Screener Input'!J48/('Screener Input'!J42+'Screener Input'!J44))</f>
        <v>9.7629936402124598E-2</v>
      </c>
      <c r="L199" s="253">
        <f>IF('Screener Input'!K48/('Screener Input'!K42+'Screener Input'!K44)&lt;0, 0, 'Screener Input'!K48/('Screener Input'!K42+'Screener Input'!K44))</f>
        <v>0.10691520221585911</v>
      </c>
      <c r="M199" s="224"/>
      <c r="N199" s="224"/>
    </row>
    <row r="200" spans="1:14">
      <c r="A200" s="163" t="s">
        <v>288</v>
      </c>
      <c r="B200" s="126"/>
      <c r="C200" s="224">
        <f>1-SUM(C196:C199)</f>
        <v>0.21306588834378692</v>
      </c>
      <c r="D200" s="224">
        <f t="shared" ref="D200:L200" si="79">1-SUM(D196:D199)</f>
        <v>0.22816517099199607</v>
      </c>
      <c r="E200" s="224">
        <f t="shared" si="79"/>
        <v>0.22374819933497236</v>
      </c>
      <c r="F200" s="224">
        <f t="shared" si="79"/>
        <v>0.2186660113152693</v>
      </c>
      <c r="G200" s="224">
        <f t="shared" si="79"/>
        <v>0.22902376774605193</v>
      </c>
      <c r="H200" s="224">
        <f t="shared" si="79"/>
        <v>0.21735655611726157</v>
      </c>
      <c r="I200" s="224">
        <f t="shared" si="79"/>
        <v>0.22744416197965367</v>
      </c>
      <c r="J200" s="224">
        <f t="shared" si="79"/>
        <v>0.21789091639770441</v>
      </c>
      <c r="K200" s="224">
        <f t="shared" si="79"/>
        <v>0.1703559340176658</v>
      </c>
      <c r="L200" s="253">
        <f t="shared" si="79"/>
        <v>0.21566447700859015</v>
      </c>
      <c r="M200" s="224"/>
      <c r="N200" s="224"/>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 M30 M32: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zoomScaleNormal="100" workbookViewId="0">
      <selection sqref="A1:XFD1048576"/>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480</v>
      </c>
      <c r="B1" s="158" t="s">
        <v>481</v>
      </c>
      <c r="E1" s="438" t="str">
        <f>IF(B2&lt;&gt;B3, "A NEW VERSION OF THE WORKSHEET IS AVAILABLE", "")</f>
        <v/>
      </c>
      <c r="F1" s="438"/>
      <c r="G1" s="438"/>
      <c r="H1" s="438"/>
      <c r="I1" s="438"/>
      <c r="J1" s="438"/>
      <c r="K1" s="438"/>
    </row>
    <row r="2" spans="1:11">
      <c r="A2" s="158" t="s">
        <v>482</v>
      </c>
      <c r="B2" s="159">
        <v>2.1</v>
      </c>
      <c r="E2" s="439" t="s">
        <v>483</v>
      </c>
      <c r="F2" s="439"/>
      <c r="G2" s="439"/>
      <c r="H2" s="439"/>
      <c r="I2" s="439"/>
      <c r="J2" s="439"/>
      <c r="K2" s="439"/>
    </row>
    <row r="3" spans="1:11">
      <c r="A3" s="158" t="s">
        <v>484</v>
      </c>
      <c r="B3" s="159">
        <v>2.1</v>
      </c>
    </row>
    <row r="4" spans="1:11">
      <c r="A4" s="158"/>
    </row>
    <row r="5" spans="1:11">
      <c r="A5" s="158" t="s">
        <v>485</v>
      </c>
    </row>
    <row r="6" spans="1:11">
      <c r="A6" s="159" t="s">
        <v>486</v>
      </c>
      <c r="B6" s="159">
        <f>IF(B9&gt;0, B9/B8, 0)</f>
        <v>2.7266300430723813</v>
      </c>
    </row>
    <row r="7" spans="1:11">
      <c r="A7" s="159" t="s">
        <v>487</v>
      </c>
      <c r="B7">
        <v>10</v>
      </c>
    </row>
    <row r="8" spans="1:11">
      <c r="A8" s="159" t="s">
        <v>283</v>
      </c>
      <c r="B8">
        <v>28997.7</v>
      </c>
    </row>
    <row r="9" spans="1:11">
      <c r="A9" s="159" t="s">
        <v>488</v>
      </c>
      <c r="B9">
        <v>79066</v>
      </c>
    </row>
    <row r="15" spans="1:11">
      <c r="A15" s="158" t="s">
        <v>489</v>
      </c>
    </row>
    <row r="16" spans="1:11" s="162" customFormat="1">
      <c r="A16" s="160" t="s">
        <v>490</v>
      </c>
      <c r="B16" s="161">
        <v>39813</v>
      </c>
      <c r="C16" s="161">
        <v>40178</v>
      </c>
      <c r="D16" s="161">
        <v>40543</v>
      </c>
      <c r="E16" s="161">
        <v>40908</v>
      </c>
      <c r="F16" s="161">
        <v>41274</v>
      </c>
      <c r="G16" s="161">
        <v>41639</v>
      </c>
      <c r="H16" s="161">
        <v>42004</v>
      </c>
      <c r="I16" s="161">
        <v>42460</v>
      </c>
      <c r="J16" s="161">
        <v>42825</v>
      </c>
      <c r="K16" s="161">
        <v>43190</v>
      </c>
    </row>
    <row r="17" spans="1:11" s="163" customFormat="1">
      <c r="A17" s="163" t="s">
        <v>226</v>
      </c>
      <c r="B17">
        <v>1716.76</v>
      </c>
      <c r="C17">
        <v>2938.63</v>
      </c>
      <c r="D17">
        <v>4397.08</v>
      </c>
      <c r="E17">
        <v>5684.42</v>
      </c>
      <c r="F17">
        <v>6389.89</v>
      </c>
      <c r="G17">
        <v>6809.8</v>
      </c>
      <c r="H17">
        <v>8738.32</v>
      </c>
      <c r="I17">
        <v>6173.46</v>
      </c>
      <c r="J17">
        <v>7033.36</v>
      </c>
      <c r="K17">
        <v>8964.9599999999991</v>
      </c>
    </row>
    <row r="18" spans="1:11" s="163" customFormat="1">
      <c r="A18" s="159" t="s">
        <v>491</v>
      </c>
      <c r="B18">
        <v>1382.96</v>
      </c>
      <c r="C18">
        <v>2113.23</v>
      </c>
      <c r="D18">
        <v>3391.21</v>
      </c>
      <c r="E18">
        <v>4186.3999999999996</v>
      </c>
      <c r="F18">
        <v>4628.37</v>
      </c>
      <c r="G18">
        <v>4658.25</v>
      </c>
      <c r="H18">
        <v>5855.79</v>
      </c>
      <c r="I18">
        <v>3497.73</v>
      </c>
      <c r="J18">
        <v>3725.72</v>
      </c>
      <c r="K18">
        <v>4679.07</v>
      </c>
    </row>
    <row r="19" spans="1:11" s="163" customFormat="1">
      <c r="A19" s="159" t="s">
        <v>492</v>
      </c>
      <c r="B19">
        <v>91.31</v>
      </c>
      <c r="C19">
        <v>-92.56</v>
      </c>
      <c r="D19">
        <v>66.739999999999995</v>
      </c>
      <c r="E19">
        <v>68.540000000000006</v>
      </c>
      <c r="F19">
        <v>41.07</v>
      </c>
      <c r="G19">
        <v>17.829999999999998</v>
      </c>
      <c r="H19">
        <v>84.72</v>
      </c>
      <c r="I19">
        <v>62.05</v>
      </c>
      <c r="J19">
        <v>19.61</v>
      </c>
      <c r="K19">
        <v>33.869999999999997</v>
      </c>
    </row>
    <row r="20" spans="1:11" s="163" customFormat="1">
      <c r="A20" s="159" t="s">
        <v>284</v>
      </c>
      <c r="B20">
        <v>12.63</v>
      </c>
      <c r="C20">
        <v>20.86</v>
      </c>
      <c r="D20">
        <v>29.05</v>
      </c>
      <c r="E20">
        <v>35.03</v>
      </c>
      <c r="F20">
        <v>46.11</v>
      </c>
      <c r="G20">
        <v>61.45</v>
      </c>
      <c r="H20">
        <v>74.069999999999993</v>
      </c>
      <c r="I20">
        <v>46.18</v>
      </c>
      <c r="J20">
        <v>46.02</v>
      </c>
      <c r="K20">
        <v>52.41</v>
      </c>
    </row>
    <row r="21" spans="1:11" s="163" customFormat="1">
      <c r="A21" s="159" t="s">
        <v>285</v>
      </c>
      <c r="B21">
        <v>28.63</v>
      </c>
      <c r="C21">
        <v>38.56</v>
      </c>
      <c r="D21">
        <v>49.68</v>
      </c>
      <c r="E21">
        <v>85.04</v>
      </c>
      <c r="F21">
        <v>106.23</v>
      </c>
      <c r="G21">
        <v>126.8</v>
      </c>
      <c r="H21">
        <v>171.82</v>
      </c>
      <c r="I21">
        <v>173.76</v>
      </c>
      <c r="J21">
        <v>173.09</v>
      </c>
      <c r="K21">
        <v>210.76</v>
      </c>
    </row>
    <row r="22" spans="1:11" s="163" customFormat="1">
      <c r="A22" s="159" t="s">
        <v>16</v>
      </c>
      <c r="B22">
        <v>156.11000000000001</v>
      </c>
      <c r="C22">
        <v>215.17</v>
      </c>
      <c r="D22">
        <v>263.11</v>
      </c>
      <c r="E22">
        <v>345.56</v>
      </c>
      <c r="F22">
        <v>457.26</v>
      </c>
      <c r="G22">
        <v>533.34</v>
      </c>
      <c r="H22">
        <v>659.64</v>
      </c>
      <c r="I22">
        <v>350.21</v>
      </c>
      <c r="J22">
        <v>426.28</v>
      </c>
      <c r="K22">
        <v>573.67999999999995</v>
      </c>
    </row>
    <row r="23" spans="1:11" s="163" customFormat="1">
      <c r="A23" s="159" t="s">
        <v>286</v>
      </c>
      <c r="B23">
        <v>192.18</v>
      </c>
      <c r="C23">
        <v>265.98</v>
      </c>
      <c r="D23">
        <v>331.97</v>
      </c>
      <c r="E23">
        <v>431.17</v>
      </c>
      <c r="F23">
        <v>543.51</v>
      </c>
      <c r="G23">
        <v>583.03</v>
      </c>
      <c r="H23">
        <v>674.42</v>
      </c>
      <c r="I23">
        <v>397.4</v>
      </c>
      <c r="J23">
        <v>412.25</v>
      </c>
      <c r="K23">
        <v>554.55999999999995</v>
      </c>
    </row>
    <row r="24" spans="1:11" s="163" customFormat="1">
      <c r="A24" s="159" t="s">
        <v>287</v>
      </c>
      <c r="B24">
        <v>41.72</v>
      </c>
      <c r="C24">
        <v>54.44</v>
      </c>
      <c r="D24">
        <v>51.68</v>
      </c>
      <c r="E24">
        <v>80.41</v>
      </c>
      <c r="F24">
        <v>102.52</v>
      </c>
      <c r="G24">
        <v>153.29</v>
      </c>
      <c r="H24">
        <v>277.61</v>
      </c>
      <c r="I24">
        <v>81.16</v>
      </c>
      <c r="J24">
        <v>97.3</v>
      </c>
      <c r="K24">
        <v>122.43</v>
      </c>
    </row>
    <row r="25" spans="1:11" s="163" customFormat="1">
      <c r="A25" s="163" t="s">
        <v>493</v>
      </c>
      <c r="B25">
        <v>111.44</v>
      </c>
      <c r="C25">
        <v>111.9</v>
      </c>
      <c r="D25">
        <v>137.35</v>
      </c>
      <c r="E25">
        <v>142.47999999999999</v>
      </c>
      <c r="F25">
        <v>136.63999999999999</v>
      </c>
      <c r="G25">
        <v>95.29</v>
      </c>
      <c r="H25">
        <v>107.44</v>
      </c>
      <c r="I25">
        <v>326.02999999999997</v>
      </c>
      <c r="J25">
        <v>416.8</v>
      </c>
      <c r="K25">
        <v>536.66</v>
      </c>
    </row>
    <row r="26" spans="1:11" s="163" customFormat="1">
      <c r="A26" s="163" t="s">
        <v>18</v>
      </c>
      <c r="B26">
        <v>36.89</v>
      </c>
      <c r="C26">
        <v>53.88</v>
      </c>
      <c r="D26">
        <v>57.3</v>
      </c>
      <c r="E26">
        <v>63.96</v>
      </c>
      <c r="F26">
        <v>82.17</v>
      </c>
      <c r="G26">
        <v>130.04</v>
      </c>
      <c r="H26">
        <v>219.82</v>
      </c>
      <c r="I26">
        <v>136.6</v>
      </c>
      <c r="J26">
        <v>153.81</v>
      </c>
      <c r="K26">
        <v>223.3</v>
      </c>
    </row>
    <row r="27" spans="1:11" s="163" customFormat="1">
      <c r="A27" s="163" t="s">
        <v>17</v>
      </c>
      <c r="B27">
        <v>9.93</v>
      </c>
      <c r="C27">
        <v>8.67</v>
      </c>
      <c r="D27">
        <v>9.5</v>
      </c>
      <c r="E27">
        <v>7.67</v>
      </c>
      <c r="F27">
        <v>3.79</v>
      </c>
      <c r="G27">
        <v>7.88</v>
      </c>
      <c r="H27">
        <v>9.7799999999999994</v>
      </c>
      <c r="I27">
        <v>2.12</v>
      </c>
      <c r="J27">
        <v>3.56</v>
      </c>
      <c r="K27">
        <v>5.34</v>
      </c>
    </row>
    <row r="28" spans="1:11" s="163" customFormat="1">
      <c r="A28" s="163" t="s">
        <v>494</v>
      </c>
      <c r="B28">
        <v>58.76</v>
      </c>
      <c r="C28">
        <v>187.31</v>
      </c>
      <c r="D28">
        <v>417.67</v>
      </c>
      <c r="E28">
        <v>660.2</v>
      </c>
      <c r="F28">
        <v>599.70000000000005</v>
      </c>
      <c r="G28">
        <v>670.56</v>
      </c>
      <c r="H28">
        <v>992.62</v>
      </c>
      <c r="I28">
        <v>1876.92</v>
      </c>
      <c r="J28">
        <v>2433.38</v>
      </c>
      <c r="K28">
        <v>3115.65</v>
      </c>
    </row>
    <row r="29" spans="1:11" s="163" customFormat="1">
      <c r="A29" s="163" t="s">
        <v>19</v>
      </c>
      <c r="B29">
        <v>-8.5299999999999994</v>
      </c>
      <c r="C29">
        <v>57.82</v>
      </c>
      <c r="D29">
        <v>110.82</v>
      </c>
      <c r="E29">
        <v>162.80000000000001</v>
      </c>
      <c r="F29">
        <v>124.85</v>
      </c>
      <c r="G29">
        <v>145.18</v>
      </c>
      <c r="H29">
        <v>290.88</v>
      </c>
      <c r="I29">
        <v>538.88</v>
      </c>
      <c r="J29">
        <v>720.3</v>
      </c>
      <c r="K29">
        <v>935.93</v>
      </c>
    </row>
    <row r="30" spans="1:11" s="163" customFormat="1">
      <c r="A30" s="163" t="s">
        <v>288</v>
      </c>
      <c r="B30">
        <v>62.6</v>
      </c>
      <c r="C30">
        <v>83.39</v>
      </c>
      <c r="D30">
        <v>188.92</v>
      </c>
      <c r="E30">
        <v>308.77</v>
      </c>
      <c r="F30">
        <v>324.26</v>
      </c>
      <c r="G30">
        <v>393.94</v>
      </c>
      <c r="H30">
        <v>615.36</v>
      </c>
      <c r="I30">
        <v>1338.04</v>
      </c>
      <c r="J30">
        <v>1667.08</v>
      </c>
      <c r="K30">
        <v>1959.67</v>
      </c>
    </row>
    <row r="31" spans="1:11" s="163" customFormat="1">
      <c r="A31" s="163" t="s">
        <v>495</v>
      </c>
      <c r="B31">
        <v>14.046975</v>
      </c>
      <c r="C31">
        <v>8.8620833000000001</v>
      </c>
      <c r="D31">
        <v>29.631561300000001</v>
      </c>
      <c r="E31">
        <v>43.188132799999998</v>
      </c>
      <c r="F31">
        <v>54.001966000000003</v>
      </c>
      <c r="G31">
        <v>81.116648999999995</v>
      </c>
      <c r="H31">
        <v>135.52391499999999</v>
      </c>
      <c r="I31">
        <v>271.61183</v>
      </c>
      <c r="J31">
        <v>272.10248999999999</v>
      </c>
      <c r="K31">
        <v>299.81103899999999</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496</v>
      </c>
    </row>
    <row r="41" spans="1:11" s="162" customFormat="1">
      <c r="A41" s="160" t="s">
        <v>490</v>
      </c>
      <c r="B41" s="161">
        <v>42460</v>
      </c>
      <c r="C41" s="161">
        <v>42551</v>
      </c>
      <c r="D41" s="161">
        <v>42643</v>
      </c>
      <c r="E41" s="161">
        <v>42735</v>
      </c>
      <c r="F41" s="161">
        <v>42825</v>
      </c>
      <c r="G41" s="161">
        <v>42916</v>
      </c>
      <c r="H41" s="161">
        <v>43008</v>
      </c>
      <c r="I41" s="161">
        <v>43100</v>
      </c>
      <c r="J41" s="161">
        <v>43190</v>
      </c>
      <c r="K41" s="161">
        <v>43281</v>
      </c>
    </row>
    <row r="42" spans="1:11" s="163" customFormat="1">
      <c r="A42" s="163" t="s">
        <v>226</v>
      </c>
      <c r="B42">
        <v>1532.2</v>
      </c>
      <c r="C42">
        <v>1555.69</v>
      </c>
      <c r="D42">
        <v>1754.85</v>
      </c>
      <c r="E42">
        <v>1834.76</v>
      </c>
      <c r="F42">
        <v>1888.06</v>
      </c>
      <c r="G42">
        <v>2000.64</v>
      </c>
      <c r="H42">
        <v>2167.3000000000002</v>
      </c>
      <c r="I42">
        <v>2269.0100000000002</v>
      </c>
      <c r="J42">
        <v>2528.0100000000002</v>
      </c>
      <c r="K42">
        <v>2547.75</v>
      </c>
    </row>
    <row r="43" spans="1:11" s="163" customFormat="1">
      <c r="A43" s="163" t="s">
        <v>289</v>
      </c>
      <c r="B43">
        <v>1085.3599999999999</v>
      </c>
      <c r="C43">
        <v>1085.73</v>
      </c>
      <c r="D43">
        <v>1212.67</v>
      </c>
      <c r="E43">
        <v>1257.73</v>
      </c>
      <c r="F43">
        <v>1313.4</v>
      </c>
      <c r="G43">
        <v>1391.1</v>
      </c>
      <c r="H43">
        <v>1484.78</v>
      </c>
      <c r="I43">
        <v>1572.2</v>
      </c>
      <c r="J43">
        <v>1917.86</v>
      </c>
      <c r="K43">
        <v>1738.15</v>
      </c>
    </row>
    <row r="44" spans="1:11" s="163" customFormat="1">
      <c r="A44" s="163" t="s">
        <v>493</v>
      </c>
      <c r="B44">
        <v>78.099999999999994</v>
      </c>
      <c r="C44">
        <v>93.51</v>
      </c>
      <c r="D44">
        <v>91.69</v>
      </c>
      <c r="E44">
        <v>77.7</v>
      </c>
      <c r="F44">
        <v>118.02</v>
      </c>
      <c r="G44">
        <v>113.95</v>
      </c>
      <c r="H44">
        <v>110.27</v>
      </c>
      <c r="I44">
        <v>119.8</v>
      </c>
      <c r="J44">
        <v>181.2</v>
      </c>
      <c r="K44">
        <v>123.9</v>
      </c>
    </row>
    <row r="45" spans="1:11" s="163" customFormat="1">
      <c r="A45" s="163" t="s">
        <v>18</v>
      </c>
      <c r="B45">
        <v>37.25</v>
      </c>
      <c r="C45">
        <v>39.18</v>
      </c>
      <c r="D45">
        <v>35.85</v>
      </c>
      <c r="E45">
        <v>35.590000000000003</v>
      </c>
      <c r="F45">
        <v>43.19</v>
      </c>
      <c r="G45">
        <v>45.22</v>
      </c>
      <c r="H45">
        <v>49.17</v>
      </c>
      <c r="I45">
        <v>64.94</v>
      </c>
      <c r="J45">
        <v>63.97</v>
      </c>
      <c r="K45">
        <v>70.150000000000006</v>
      </c>
    </row>
    <row r="46" spans="1:11" s="163" customFormat="1">
      <c r="A46" s="163" t="s">
        <v>17</v>
      </c>
      <c r="B46">
        <v>0.56999999999999995</v>
      </c>
      <c r="C46">
        <v>0.69</v>
      </c>
      <c r="D46">
        <v>0.82</v>
      </c>
      <c r="E46">
        <v>0.96</v>
      </c>
      <c r="F46">
        <v>1.0900000000000001</v>
      </c>
      <c r="G46">
        <v>1.1200000000000001</v>
      </c>
      <c r="H46">
        <v>1.29</v>
      </c>
      <c r="I46">
        <v>1.58</v>
      </c>
      <c r="J46">
        <v>1.35</v>
      </c>
      <c r="K46">
        <v>1.53</v>
      </c>
    </row>
    <row r="47" spans="1:11" s="163" customFormat="1">
      <c r="A47" s="163" t="s">
        <v>494</v>
      </c>
      <c r="B47">
        <v>487.12</v>
      </c>
      <c r="C47">
        <v>523.6</v>
      </c>
      <c r="D47">
        <v>597.20000000000005</v>
      </c>
      <c r="E47">
        <v>618.17999999999995</v>
      </c>
      <c r="F47">
        <v>648.4</v>
      </c>
      <c r="G47">
        <v>677.15</v>
      </c>
      <c r="H47">
        <v>742.33</v>
      </c>
      <c r="I47">
        <v>750.09</v>
      </c>
      <c r="J47">
        <v>726.03</v>
      </c>
      <c r="K47">
        <v>861.82</v>
      </c>
    </row>
    <row r="48" spans="1:11" s="163" customFormat="1">
      <c r="A48" s="163" t="s">
        <v>19</v>
      </c>
      <c r="B48">
        <v>144.02000000000001</v>
      </c>
      <c r="C48">
        <v>147.31</v>
      </c>
      <c r="D48">
        <v>184.04</v>
      </c>
      <c r="E48">
        <v>199.99</v>
      </c>
      <c r="F48">
        <v>188.96</v>
      </c>
      <c r="G48">
        <v>217.53</v>
      </c>
      <c r="H48">
        <v>224.31</v>
      </c>
      <c r="I48">
        <v>229.59</v>
      </c>
      <c r="J48">
        <v>264.5</v>
      </c>
      <c r="K48">
        <v>285.64</v>
      </c>
    </row>
    <row r="49" spans="1:11" s="163" customFormat="1">
      <c r="A49" s="163" t="s">
        <v>288</v>
      </c>
      <c r="B49">
        <v>343.1</v>
      </c>
      <c r="C49">
        <v>376.29</v>
      </c>
      <c r="D49">
        <v>413.16</v>
      </c>
      <c r="E49">
        <v>418.19</v>
      </c>
      <c r="F49">
        <v>459.44</v>
      </c>
      <c r="G49">
        <v>459.62</v>
      </c>
      <c r="H49">
        <v>518.02</v>
      </c>
      <c r="I49">
        <v>520.5</v>
      </c>
      <c r="J49">
        <v>461.53</v>
      </c>
      <c r="K49">
        <v>576.17999999999995</v>
      </c>
    </row>
    <row r="50" spans="1:11">
      <c r="A50" s="163" t="s">
        <v>497</v>
      </c>
      <c r="B50">
        <v>446.84</v>
      </c>
      <c r="C50">
        <v>469.96</v>
      </c>
      <c r="D50">
        <v>542.17999999999995</v>
      </c>
      <c r="E50">
        <v>577.03</v>
      </c>
      <c r="F50">
        <v>574.66</v>
      </c>
      <c r="G50">
        <v>609.54</v>
      </c>
      <c r="H50">
        <v>682.52</v>
      </c>
      <c r="I50">
        <v>696.81</v>
      </c>
      <c r="J50">
        <v>610.15</v>
      </c>
      <c r="K50">
        <v>809.6</v>
      </c>
    </row>
    <row r="51" spans="1:11">
      <c r="A51" s="163"/>
    </row>
    <row r="52" spans="1:11">
      <c r="A52" s="163"/>
    </row>
    <row r="53" spans="1:11">
      <c r="A53" s="163"/>
    </row>
    <row r="54" spans="1:11">
      <c r="A54" s="163"/>
    </row>
    <row r="55" spans="1:11">
      <c r="A55" s="158" t="s">
        <v>498</v>
      </c>
    </row>
    <row r="56" spans="1:11" s="162" customFormat="1">
      <c r="A56" s="160" t="s">
        <v>490</v>
      </c>
      <c r="B56" s="161">
        <v>39813</v>
      </c>
      <c r="C56" s="161">
        <v>40178</v>
      </c>
      <c r="D56" s="161">
        <v>40543</v>
      </c>
      <c r="E56" s="161">
        <v>40908</v>
      </c>
      <c r="F56" s="161">
        <v>41274</v>
      </c>
      <c r="G56" s="161">
        <v>41639</v>
      </c>
      <c r="H56" s="161">
        <v>42004</v>
      </c>
      <c r="I56" s="161">
        <v>42460</v>
      </c>
      <c r="J56" s="161">
        <v>42825</v>
      </c>
      <c r="K56" s="161">
        <v>43190</v>
      </c>
    </row>
    <row r="57" spans="1:11">
      <c r="A57" s="163" t="s">
        <v>499</v>
      </c>
      <c r="B57">
        <v>28.09</v>
      </c>
      <c r="C57">
        <v>12.66</v>
      </c>
      <c r="D57">
        <v>26.94</v>
      </c>
      <c r="E57">
        <v>26.99</v>
      </c>
      <c r="F57">
        <v>27</v>
      </c>
      <c r="G57">
        <v>27.04</v>
      </c>
      <c r="H57">
        <v>27.1</v>
      </c>
      <c r="I57">
        <v>27.16</v>
      </c>
      <c r="J57">
        <v>27.21</v>
      </c>
      <c r="K57">
        <v>27.26</v>
      </c>
    </row>
    <row r="58" spans="1:11">
      <c r="A58" s="163" t="s">
        <v>500</v>
      </c>
      <c r="B58">
        <v>1075.5999999999999</v>
      </c>
      <c r="C58">
        <v>1042.3499999999999</v>
      </c>
      <c r="D58">
        <v>1205.2</v>
      </c>
      <c r="E58">
        <v>1466.14</v>
      </c>
      <c r="F58">
        <v>1727.89</v>
      </c>
      <c r="G58">
        <v>2028.38</v>
      </c>
      <c r="H58">
        <v>2488.7600000000002</v>
      </c>
      <c r="I58">
        <v>3625.93</v>
      </c>
      <c r="J58">
        <v>5317.86</v>
      </c>
      <c r="K58">
        <v>7002.81</v>
      </c>
    </row>
    <row r="59" spans="1:11">
      <c r="A59" s="163" t="s">
        <v>254</v>
      </c>
      <c r="B59">
        <v>165.61</v>
      </c>
      <c r="C59">
        <v>126.37</v>
      </c>
      <c r="D59">
        <v>95.64</v>
      </c>
      <c r="E59">
        <v>43.22</v>
      </c>
      <c r="F59">
        <v>22.93</v>
      </c>
      <c r="G59">
        <v>83.9</v>
      </c>
      <c r="H59">
        <v>58.36</v>
      </c>
      <c r="I59">
        <v>22.57</v>
      </c>
      <c r="J59">
        <v>111.85</v>
      </c>
      <c r="K59">
        <v>150.84</v>
      </c>
    </row>
    <row r="60" spans="1:11">
      <c r="A60" s="163" t="s">
        <v>255</v>
      </c>
      <c r="B60">
        <v>1066.73</v>
      </c>
      <c r="C60">
        <v>1316.05</v>
      </c>
      <c r="D60">
        <v>1646.59</v>
      </c>
      <c r="E60">
        <v>2282.9699999999998</v>
      </c>
      <c r="F60">
        <v>2729.3</v>
      </c>
      <c r="G60">
        <v>3263.98</v>
      </c>
      <c r="H60">
        <v>3913.97</v>
      </c>
      <c r="I60">
        <v>1278.75</v>
      </c>
      <c r="J60">
        <v>1565.35</v>
      </c>
      <c r="K60">
        <v>2361.6799999999998</v>
      </c>
    </row>
    <row r="61" spans="1:11" s="158" customFormat="1">
      <c r="A61" s="158" t="s">
        <v>501</v>
      </c>
      <c r="B61">
        <v>2336.0300000000002</v>
      </c>
      <c r="C61">
        <v>2497.4299999999998</v>
      </c>
      <c r="D61">
        <v>2974.37</v>
      </c>
      <c r="E61">
        <v>3819.32</v>
      </c>
      <c r="F61">
        <v>4507.12</v>
      </c>
      <c r="G61">
        <v>5403.3</v>
      </c>
      <c r="H61">
        <v>6488.19</v>
      </c>
      <c r="I61">
        <v>4954.41</v>
      </c>
      <c r="J61">
        <v>7022.27</v>
      </c>
      <c r="K61">
        <v>9542.59</v>
      </c>
    </row>
    <row r="62" spans="1:11">
      <c r="A62" s="163" t="s">
        <v>502</v>
      </c>
      <c r="B62">
        <v>329.22</v>
      </c>
      <c r="C62">
        <v>363.52</v>
      </c>
      <c r="D62">
        <v>384.38</v>
      </c>
      <c r="E62">
        <v>504.42</v>
      </c>
      <c r="F62">
        <v>991.8</v>
      </c>
      <c r="G62">
        <v>1656.14</v>
      </c>
      <c r="H62">
        <v>2309.33</v>
      </c>
      <c r="I62">
        <v>789.59</v>
      </c>
      <c r="J62">
        <v>872.78</v>
      </c>
      <c r="K62">
        <v>1501.69</v>
      </c>
    </row>
    <row r="63" spans="1:11">
      <c r="A63" s="163" t="s">
        <v>10</v>
      </c>
      <c r="B63">
        <v>51.76</v>
      </c>
      <c r="C63">
        <v>12.23</v>
      </c>
      <c r="D63">
        <v>70.33</v>
      </c>
      <c r="E63">
        <v>352.29</v>
      </c>
      <c r="F63">
        <v>504.37</v>
      </c>
      <c r="G63">
        <v>463.59</v>
      </c>
      <c r="H63">
        <v>418.8</v>
      </c>
      <c r="I63">
        <v>94.48</v>
      </c>
      <c r="J63">
        <v>373.77</v>
      </c>
      <c r="K63">
        <v>333.21</v>
      </c>
    </row>
    <row r="64" spans="1:11">
      <c r="A64" s="163" t="s">
        <v>503</v>
      </c>
      <c r="B64">
        <v>6.24</v>
      </c>
      <c r="C64">
        <v>294.11</v>
      </c>
      <c r="D64">
        <v>458.59</v>
      </c>
      <c r="E64">
        <v>512.62</v>
      </c>
      <c r="F64">
        <v>638.5</v>
      </c>
      <c r="G64">
        <v>825.46</v>
      </c>
      <c r="H64">
        <v>1077.69</v>
      </c>
      <c r="I64">
        <v>3388.24</v>
      </c>
      <c r="J64">
        <v>4987.13</v>
      </c>
      <c r="K64">
        <v>5580.84</v>
      </c>
    </row>
    <row r="65" spans="1:11">
      <c r="A65" s="163" t="s">
        <v>504</v>
      </c>
      <c r="B65">
        <v>1948.81</v>
      </c>
      <c r="C65">
        <v>1827.57</v>
      </c>
      <c r="D65">
        <v>2061.0700000000002</v>
      </c>
      <c r="E65">
        <v>2449.9899999999998</v>
      </c>
      <c r="F65">
        <v>2372.4499999999998</v>
      </c>
      <c r="G65">
        <v>2458.11</v>
      </c>
      <c r="H65">
        <v>2682.37</v>
      </c>
      <c r="I65">
        <v>682.1</v>
      </c>
      <c r="J65">
        <v>788.59</v>
      </c>
      <c r="K65">
        <v>2126.85</v>
      </c>
    </row>
    <row r="66" spans="1:11" s="158" customFormat="1">
      <c r="A66" s="158" t="s">
        <v>501</v>
      </c>
      <c r="B66">
        <v>2336.0300000000002</v>
      </c>
      <c r="C66">
        <v>2497.4299999999998</v>
      </c>
      <c r="D66">
        <v>2974.37</v>
      </c>
      <c r="E66">
        <v>3819.32</v>
      </c>
      <c r="F66">
        <v>4507.12</v>
      </c>
      <c r="G66">
        <v>5403.3</v>
      </c>
      <c r="H66">
        <v>6488.19</v>
      </c>
      <c r="I66">
        <v>4954.41</v>
      </c>
      <c r="J66">
        <v>7022.27</v>
      </c>
      <c r="K66">
        <v>9542.59</v>
      </c>
    </row>
    <row r="67" spans="1:11" s="163" customFormat="1">
      <c r="A67" s="163" t="s">
        <v>505</v>
      </c>
      <c r="B67">
        <v>180.19</v>
      </c>
      <c r="C67">
        <v>232.53</v>
      </c>
      <c r="D67">
        <v>260.93</v>
      </c>
      <c r="E67">
        <v>344.58</v>
      </c>
      <c r="F67">
        <v>445.87</v>
      </c>
      <c r="G67">
        <v>512.5</v>
      </c>
      <c r="H67">
        <v>562.16999999999996</v>
      </c>
      <c r="I67">
        <v>32.64</v>
      </c>
      <c r="J67">
        <v>50.04</v>
      </c>
      <c r="K67">
        <v>68</v>
      </c>
    </row>
    <row r="68" spans="1:11">
      <c r="A68" s="163" t="s">
        <v>234</v>
      </c>
      <c r="B68">
        <v>338.07</v>
      </c>
      <c r="C68">
        <v>218.96</v>
      </c>
      <c r="D68">
        <v>326.52</v>
      </c>
      <c r="E68">
        <v>427.96</v>
      </c>
      <c r="F68">
        <v>488.84</v>
      </c>
      <c r="G68">
        <v>526.79999999999995</v>
      </c>
      <c r="H68">
        <v>645.52</v>
      </c>
      <c r="I68">
        <v>308.39</v>
      </c>
      <c r="J68">
        <v>335.9</v>
      </c>
      <c r="K68">
        <v>394.64</v>
      </c>
    </row>
    <row r="69" spans="1:11">
      <c r="A69" s="159" t="s">
        <v>506</v>
      </c>
      <c r="B69">
        <v>1231.8</v>
      </c>
      <c r="C69">
        <v>1170.6500000000001</v>
      </c>
      <c r="D69">
        <v>1245.68</v>
      </c>
      <c r="E69">
        <v>1191.51</v>
      </c>
      <c r="F69">
        <v>803.5</v>
      </c>
      <c r="G69">
        <v>682.56</v>
      </c>
      <c r="H69">
        <v>353.32</v>
      </c>
      <c r="I69">
        <v>49.17</v>
      </c>
      <c r="J69">
        <v>25.06</v>
      </c>
      <c r="K69">
        <v>1212</v>
      </c>
    </row>
    <row r="70" spans="1:11">
      <c r="A70" s="159" t="s">
        <v>507</v>
      </c>
      <c r="B70">
        <v>28093950</v>
      </c>
      <c r="C70">
        <v>12660119</v>
      </c>
      <c r="D70">
        <v>26937783</v>
      </c>
      <c r="E70">
        <v>26992583</v>
      </c>
      <c r="F70">
        <v>27000983</v>
      </c>
      <c r="G70">
        <v>27038883</v>
      </c>
      <c r="H70">
        <v>27104783</v>
      </c>
      <c r="I70">
        <v>27161183</v>
      </c>
      <c r="J70">
        <v>27210249</v>
      </c>
      <c r="K70">
        <v>27255549</v>
      </c>
    </row>
    <row r="71" spans="1:11">
      <c r="A71" s="159" t="s">
        <v>508</v>
      </c>
    </row>
    <row r="72" spans="1:11">
      <c r="A72" s="159" t="s">
        <v>509</v>
      </c>
      <c r="B72">
        <v>10</v>
      </c>
      <c r="C72">
        <v>10</v>
      </c>
      <c r="D72">
        <v>10</v>
      </c>
      <c r="E72">
        <v>10</v>
      </c>
      <c r="F72">
        <v>10</v>
      </c>
      <c r="G72">
        <v>10</v>
      </c>
      <c r="H72">
        <v>10</v>
      </c>
      <c r="I72">
        <v>10</v>
      </c>
      <c r="J72">
        <v>10</v>
      </c>
      <c r="K72">
        <v>10</v>
      </c>
    </row>
    <row r="74" spans="1:11">
      <c r="A74" s="163"/>
    </row>
    <row r="75" spans="1:11">
      <c r="A75" s="163"/>
    </row>
    <row r="76" spans="1:11">
      <c r="A76" s="163"/>
    </row>
    <row r="77" spans="1:11">
      <c r="A77" s="163"/>
    </row>
    <row r="78" spans="1:11">
      <c r="A78" s="163"/>
    </row>
    <row r="79" spans="1:11">
      <c r="A79" s="163"/>
    </row>
    <row r="80" spans="1:11">
      <c r="A80" s="158" t="s">
        <v>510</v>
      </c>
    </row>
    <row r="81" spans="1:11" s="162" customFormat="1">
      <c r="A81" s="160" t="s">
        <v>490</v>
      </c>
      <c r="B81" s="161">
        <v>39813</v>
      </c>
      <c r="C81" s="161">
        <v>40178</v>
      </c>
      <c r="D81" s="161">
        <v>40543</v>
      </c>
      <c r="E81" s="161">
        <v>40908</v>
      </c>
      <c r="F81" s="161">
        <v>41274</v>
      </c>
      <c r="G81" s="161">
        <v>41639</v>
      </c>
      <c r="H81" s="161">
        <v>42004</v>
      </c>
      <c r="I81" s="161">
        <v>42460</v>
      </c>
      <c r="J81" s="161">
        <v>42825</v>
      </c>
      <c r="K81" s="161">
        <v>43190</v>
      </c>
    </row>
    <row r="82" spans="1:11" s="158" customFormat="1">
      <c r="A82" s="163" t="s">
        <v>511</v>
      </c>
      <c r="B82">
        <v>-89</v>
      </c>
      <c r="C82">
        <v>368.46</v>
      </c>
      <c r="D82">
        <v>335.95</v>
      </c>
      <c r="E82">
        <v>404.99</v>
      </c>
      <c r="F82">
        <v>496.04</v>
      </c>
      <c r="G82">
        <v>716.2</v>
      </c>
      <c r="H82">
        <v>1047.47</v>
      </c>
      <c r="I82">
        <v>1463.08</v>
      </c>
      <c r="J82">
        <v>1707.97</v>
      </c>
      <c r="K82">
        <v>2482.25</v>
      </c>
    </row>
    <row r="83" spans="1:11" s="163" customFormat="1">
      <c r="A83" s="163" t="s">
        <v>263</v>
      </c>
      <c r="B83">
        <v>265.49</v>
      </c>
      <c r="C83">
        <v>-265.56</v>
      </c>
      <c r="D83">
        <v>-192.05</v>
      </c>
      <c r="E83">
        <v>-338.01</v>
      </c>
      <c r="F83">
        <v>-773.18</v>
      </c>
      <c r="G83">
        <v>-789.79</v>
      </c>
      <c r="H83">
        <v>-1214.48</v>
      </c>
      <c r="I83">
        <v>-1001.4</v>
      </c>
      <c r="J83">
        <v>-1743.58</v>
      </c>
      <c r="K83">
        <v>-2145.02</v>
      </c>
    </row>
    <row r="84" spans="1:11" s="163" customFormat="1">
      <c r="A84" s="163" t="s">
        <v>264</v>
      </c>
      <c r="B84">
        <v>1003.38</v>
      </c>
      <c r="C84">
        <v>-164.05</v>
      </c>
      <c r="D84">
        <v>-68.87</v>
      </c>
      <c r="E84">
        <v>-113.68</v>
      </c>
      <c r="F84">
        <v>-110.87</v>
      </c>
      <c r="G84">
        <v>-47.35</v>
      </c>
      <c r="H84">
        <v>-162.22999999999999</v>
      </c>
      <c r="I84">
        <v>-465.52</v>
      </c>
      <c r="J84">
        <v>25.29</v>
      </c>
      <c r="K84">
        <v>-262.01</v>
      </c>
    </row>
    <row r="85" spans="1:11" s="158" customFormat="1">
      <c r="A85" s="163" t="s">
        <v>512</v>
      </c>
      <c r="B85">
        <v>1179.8699999999999</v>
      </c>
      <c r="C85">
        <v>-61.15</v>
      </c>
      <c r="D85">
        <v>75.03</v>
      </c>
      <c r="E85">
        <v>-46.7</v>
      </c>
      <c r="F85">
        <v>-388.01</v>
      </c>
      <c r="G85">
        <v>-120.94</v>
      </c>
      <c r="H85">
        <v>-329.24</v>
      </c>
      <c r="I85">
        <v>-3.84</v>
      </c>
      <c r="J85">
        <v>-10.32</v>
      </c>
      <c r="K85">
        <v>75.22</v>
      </c>
    </row>
    <row r="86" spans="1:11">
      <c r="A86" s="163"/>
    </row>
    <row r="87" spans="1:11">
      <c r="A87" s="163"/>
    </row>
    <row r="88" spans="1:11">
      <c r="A88" s="163"/>
    </row>
    <row r="89" spans="1:11">
      <c r="A89" s="163"/>
    </row>
    <row r="90" spans="1:11" s="158" customFormat="1">
      <c r="A90" s="158" t="s">
        <v>513</v>
      </c>
      <c r="B90">
        <v>264.25</v>
      </c>
      <c r="C90">
        <v>201.77</v>
      </c>
      <c r="D90">
        <v>693.12</v>
      </c>
      <c r="E90">
        <v>1265.21</v>
      </c>
      <c r="F90">
        <v>2206.7199999999998</v>
      </c>
      <c r="G90">
        <v>2762.06</v>
      </c>
      <c r="H90">
        <v>6095.65</v>
      </c>
      <c r="I90">
        <v>19734.939999999999</v>
      </c>
      <c r="J90">
        <v>25817.200000000001</v>
      </c>
      <c r="K90">
        <v>30444.9</v>
      </c>
    </row>
    <row r="92" spans="1:11" s="158" customFormat="1">
      <c r="A92" s="158" t="s">
        <v>514</v>
      </c>
    </row>
    <row r="93" spans="1:11">
      <c r="A93" s="159" t="s">
        <v>515</v>
      </c>
      <c r="B93" s="164">
        <f>IF($B7&gt;0,(B70*B72/$B7)+SUM(C71:$K71),0)/10000000</f>
        <v>2.8093949999999999</v>
      </c>
      <c r="C93" s="164">
        <f>IF($B7&gt;0,(C70*C72/$B7)+SUM(D71:$K71),0)/10000000</f>
        <v>1.2660119000000001</v>
      </c>
      <c r="D93" s="164">
        <f>IF($B7&gt;0,(D70*D72/$B7)+SUM(E71:$K71),0)/10000000</f>
        <v>2.6937783</v>
      </c>
      <c r="E93" s="164">
        <f>IF($B7&gt;0,(E70*E72/$B7)+SUM(F71:$K71),0)/10000000</f>
        <v>2.6992582999999999</v>
      </c>
      <c r="F93" s="164">
        <f>IF($B7&gt;0,(F70*F72/$B7)+SUM(G71:$K71),0)/10000000</f>
        <v>2.7000983000000001</v>
      </c>
      <c r="G93" s="164">
        <f>IF($B7&gt;0,(G70*G72/$B7)+SUM(H71:$K71),0)/10000000</f>
        <v>2.7038883</v>
      </c>
      <c r="H93" s="164">
        <f>IF($B7&gt;0,(H70*H72/$B7)+SUM(I71:$K71),0)/10000000</f>
        <v>2.7104783000000001</v>
      </c>
      <c r="I93" s="164">
        <f>IF($B7&gt;0,(I70*I72/$B7)+SUM(J71:$K71),0)/10000000</f>
        <v>2.7161183000000002</v>
      </c>
      <c r="J93" s="164">
        <f>IF($B7&gt;0,(J70*J72/$B7)+SUM(K71:$K71),0)/10000000</f>
        <v>2.7210249000000002</v>
      </c>
      <c r="K93" s="164">
        <f>IF($B7&gt;0,(K70*K72/$B7),0)/10000000</f>
        <v>2.7255549000000001</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H26"/>
  <sheetViews>
    <sheetView showGridLines="0" topLeftCell="A10" workbookViewId="0">
      <selection activeCell="B29" sqref="B29"/>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1" t="s">
        <v>376</v>
      </c>
    </row>
    <row r="5" spans="2:8">
      <c r="B5" s="322" t="s">
        <v>454</v>
      </c>
      <c r="C5" s="321">
        <v>43252</v>
      </c>
      <c r="D5" s="321">
        <v>43160</v>
      </c>
      <c r="E5" s="321">
        <f>EDATE(D5,-12)</f>
        <v>42795</v>
      </c>
      <c r="F5" s="321">
        <f>EDATE(E5,-12)</f>
        <v>42430</v>
      </c>
      <c r="G5" s="321">
        <f>EDATE(F5,-12)</f>
        <v>42064</v>
      </c>
      <c r="H5" s="321">
        <f>EDATE(G5,-12)</f>
        <v>41699</v>
      </c>
    </row>
    <row r="6" spans="2:8">
      <c r="B6" s="317" t="s">
        <v>516</v>
      </c>
      <c r="C6" s="316">
        <v>0.50470000000000004</v>
      </c>
      <c r="D6" s="316">
        <v>0.50490000000000002</v>
      </c>
      <c r="E6" s="316">
        <v>0.50580000000000003</v>
      </c>
      <c r="F6" s="316">
        <v>0.54869999999999997</v>
      </c>
      <c r="G6" s="316">
        <v>0.54979999999999996</v>
      </c>
      <c r="H6" s="316">
        <v>0.55079999999999996</v>
      </c>
    </row>
    <row r="7" spans="2:8">
      <c r="B7" s="317" t="s">
        <v>517</v>
      </c>
      <c r="C7" s="316"/>
      <c r="D7" s="316"/>
      <c r="E7" s="316"/>
      <c r="F7" s="316"/>
      <c r="G7" s="316"/>
      <c r="H7" s="316"/>
    </row>
    <row r="8" spans="2:8">
      <c r="B8" s="317" t="s">
        <v>518</v>
      </c>
      <c r="C8" s="316">
        <v>0.311</v>
      </c>
      <c r="D8" s="316">
        <v>0.30969999999999998</v>
      </c>
      <c r="E8" s="316">
        <v>0.32450000000000001</v>
      </c>
      <c r="F8" s="316">
        <v>0.28860000000000002</v>
      </c>
      <c r="G8" s="316">
        <v>0.22070000000000001</v>
      </c>
      <c r="H8" s="316">
        <v>0.1961</v>
      </c>
    </row>
    <row r="9" spans="2:8">
      <c r="B9" s="317" t="s">
        <v>519</v>
      </c>
      <c r="C9" s="316">
        <v>5.5899999999999998E-2</v>
      </c>
      <c r="D9" s="316">
        <v>5.6399999999999999E-2</v>
      </c>
      <c r="E9" s="316">
        <v>3.8899999999999997E-2</v>
      </c>
      <c r="F9" s="316">
        <v>3.1099999999999999E-2</v>
      </c>
      <c r="G9" s="316">
        <v>4.6899999999999997E-2</v>
      </c>
      <c r="H9" s="316">
        <v>4.7100000000000003E-2</v>
      </c>
    </row>
    <row r="10" spans="2:8">
      <c r="B10" s="317" t="s">
        <v>520</v>
      </c>
      <c r="C10" s="316">
        <v>1.9699999999999999E-2</v>
      </c>
      <c r="D10" s="316">
        <v>2.0899999999999998E-2</v>
      </c>
      <c r="E10" s="316">
        <v>2.0899999999999998E-2</v>
      </c>
      <c r="F10" s="316">
        <v>1.6799999999999999E-2</v>
      </c>
      <c r="G10" s="316">
        <v>1.84E-2</v>
      </c>
      <c r="H10" s="316">
        <v>1.0999999999999999E-2</v>
      </c>
    </row>
    <row r="11" spans="2:8">
      <c r="B11" s="317" t="s">
        <v>521</v>
      </c>
      <c r="C11" s="316">
        <v>7.8E-2</v>
      </c>
      <c r="D11" s="316">
        <v>7.9200000000000007E-2</v>
      </c>
      <c r="E11" s="316">
        <v>8.5599999999999996E-2</v>
      </c>
      <c r="F11" s="316">
        <v>8.8900000000000007E-2</v>
      </c>
      <c r="G11" s="316">
        <v>9.9699999999999997E-2</v>
      </c>
      <c r="H11" s="316">
        <v>9.1399999999999995E-2</v>
      </c>
    </row>
    <row r="12" spans="2:8">
      <c r="B12" s="317" t="s">
        <v>522</v>
      </c>
      <c r="C12" s="316">
        <v>7.6E-3</v>
      </c>
      <c r="D12" s="316">
        <v>7.6E-3</v>
      </c>
      <c r="E12" s="316">
        <v>6.1999999999999998E-3</v>
      </c>
      <c r="F12" s="316">
        <v>8.8999999999999999E-3</v>
      </c>
      <c r="G12" s="316">
        <v>1.3299999999999999E-2</v>
      </c>
      <c r="H12" s="316">
        <v>1.35E-2</v>
      </c>
    </row>
    <row r="13" spans="2:8">
      <c r="B13" s="317" t="s">
        <v>523</v>
      </c>
      <c r="C13" s="316">
        <f t="shared" ref="C13:H13" si="0">1-SUM(C6:C12)</f>
        <v>2.3099999999999898E-2</v>
      </c>
      <c r="D13" s="316">
        <f t="shared" si="0"/>
        <v>2.1299999999999875E-2</v>
      </c>
      <c r="E13" s="319">
        <f t="shared" si="0"/>
        <v>1.8099999999999894E-2</v>
      </c>
      <c r="F13" s="319">
        <f t="shared" si="0"/>
        <v>1.7000000000000015E-2</v>
      </c>
      <c r="G13" s="319">
        <f t="shared" si="0"/>
        <v>5.1200000000000134E-2</v>
      </c>
      <c r="H13" s="319">
        <f t="shared" si="0"/>
        <v>9.0100000000000069E-2</v>
      </c>
    </row>
    <row r="14" spans="2:8">
      <c r="B14" s="317"/>
      <c r="C14" s="316"/>
      <c r="D14" s="316"/>
      <c r="E14" s="318"/>
      <c r="F14" s="318"/>
      <c r="G14" s="318"/>
      <c r="H14" s="318"/>
    </row>
    <row r="15" spans="2:8">
      <c r="B15" s="317"/>
      <c r="C15" s="316"/>
      <c r="D15" s="316"/>
      <c r="E15" s="318"/>
      <c r="F15" s="318"/>
      <c r="G15" s="318"/>
      <c r="H15" s="318"/>
    </row>
    <row r="16" spans="2:8">
      <c r="B16" s="317"/>
      <c r="C16" s="316"/>
      <c r="D16" s="316"/>
      <c r="E16" s="318"/>
      <c r="F16" s="318"/>
      <c r="G16" s="318"/>
      <c r="H16" s="318"/>
    </row>
    <row r="17" spans="2:8">
      <c r="B17" s="320" t="s">
        <v>501</v>
      </c>
      <c r="C17" s="319">
        <f t="shared" ref="C17:H17" si="1">SUM(C6:C16)</f>
        <v>1</v>
      </c>
      <c r="D17" s="319">
        <f t="shared" si="1"/>
        <v>1</v>
      </c>
      <c r="E17" s="318">
        <f t="shared" si="1"/>
        <v>1</v>
      </c>
      <c r="F17" s="318">
        <f t="shared" si="1"/>
        <v>1</v>
      </c>
      <c r="G17" s="318">
        <f t="shared" si="1"/>
        <v>1</v>
      </c>
      <c r="H17" s="318">
        <f t="shared" si="1"/>
        <v>1</v>
      </c>
    </row>
    <row r="20" spans="2:8">
      <c r="B20" s="317" t="s">
        <v>524</v>
      </c>
      <c r="C20" s="316"/>
      <c r="D20" s="316"/>
      <c r="E20" s="316"/>
      <c r="F20" s="316"/>
      <c r="G20" s="316"/>
      <c r="H20" s="316"/>
    </row>
    <row r="21" spans="2:8" ht="25.5">
      <c r="B21" s="338" t="s">
        <v>525</v>
      </c>
      <c r="C21" s="316">
        <v>0.44119999999999998</v>
      </c>
      <c r="D21" s="316">
        <v>0.44140000000000001</v>
      </c>
      <c r="E21" s="316"/>
      <c r="F21" s="316"/>
      <c r="G21" s="316"/>
      <c r="H21" s="316"/>
    </row>
    <row r="22" spans="2:8">
      <c r="B22" s="317"/>
      <c r="C22" s="316"/>
      <c r="D22" s="316"/>
      <c r="E22" s="316"/>
      <c r="F22" s="316"/>
      <c r="G22" s="316"/>
      <c r="H22" s="316"/>
    </row>
    <row r="23" spans="2:8">
      <c r="B23" s="317"/>
      <c r="C23" s="316"/>
      <c r="D23" s="316"/>
      <c r="E23" s="316"/>
      <c r="F23" s="316"/>
      <c r="G23" s="316"/>
      <c r="H23" s="316"/>
    </row>
    <row r="24" spans="2:8">
      <c r="B24" s="317"/>
      <c r="C24" s="316"/>
      <c r="D24" s="316"/>
      <c r="E24" s="316"/>
      <c r="F24" s="316"/>
      <c r="G24" s="316"/>
      <c r="H24" s="316"/>
    </row>
    <row r="25" spans="2:8">
      <c r="B25" s="317"/>
      <c r="C25" s="316"/>
      <c r="D25" s="316"/>
      <c r="E25" s="316"/>
      <c r="F25" s="316"/>
      <c r="G25" s="316"/>
      <c r="H25" s="316"/>
    </row>
    <row r="26" spans="2:8">
      <c r="B26" s="317" t="s">
        <v>362</v>
      </c>
      <c r="C26" s="316">
        <f>SUM(C6:C7)-SUM(C21:C25)</f>
        <v>6.3500000000000056E-2</v>
      </c>
      <c r="D26" s="316">
        <f t="shared" ref="D26:H26" si="2">SUM(D6:D7)-SUM(D21:D25)</f>
        <v>6.3500000000000001E-2</v>
      </c>
      <c r="E26" s="316">
        <f t="shared" si="2"/>
        <v>0.50580000000000003</v>
      </c>
      <c r="F26" s="316">
        <f t="shared" si="2"/>
        <v>0.54869999999999997</v>
      </c>
      <c r="G26" s="316">
        <f t="shared" si="2"/>
        <v>0.54979999999999996</v>
      </c>
      <c r="H26" s="316">
        <f t="shared" si="2"/>
        <v>0.55079999999999996</v>
      </c>
    </row>
  </sheetData>
  <hyperlinks>
    <hyperlink ref="B3" r:id="rId1"/>
  </hyperlinks>
  <pageMargins left="0.7" right="0.7" top="0.75" bottom="0.75" header="0.3" footer="0.3"/>
  <ignoredErrors>
    <ignoredError sqref="C26:H2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workbookViewId="0">
      <selection activeCell="D4" sqref="D4"/>
    </sheetView>
  </sheetViews>
  <sheetFormatPr defaultColWidth="9" defaultRowHeight="15"/>
  <cols>
    <col min="1" max="1" width="4.140625" style="179" customWidth="1"/>
    <col min="2" max="2" width="46.42578125" style="178" bestFit="1" customWidth="1"/>
    <col min="3" max="3" width="9" style="178"/>
    <col min="4" max="4" width="43.5703125" style="178" customWidth="1"/>
    <col min="5" max="5" width="94.140625" style="179" customWidth="1"/>
    <col min="6" max="16384" width="9" style="179"/>
  </cols>
  <sheetData>
    <row r="2" spans="2:5">
      <c r="B2" s="184" t="s">
        <v>0</v>
      </c>
      <c r="C2" s="184"/>
      <c r="D2" s="184" t="s">
        <v>526</v>
      </c>
    </row>
    <row r="3" spans="2:5">
      <c r="B3" s="181" t="s">
        <v>1</v>
      </c>
      <c r="C3" s="181"/>
      <c r="D3" s="181" t="s">
        <v>523</v>
      </c>
    </row>
    <row r="4" spans="2:5" ht="24.95" customHeight="1">
      <c r="B4" s="181" t="s">
        <v>5</v>
      </c>
      <c r="C4" s="181"/>
      <c r="D4" s="216" t="s">
        <v>527</v>
      </c>
    </row>
    <row r="5" spans="2:5">
      <c r="B5" s="181" t="s">
        <v>283</v>
      </c>
      <c r="C5" s="181"/>
      <c r="D5" s="181">
        <f>VLOOKUP(D2, [1]Data!$B$4:$D$32,2, FALSE)</f>
        <v>24185.4</v>
      </c>
    </row>
    <row r="8" spans="2:5">
      <c r="B8" s="184" t="s">
        <v>321</v>
      </c>
      <c r="C8" s="181" t="s">
        <v>74</v>
      </c>
      <c r="D8" s="181" t="s">
        <v>216</v>
      </c>
    </row>
    <row r="9" spans="2:5">
      <c r="B9" s="181" t="s">
        <v>319</v>
      </c>
      <c r="C9" s="181"/>
      <c r="D9" s="182">
        <v>0.1</v>
      </c>
      <c r="E9" s="183"/>
    </row>
    <row r="10" spans="2:5">
      <c r="B10" s="181" t="s">
        <v>128</v>
      </c>
      <c r="C10" s="181"/>
      <c r="D10" s="182">
        <v>0.08</v>
      </c>
      <c r="E10" s="183"/>
    </row>
    <row r="11" spans="2:5">
      <c r="B11" s="181"/>
      <c r="C11" s="181"/>
      <c r="D11" s="181"/>
      <c r="E11" s="183"/>
    </row>
    <row r="12" spans="2:5">
      <c r="B12" s="181"/>
      <c r="C12" s="181"/>
      <c r="D12" s="181"/>
      <c r="E12" s="183"/>
    </row>
    <row r="13" spans="2:5">
      <c r="B13" s="184" t="s">
        <v>475</v>
      </c>
      <c r="C13" s="185"/>
      <c r="D13" s="181"/>
      <c r="E13" s="183"/>
    </row>
    <row r="14" spans="2:5" ht="24.95" customHeight="1">
      <c r="B14" s="181" t="s">
        <v>166</v>
      </c>
      <c r="C14" s="185">
        <v>0.05</v>
      </c>
      <c r="D14" s="181">
        <v>4</v>
      </c>
      <c r="E14" s="186" t="s">
        <v>168</v>
      </c>
    </row>
    <row r="15" spans="2:5" ht="24.95" customHeight="1">
      <c r="B15" s="181" t="s">
        <v>169</v>
      </c>
      <c r="C15" s="185">
        <v>0.02</v>
      </c>
      <c r="D15" s="181">
        <v>2</v>
      </c>
      <c r="E15" s="186" t="s">
        <v>171</v>
      </c>
    </row>
    <row r="16" spans="2:5" ht="24.95" customHeight="1">
      <c r="B16" s="181" t="s">
        <v>172</v>
      </c>
      <c r="C16" s="185">
        <v>0.02</v>
      </c>
      <c r="D16" s="181">
        <v>2</v>
      </c>
      <c r="E16" s="186" t="s">
        <v>174</v>
      </c>
    </row>
    <row r="17" spans="2:5" ht="24.95" customHeight="1">
      <c r="B17" s="181" t="s">
        <v>175</v>
      </c>
      <c r="C17" s="185">
        <v>0.04</v>
      </c>
      <c r="D17" s="181">
        <v>4</v>
      </c>
      <c r="E17" s="186" t="s">
        <v>177</v>
      </c>
    </row>
    <row r="18" spans="2:5" ht="24.95" customHeight="1">
      <c r="B18" s="181"/>
      <c r="C18" s="185"/>
      <c r="D18" s="181"/>
      <c r="E18" s="186"/>
    </row>
    <row r="19" spans="2:5" ht="24.95" customHeight="1">
      <c r="B19" s="181" t="s">
        <v>179</v>
      </c>
      <c r="C19" s="185">
        <v>0.08</v>
      </c>
      <c r="D19" s="181">
        <v>4</v>
      </c>
      <c r="E19" s="186" t="s">
        <v>181</v>
      </c>
    </row>
    <row r="20" spans="2:5" ht="24.95" customHeight="1">
      <c r="B20" s="181" t="s">
        <v>182</v>
      </c>
      <c r="C20" s="185">
        <v>0.02</v>
      </c>
      <c r="D20" s="181">
        <v>2</v>
      </c>
      <c r="E20" s="186" t="s">
        <v>184</v>
      </c>
    </row>
    <row r="21" spans="2:5" ht="24.95" customHeight="1">
      <c r="B21" s="181" t="s">
        <v>185</v>
      </c>
      <c r="C21" s="185">
        <v>0.04</v>
      </c>
      <c r="D21" s="181">
        <v>4</v>
      </c>
      <c r="E21" s="186" t="s">
        <v>187</v>
      </c>
    </row>
    <row r="22" spans="2:5" ht="24.95" customHeight="1">
      <c r="B22" s="181" t="s">
        <v>188</v>
      </c>
      <c r="C22" s="185">
        <v>0.02</v>
      </c>
      <c r="D22" s="181">
        <v>1</v>
      </c>
      <c r="E22" s="186" t="s">
        <v>190</v>
      </c>
    </row>
    <row r="23" spans="2:5" ht="24.95" customHeight="1">
      <c r="B23" s="181" t="s">
        <v>194</v>
      </c>
      <c r="C23" s="185">
        <v>0.03</v>
      </c>
      <c r="D23" s="181"/>
      <c r="E23" s="186" t="s">
        <v>193</v>
      </c>
    </row>
    <row r="24" spans="2:5" ht="24.95" customHeight="1">
      <c r="B24" s="181"/>
      <c r="C24" s="181"/>
      <c r="D24" s="181"/>
      <c r="E24" s="186"/>
    </row>
    <row r="25" spans="2:5" ht="24.95" customHeight="1">
      <c r="B25" s="181"/>
      <c r="C25" s="185"/>
      <c r="D25" s="181"/>
      <c r="E25" s="186"/>
    </row>
    <row r="26" spans="2:5" ht="24.95" customHeight="1">
      <c r="B26" s="181" t="s">
        <v>197</v>
      </c>
      <c r="C26" s="185">
        <v>0.03</v>
      </c>
      <c r="D26" s="181">
        <v>3</v>
      </c>
      <c r="E26" s="186" t="s">
        <v>199</v>
      </c>
    </row>
    <row r="27" spans="2:5" ht="24.95" customHeight="1">
      <c r="B27" s="181" t="s">
        <v>200</v>
      </c>
      <c r="C27" s="185">
        <v>0.02</v>
      </c>
      <c r="D27" s="181">
        <v>1</v>
      </c>
      <c r="E27" s="186" t="s">
        <v>202</v>
      </c>
    </row>
    <row r="28" spans="2:5" ht="24.95" customHeight="1">
      <c r="B28" s="181" t="s">
        <v>203</v>
      </c>
      <c r="C28" s="185">
        <v>0.02</v>
      </c>
      <c r="D28" s="181">
        <v>2</v>
      </c>
      <c r="E28" s="186"/>
    </row>
    <row r="29" spans="2:5" ht="24.95" customHeight="1">
      <c r="B29" s="181" t="s">
        <v>310</v>
      </c>
      <c r="C29" s="185">
        <v>0.03</v>
      </c>
      <c r="D29" s="181">
        <v>2</v>
      </c>
      <c r="E29" s="186" t="s">
        <v>311</v>
      </c>
    </row>
    <row r="30" spans="2:5" ht="24.95" customHeight="1">
      <c r="B30" s="181"/>
      <c r="C30" s="185"/>
      <c r="D30" s="181"/>
      <c r="E30" s="186"/>
    </row>
    <row r="31" spans="2:5" ht="24.95" customHeight="1">
      <c r="B31" s="181" t="s">
        <v>204</v>
      </c>
      <c r="C31" s="185">
        <v>0.04</v>
      </c>
      <c r="D31" s="181">
        <v>2</v>
      </c>
      <c r="E31" s="186" t="s">
        <v>312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4:X40"/>
  <sheetViews>
    <sheetView showGridLines="0" workbookViewId="0">
      <selection activeCell="O109" sqref="O109"/>
    </sheetView>
  </sheetViews>
  <sheetFormatPr defaultRowHeight="12.75"/>
  <cols>
    <col min="1" max="16384" width="9.140625" style="221"/>
  </cols>
  <sheetData>
    <row r="4" spans="2:24" ht="15">
      <c r="B4" s="222" t="s">
        <v>331</v>
      </c>
      <c r="X4" s="221" t="s">
        <v>378</v>
      </c>
    </row>
    <row r="6" spans="2:24">
      <c r="B6" s="221" t="s">
        <v>332</v>
      </c>
      <c r="X6" s="221" t="s">
        <v>379</v>
      </c>
    </row>
    <row r="7" spans="2:24">
      <c r="B7" s="221" t="s">
        <v>333</v>
      </c>
    </row>
    <row r="8" spans="2:24">
      <c r="B8" s="221" t="s">
        <v>334</v>
      </c>
      <c r="X8" s="221" t="s">
        <v>380</v>
      </c>
    </row>
    <row r="9" spans="2:24">
      <c r="B9" s="221" t="s">
        <v>335</v>
      </c>
    </row>
    <row r="10" spans="2:24">
      <c r="B10" s="221" t="s">
        <v>336</v>
      </c>
      <c r="X10" s="221" t="s">
        <v>381</v>
      </c>
    </row>
    <row r="12" spans="2:24">
      <c r="B12" s="221" t="s">
        <v>337</v>
      </c>
      <c r="X12" s="221" t="s">
        <v>382</v>
      </c>
    </row>
    <row r="13" spans="2:24">
      <c r="B13" s="221" t="s">
        <v>338</v>
      </c>
    </row>
    <row r="14" spans="2:24">
      <c r="B14" s="221" t="s">
        <v>373</v>
      </c>
      <c r="X14" s="221" t="s">
        <v>383</v>
      </c>
    </row>
    <row r="15" spans="2:24">
      <c r="B15" s="221" t="s">
        <v>339</v>
      </c>
    </row>
    <row r="16" spans="2:24">
      <c r="B16" s="221" t="s">
        <v>340</v>
      </c>
      <c r="X16" s="221" t="s">
        <v>384</v>
      </c>
    </row>
    <row r="18" spans="2:24">
      <c r="B18" s="221" t="s">
        <v>341</v>
      </c>
      <c r="X18" s="221" t="s">
        <v>385</v>
      </c>
    </row>
    <row r="19" spans="2:24">
      <c r="B19" s="221" t="s">
        <v>342</v>
      </c>
    </row>
    <row r="20" spans="2:24">
      <c r="B20" s="221" t="s">
        <v>343</v>
      </c>
      <c r="X20" s="221" t="s">
        <v>386</v>
      </c>
    </row>
    <row r="21" spans="2:24">
      <c r="B21" s="221" t="s">
        <v>374</v>
      </c>
    </row>
    <row r="22" spans="2:24">
      <c r="B22" s="221" t="s">
        <v>344</v>
      </c>
      <c r="X22" s="221" t="s">
        <v>387</v>
      </c>
    </row>
    <row r="24" spans="2:24">
      <c r="B24" s="221" t="s">
        <v>345</v>
      </c>
      <c r="X24" s="221" t="s">
        <v>388</v>
      </c>
    </row>
    <row r="25" spans="2:24">
      <c r="B25" s="221" t="s">
        <v>346</v>
      </c>
    </row>
    <row r="26" spans="2:24">
      <c r="B26" s="221" t="s">
        <v>347</v>
      </c>
      <c r="X26" s="221" t="s">
        <v>389</v>
      </c>
    </row>
    <row r="27" spans="2:24">
      <c r="B27" s="221" t="s">
        <v>348</v>
      </c>
    </row>
    <row r="28" spans="2:24">
      <c r="B28" s="221" t="s">
        <v>349</v>
      </c>
      <c r="X28" s="221" t="s">
        <v>390</v>
      </c>
    </row>
    <row r="30" spans="2:24">
      <c r="B30" s="221" t="s">
        <v>350</v>
      </c>
      <c r="X30" s="221" t="s">
        <v>391</v>
      </c>
    </row>
    <row r="31" spans="2:24">
      <c r="B31" s="221" t="s">
        <v>351</v>
      </c>
    </row>
    <row r="32" spans="2:24">
      <c r="B32" s="221" t="s">
        <v>375</v>
      </c>
      <c r="X32" s="221" t="s">
        <v>392</v>
      </c>
    </row>
    <row r="33" spans="2:24">
      <c r="B33" s="221" t="s">
        <v>352</v>
      </c>
    </row>
    <row r="34" spans="2:24">
      <c r="X34" s="221" t="s">
        <v>393</v>
      </c>
    </row>
    <row r="35" spans="2:24">
      <c r="B35" s="221" t="s">
        <v>353</v>
      </c>
    </row>
    <row r="36" spans="2:24">
      <c r="B36" s="221" t="s">
        <v>354</v>
      </c>
    </row>
    <row r="37" spans="2:24">
      <c r="B37" s="221" t="s">
        <v>355</v>
      </c>
    </row>
    <row r="38" spans="2:24">
      <c r="B38" s="221" t="s">
        <v>356</v>
      </c>
    </row>
    <row r="40" spans="2:24">
      <c r="B40" s="221" t="s">
        <v>357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55"/>
  <sheetViews>
    <sheetView showGridLines="0" topLeftCell="A7" workbookViewId="0">
      <selection activeCell="B21" sqref="B21"/>
    </sheetView>
  </sheetViews>
  <sheetFormatPr defaultColWidth="9.140625" defaultRowHeight="12.75"/>
  <cols>
    <col min="1" max="1" width="28.5703125" style="8" bestFit="1" customWidth="1"/>
    <col min="2" max="2" width="10" style="8" customWidth="1"/>
    <col min="3" max="3" width="7.85546875" style="204" customWidth="1"/>
    <col min="4" max="4" width="23.140625" style="8" bestFit="1" customWidth="1"/>
    <col min="5" max="9" width="11.5703125" style="8" bestFit="1" customWidth="1"/>
    <col min="10" max="10" width="11.5703125" style="8" customWidth="1"/>
    <col min="11" max="13" width="12.28515625" style="8" customWidth="1"/>
    <col min="14" max="16384" width="9.140625" style="8"/>
  </cols>
  <sheetData>
    <row r="1" spans="1:14" customFormat="1" ht="15">
      <c r="C1" s="202"/>
    </row>
    <row r="5" spans="1:14">
      <c r="A5" s="380"/>
      <c r="B5" s="380"/>
      <c r="C5" s="380"/>
      <c r="D5" s="380"/>
      <c r="E5" s="380"/>
      <c r="F5" s="380"/>
      <c r="G5" s="380"/>
      <c r="H5" s="380"/>
      <c r="I5" s="380"/>
      <c r="J5" s="380"/>
      <c r="K5" s="380"/>
    </row>
    <row r="6" spans="1:14">
      <c r="A6" s="379"/>
      <c r="B6" s="379"/>
      <c r="C6" s="379"/>
      <c r="D6" s="379"/>
      <c r="E6" s="379"/>
      <c r="F6" s="379"/>
      <c r="G6" s="379"/>
      <c r="H6" s="379"/>
      <c r="I6" s="379"/>
      <c r="J6" s="379"/>
      <c r="K6" s="379"/>
    </row>
    <row r="7" spans="1:14">
      <c r="A7" s="375" t="s">
        <v>37</v>
      </c>
      <c r="B7" s="376"/>
      <c r="C7" s="203"/>
      <c r="D7" s="198" t="s">
        <v>48</v>
      </c>
      <c r="E7" s="21" t="s">
        <v>90</v>
      </c>
      <c r="F7" s="21" t="s">
        <v>91</v>
      </c>
      <c r="G7" s="21" t="s">
        <v>92</v>
      </c>
      <c r="H7" s="21" t="s">
        <v>93</v>
      </c>
      <c r="I7" s="21" t="s">
        <v>94</v>
      </c>
      <c r="J7" s="21" t="s">
        <v>298</v>
      </c>
      <c r="K7" s="20" t="s">
        <v>24</v>
      </c>
    </row>
    <row r="8" spans="1:14">
      <c r="A8" s="9" t="s">
        <v>29</v>
      </c>
      <c r="B8" s="172">
        <f>'Annual Report input'!D5</f>
        <v>24185.4</v>
      </c>
      <c r="D8" s="8" t="s">
        <v>322</v>
      </c>
      <c r="E8" s="10">
        <f>'Screener Output.v0'!L76</f>
        <v>42.343479450626894</v>
      </c>
      <c r="F8" s="10">
        <f>'Screener Output.v0'!K76</f>
        <v>42.139095933176577</v>
      </c>
      <c r="G8" s="10">
        <f>'Screener Output.v0'!J76</f>
        <v>40.060410513439066</v>
      </c>
      <c r="H8" s="323">
        <f>'Screener Output.v0'!I76</f>
        <v>26.849530436484333</v>
      </c>
      <c r="I8" s="323">
        <f>'Screener Output.v0'!H76</f>
        <v>18.957967502406458</v>
      </c>
      <c r="J8" s="10"/>
    </row>
    <row r="9" spans="1:14" ht="15.75">
      <c r="A9" s="9" t="s">
        <v>369</v>
      </c>
      <c r="B9" s="16">
        <f>'Screener Output.v0'!M74</f>
        <v>761.76414571579528</v>
      </c>
      <c r="C9" s="205"/>
      <c r="D9" s="177" t="s">
        <v>28</v>
      </c>
      <c r="E9" s="10">
        <f>'Screener Output.v0'!L74</f>
        <v>718.99854227849164</v>
      </c>
      <c r="F9" s="10">
        <f>'Screener Output.v0'!K74</f>
        <v>612.66620529639397</v>
      </c>
      <c r="G9" s="10">
        <f>'Screener Output.v0'!J74</f>
        <v>492.62949997428308</v>
      </c>
      <c r="H9" s="10">
        <f>'Screener Output.v0'!I74</f>
        <v>227.0300411554669</v>
      </c>
      <c r="I9" s="10">
        <f>'Screener Output.v0'!H74</f>
        <v>145.69388831631838</v>
      </c>
      <c r="J9" s="10">
        <f>'Screener Output.v0'!G74</f>
        <v>120.09192406069067</v>
      </c>
      <c r="K9" s="171">
        <f>(E9/J9)^(1/5)-1</f>
        <v>0.43035171615741086</v>
      </c>
    </row>
    <row r="10" spans="1:14" ht="15.75">
      <c r="A10" s="9" t="s">
        <v>370</v>
      </c>
      <c r="B10" s="16">
        <f>SUM('Screener Input'!D49:G49)/'Screener Input'!K93</f>
        <v>642.22151606632463</v>
      </c>
      <c r="C10" s="205"/>
      <c r="D10" s="177" t="s">
        <v>26</v>
      </c>
      <c r="E10" s="10">
        <f>'Screener Output.v0'!L75</f>
        <v>110</v>
      </c>
      <c r="F10" s="10">
        <f>'Screener Output.v0'!K75</f>
        <v>99.999999999999986</v>
      </c>
      <c r="G10" s="10">
        <f>'Screener Output.v0'!J75</f>
        <v>99.999999999999986</v>
      </c>
      <c r="H10" s="10">
        <f>'Screener Output.v0'!I75</f>
        <v>49.999999999999993</v>
      </c>
      <c r="I10" s="10">
        <f>'Screener Output.v0'!H75</f>
        <v>29.999999999999996</v>
      </c>
      <c r="J10" s="10">
        <f>'Screener Output.v0'!G75</f>
        <v>20</v>
      </c>
      <c r="K10" s="171">
        <f>(E10/J10)^(1/5)-1</f>
        <v>0.4062823883876352</v>
      </c>
      <c r="N10" s="235"/>
    </row>
    <row r="11" spans="1:14">
      <c r="A11" s="9" t="s">
        <v>30</v>
      </c>
      <c r="B11" s="16">
        <f>'Screener Output.v0'!L73</f>
        <v>2579.3169677117862</v>
      </c>
      <c r="C11" s="205"/>
      <c r="D11" s="8" t="s">
        <v>323</v>
      </c>
      <c r="E11" s="10">
        <f>'Screener Output.v0'!L78</f>
        <v>11.803473702965974</v>
      </c>
      <c r="F11" s="10">
        <f>'Screener Output.v0'!K78</f>
        <v>13.142810860901729</v>
      </c>
      <c r="G11" s="10">
        <f>'Screener Output.v0'!J78</f>
        <v>14.673175772675188</v>
      </c>
      <c r="H11" s="323">
        <f>'Screener Output.v0'!I78</f>
        <v>6.5671885754354369</v>
      </c>
      <c r="I11" s="323">
        <f>'Screener Output.v0'!H78</f>
        <v>3.6334674752109057</v>
      </c>
    </row>
    <row r="12" spans="1:14">
      <c r="A12" s="177" t="s">
        <v>35</v>
      </c>
      <c r="B12" s="176">
        <f>Analysis!M4</f>
        <v>0.29533560832253447</v>
      </c>
      <c r="C12" s="206"/>
      <c r="D12" s="177" t="s">
        <v>30</v>
      </c>
      <c r="E12" s="168">
        <f>'Screener Output.v0'!L73</f>
        <v>2579.3169677117862</v>
      </c>
      <c r="F12" s="168">
        <f>'Screener Output.v0'!K73</f>
        <v>1964.3590913115127</v>
      </c>
      <c r="G12" s="168">
        <f>'Screener Output.v0'!J73</f>
        <v>1344.9671908620473</v>
      </c>
      <c r="H12" s="168">
        <f>'Screener Output.v0'!I73</f>
        <v>928.1978018418373</v>
      </c>
      <c r="I12" s="168">
        <f>'Screener Output.v0'!H73</f>
        <v>760.17193461726959</v>
      </c>
      <c r="J12" s="168">
        <f>'Screener Output.v0'!G73</f>
        <v>649.93559678919837</v>
      </c>
      <c r="K12" s="171">
        <f>(E12/J12)^(1/5)-1</f>
        <v>0.31742796591339273</v>
      </c>
    </row>
    <row r="13" spans="1:14">
      <c r="A13" s="9" t="s">
        <v>306</v>
      </c>
      <c r="B13" s="16">
        <f>B8/B9</f>
        <v>31.749197092065913</v>
      </c>
      <c r="C13" s="205"/>
      <c r="D13" s="177"/>
      <c r="E13" s="11"/>
      <c r="F13" s="11"/>
      <c r="G13" s="11"/>
      <c r="H13" s="11"/>
      <c r="I13" s="11"/>
      <c r="J13" s="11"/>
      <c r="K13" s="171"/>
    </row>
    <row r="14" spans="1:14">
      <c r="A14" s="9" t="s">
        <v>32</v>
      </c>
      <c r="B14" s="194">
        <f>B9/B8</f>
        <v>3.1496859498531975E-2</v>
      </c>
      <c r="C14" s="207"/>
      <c r="D14" s="177" t="s">
        <v>36</v>
      </c>
      <c r="E14" s="11">
        <f>E10/E9</f>
        <v>0.15299057443345052</v>
      </c>
      <c r="F14" s="11">
        <f>F10/F9</f>
        <v>0.16322101518823331</v>
      </c>
      <c r="G14" s="11">
        <f>G10/G9</f>
        <v>0.20299230964694628</v>
      </c>
      <c r="H14" s="11">
        <f>H10/H9</f>
        <v>0.22023517128185124</v>
      </c>
      <c r="I14" s="11">
        <f>I10/I9</f>
        <v>0.20591117682895871</v>
      </c>
      <c r="J14" s="11"/>
      <c r="K14" s="11"/>
    </row>
    <row r="15" spans="1:14">
      <c r="A15" s="9" t="s">
        <v>33</v>
      </c>
      <c r="B15" s="194">
        <f>'Screener Output.v0'!L75/B8</f>
        <v>4.54819849992144E-3</v>
      </c>
      <c r="C15" s="207"/>
      <c r="D15" s="199"/>
      <c r="E15" s="187"/>
      <c r="F15" s="13"/>
      <c r="G15" s="13"/>
      <c r="H15" s="13"/>
      <c r="I15" s="13"/>
      <c r="J15" s="13"/>
      <c r="K15" s="13"/>
      <c r="M15" s="235"/>
    </row>
    <row r="16" spans="1:14">
      <c r="A16" s="9" t="s">
        <v>307</v>
      </c>
      <c r="B16" s="16">
        <f>B8/B11</f>
        <v>9.3766684369373277</v>
      </c>
      <c r="C16" s="205"/>
      <c r="D16" s="200" t="s">
        <v>40</v>
      </c>
      <c r="E16" s="15">
        <v>0</v>
      </c>
      <c r="F16" s="9">
        <v>1</v>
      </c>
      <c r="G16" s="9">
        <v>2</v>
      </c>
      <c r="H16" s="9">
        <v>3</v>
      </c>
      <c r="I16" s="9">
        <v>4</v>
      </c>
      <c r="J16" s="9">
        <v>10</v>
      </c>
      <c r="M16" s="234"/>
    </row>
    <row r="17" spans="1:13">
      <c r="A17" s="9" t="s">
        <v>269</v>
      </c>
      <c r="B17" s="16">
        <f>B13/100/K9</f>
        <v>0.73774998216698007</v>
      </c>
      <c r="C17" s="207"/>
      <c r="D17" s="177" t="s">
        <v>302</v>
      </c>
      <c r="E17" s="168"/>
      <c r="F17" s="168"/>
      <c r="G17" s="168"/>
      <c r="H17" s="168"/>
      <c r="I17" s="168"/>
      <c r="J17" s="365">
        <f>IF($A$29=1, IF($A$28=2,M43, $E$12*(1+$K$12)^J16), IF($A$28=2,K43, $E$12*(1+'Annual Report input'!$D$9)^J16))</f>
        <v>1310.4244174238095</v>
      </c>
      <c r="M17" s="237"/>
    </row>
    <row r="18" spans="1:13">
      <c r="A18" s="377" t="s">
        <v>38</v>
      </c>
      <c r="B18" s="378"/>
      <c r="C18" s="208"/>
      <c r="D18" s="177" t="s">
        <v>26</v>
      </c>
      <c r="E18" s="10"/>
      <c r="F18" s="10"/>
      <c r="G18" s="10"/>
      <c r="H18" s="10"/>
      <c r="I18" s="10"/>
      <c r="J18" s="10"/>
      <c r="M18" s="236"/>
    </row>
    <row r="19" spans="1:13">
      <c r="A19" s="9" t="s">
        <v>320</v>
      </c>
      <c r="B19" s="195">
        <f>Analysis!M3</f>
        <v>0.31298123110695347</v>
      </c>
      <c r="C19" s="209"/>
      <c r="D19" s="177"/>
      <c r="E19" s="12"/>
      <c r="F19" s="13"/>
      <c r="G19" s="13"/>
      <c r="H19" s="13"/>
      <c r="I19" s="13"/>
      <c r="J19" s="13"/>
      <c r="K19" s="13"/>
    </row>
    <row r="20" spans="1:13">
      <c r="A20" s="9" t="s">
        <v>39</v>
      </c>
      <c r="B20" s="194">
        <f>AVERAGE(E14:I14)</f>
        <v>0.18907004947588799</v>
      </c>
      <c r="C20" s="207"/>
      <c r="D20" s="177" t="s">
        <v>548</v>
      </c>
      <c r="E20" s="172">
        <f>J17</f>
        <v>1310.4244174238095</v>
      </c>
      <c r="F20" s="13"/>
      <c r="G20" s="13"/>
      <c r="H20" s="13"/>
      <c r="I20" s="13"/>
      <c r="J20" s="13"/>
      <c r="K20" s="13"/>
    </row>
    <row r="21" spans="1:13">
      <c r="A21" s="9" t="s">
        <v>300</v>
      </c>
      <c r="B21" s="16">
        <f>AVERAGE(E8:G8,B13)</f>
        <v>39.073045747327114</v>
      </c>
      <c r="C21" s="205"/>
      <c r="D21" s="8" t="s">
        <v>324</v>
      </c>
      <c r="E21" s="189">
        <f>B8*B24</f>
        <v>1934.8320000000001</v>
      </c>
    </row>
    <row r="22" spans="1:13">
      <c r="A22" s="9" t="s">
        <v>301</v>
      </c>
      <c r="B22" s="16">
        <f>AVERAGE(E11:G11,B16)</f>
        <v>12.249032193370056</v>
      </c>
      <c r="C22" s="205"/>
      <c r="D22" s="177" t="s">
        <v>549</v>
      </c>
      <c r="E22" s="172">
        <f>B20*M43</f>
        <v>247.76200943673135</v>
      </c>
      <c r="F22" s="13"/>
      <c r="G22" s="174"/>
      <c r="H22" s="13"/>
      <c r="I22" s="13"/>
      <c r="J22" s="13"/>
      <c r="K22" s="13"/>
    </row>
    <row r="23" spans="1:13">
      <c r="A23" s="78" t="s">
        <v>68</v>
      </c>
      <c r="B23" s="196"/>
      <c r="C23" s="210"/>
      <c r="D23" s="177" t="s">
        <v>43</v>
      </c>
      <c r="E23" s="172">
        <f>IF(A28=2, E20*I44, E20*B22)</f>
        <v>44139.392773645544</v>
      </c>
      <c r="F23" s="13"/>
      <c r="G23" s="13"/>
      <c r="H23" s="13"/>
      <c r="I23" s="13"/>
      <c r="J23" s="13"/>
      <c r="K23" s="13"/>
    </row>
    <row r="24" spans="1:13">
      <c r="A24" s="8" t="s">
        <v>128</v>
      </c>
      <c r="B24" s="197">
        <f>'Annual Report input'!D10</f>
        <v>0.08</v>
      </c>
      <c r="C24" s="211"/>
      <c r="D24" s="177" t="s">
        <v>318</v>
      </c>
      <c r="E24" s="172">
        <f>E23+E22</f>
        <v>44387.154783082275</v>
      </c>
      <c r="F24" s="214"/>
      <c r="G24" s="13"/>
      <c r="H24" s="13"/>
      <c r="I24" s="13"/>
      <c r="J24" s="13"/>
      <c r="K24" s="13"/>
    </row>
    <row r="25" spans="1:13">
      <c r="A25" s="9" t="s">
        <v>299</v>
      </c>
      <c r="B25" s="172">
        <f>IF(A28=2, B21*B9, B22*B11)</f>
        <v>29764.445314226828</v>
      </c>
      <c r="C25" s="212"/>
      <c r="D25" s="201"/>
      <c r="E25" s="14"/>
      <c r="F25" s="13"/>
      <c r="G25" s="13"/>
      <c r="H25" s="13"/>
      <c r="I25" s="13"/>
      <c r="J25" s="13"/>
      <c r="K25" s="13"/>
    </row>
    <row r="26" spans="1:13">
      <c r="A26" s="9" t="s">
        <v>46</v>
      </c>
      <c r="B26" s="172">
        <f>E24/((1+B24)^5)</f>
        <v>30209.151709502177</v>
      </c>
      <c r="C26" s="212"/>
      <c r="D26" s="200" t="s">
        <v>45</v>
      </c>
      <c r="E26" s="15" t="s">
        <v>69</v>
      </c>
      <c r="F26" s="9">
        <v>1</v>
      </c>
      <c r="G26" s="9">
        <v>2</v>
      </c>
      <c r="H26" s="9">
        <v>3</v>
      </c>
      <c r="I26" s="9">
        <v>4</v>
      </c>
      <c r="J26" s="9">
        <v>5</v>
      </c>
    </row>
    <row r="27" spans="1:13">
      <c r="A27" s="9" t="s">
        <v>47</v>
      </c>
      <c r="B27" s="172">
        <f>E32/(1+B24)^5</f>
        <v>59265.987198037386</v>
      </c>
      <c r="C27" s="212"/>
      <c r="D27" s="177" t="s">
        <v>30</v>
      </c>
      <c r="E27" s="168">
        <f>E12</f>
        <v>2579.3169677117862</v>
      </c>
      <c r="F27" s="168">
        <f>E27+E28-E29</f>
        <v>3197.0543287081387</v>
      </c>
      <c r="G27" s="168">
        <f>F27+F28-F29</f>
        <v>3962.737619556327</v>
      </c>
      <c r="H27" s="168">
        <f>G27+G28-G29</f>
        <v>4911.7993712018988</v>
      </c>
      <c r="I27" s="168">
        <f>H27+H28-H29</f>
        <v>6088.1580813923583</v>
      </c>
      <c r="J27" s="168">
        <f>I27+I28-I29</f>
        <v>7546.2505739425706</v>
      </c>
    </row>
    <row r="28" spans="1:13">
      <c r="A28" s="173">
        <v>2</v>
      </c>
      <c r="D28" s="177" t="s">
        <v>28</v>
      </c>
      <c r="E28" s="168">
        <f t="shared" ref="E28:J28" si="0">IF($A$30=1, E27*$B$12, E27*$B$19)</f>
        <v>761.76414571579539</v>
      </c>
      <c r="F28" s="168">
        <f t="shared" si="0"/>
        <v>944.20398500921021</v>
      </c>
      <c r="G28" s="168">
        <f t="shared" si="0"/>
        <v>1170.33752549426</v>
      </c>
      <c r="H28" s="168">
        <f t="shared" si="0"/>
        <v>1450.6292552521552</v>
      </c>
      <c r="I28" s="168">
        <f t="shared" si="0"/>
        <v>1798.0498705317664</v>
      </c>
      <c r="J28" s="168">
        <f t="shared" si="0"/>
        <v>2228.6765038096041</v>
      </c>
    </row>
    <row r="29" spans="1:13">
      <c r="A29" s="173">
        <v>1</v>
      </c>
      <c r="D29" s="177" t="s">
        <v>26</v>
      </c>
      <c r="E29" s="10">
        <f>E28*B20</f>
        <v>144.02678471944299</v>
      </c>
      <c r="F29" s="10">
        <f>F28*B20</f>
        <v>178.52069416102196</v>
      </c>
      <c r="G29" s="10">
        <f>G28*B20</f>
        <v>221.27577384868806</v>
      </c>
      <c r="H29" s="10">
        <f>H28*B20</f>
        <v>274.27054506169554</v>
      </c>
      <c r="I29" s="10">
        <f>I28*B20</f>
        <v>339.95737798155506</v>
      </c>
      <c r="J29" s="10">
        <f>J28*B20</f>
        <v>421.37597684103093</v>
      </c>
    </row>
    <row r="30" spans="1:13">
      <c r="A30" s="173">
        <v>1</v>
      </c>
      <c r="D30" s="177" t="s">
        <v>41</v>
      </c>
      <c r="E30" s="16">
        <f>J28</f>
        <v>2228.6765038096041</v>
      </c>
      <c r="F30" s="13"/>
      <c r="G30" s="13"/>
      <c r="H30" s="13"/>
      <c r="I30" s="13"/>
      <c r="J30" s="13"/>
      <c r="K30" s="13"/>
    </row>
    <row r="31" spans="1:13">
      <c r="D31" s="177" t="s">
        <v>42</v>
      </c>
      <c r="E31" s="16">
        <f>SUM(E29:J29)</f>
        <v>1579.4271526134344</v>
      </c>
      <c r="F31" s="13"/>
      <c r="G31" s="13"/>
      <c r="H31" s="13"/>
      <c r="I31" s="13"/>
      <c r="J31" s="13"/>
      <c r="K31" s="13"/>
    </row>
    <row r="32" spans="1:13">
      <c r="D32" s="177" t="s">
        <v>43</v>
      </c>
      <c r="E32" s="16">
        <f>B21*E30</f>
        <v>87081.178989345717</v>
      </c>
      <c r="F32" s="13"/>
      <c r="G32" s="13"/>
      <c r="H32" s="13"/>
      <c r="I32" s="13"/>
      <c r="J32" s="13"/>
      <c r="K32" s="13"/>
    </row>
    <row r="33" spans="1:13">
      <c r="D33" s="177" t="s">
        <v>44</v>
      </c>
      <c r="E33" s="16">
        <f>E32+E31</f>
        <v>88660.606141959157</v>
      </c>
      <c r="F33" s="13"/>
      <c r="G33" s="13"/>
      <c r="H33" s="13"/>
      <c r="I33" s="13"/>
      <c r="J33" s="13"/>
      <c r="K33" s="13"/>
    </row>
    <row r="34" spans="1:13">
      <c r="D34" s="201"/>
      <c r="E34" s="14"/>
      <c r="F34" s="13"/>
      <c r="G34" s="13"/>
      <c r="H34" s="13"/>
      <c r="I34" s="13"/>
      <c r="J34" s="13"/>
      <c r="K34" s="13"/>
    </row>
    <row r="37" spans="1:13">
      <c r="A37" s="339" t="s">
        <v>528</v>
      </c>
    </row>
    <row r="38" spans="1:13">
      <c r="A38" s="340" t="s">
        <v>48</v>
      </c>
      <c r="B38" s="21" t="s">
        <v>469</v>
      </c>
      <c r="C38" s="21" t="s">
        <v>90</v>
      </c>
      <c r="D38" s="21" t="s">
        <v>91</v>
      </c>
      <c r="E38" s="21" t="s">
        <v>92</v>
      </c>
      <c r="F38" s="21" t="s">
        <v>93</v>
      </c>
      <c r="G38" s="21" t="s">
        <v>94</v>
      </c>
      <c r="H38" s="21" t="s">
        <v>298</v>
      </c>
      <c r="I38" s="341" t="s">
        <v>231</v>
      </c>
      <c r="J38" s="341" t="s">
        <v>230</v>
      </c>
      <c r="K38" s="341" t="s">
        <v>547</v>
      </c>
      <c r="L38" s="341"/>
      <c r="M38" s="341" t="s">
        <v>529</v>
      </c>
    </row>
    <row r="39" spans="1:13">
      <c r="A39" s="342" t="s">
        <v>530</v>
      </c>
      <c r="B39" s="343"/>
      <c r="C39" s="343"/>
      <c r="D39" s="343"/>
      <c r="E39" s="343"/>
      <c r="F39" s="344"/>
      <c r="G39" s="344"/>
      <c r="H39" s="343"/>
      <c r="I39" s="345"/>
      <c r="J39" s="345"/>
      <c r="K39" s="345"/>
      <c r="L39" s="345"/>
      <c r="M39" s="345"/>
    </row>
    <row r="40" spans="1:13">
      <c r="A40" s="346" t="s">
        <v>531</v>
      </c>
      <c r="B40" s="343"/>
      <c r="C40" s="343"/>
      <c r="D40" s="343"/>
      <c r="E40" s="343"/>
      <c r="F40" s="343"/>
      <c r="G40" s="343"/>
      <c r="H40" s="343"/>
      <c r="I40" s="347"/>
      <c r="J40" s="347"/>
      <c r="K40" s="347"/>
      <c r="L40" s="347"/>
      <c r="M40" s="347"/>
    </row>
    <row r="41" spans="1:13">
      <c r="A41" s="346" t="s">
        <v>532</v>
      </c>
      <c r="B41" s="348">
        <f>'Screener Output.v0'!M25/'Screener Input'!K93</f>
        <v>3686.3098960142024</v>
      </c>
      <c r="C41" s="348">
        <f>'Screener Output.v0'!L25/'Screener Input'!K93</f>
        <v>3486.1231377140848</v>
      </c>
      <c r="D41" s="348">
        <f>'Screener Output.v0'!K25/'Screener Input'!K93</f>
        <v>2733.4470496264812</v>
      </c>
      <c r="E41" s="348">
        <f>'Screener Output.v0'!J25/'Screener Input'!K93</f>
        <v>2384.6483517906754</v>
      </c>
      <c r="F41" s="348">
        <f>'Screener Output.v0'!I25/'Screener Input'!K93</f>
        <v>3245.4895698486939</v>
      </c>
      <c r="G41" s="348">
        <f>'Screener Output.v0'!H25/'Screener Input'!K93</f>
        <v>2533.4620850968731</v>
      </c>
      <c r="H41" s="348">
        <f>'Screener Output.v0'!G25/'Screener Input'!K93</f>
        <v>2394.5692673444223</v>
      </c>
      <c r="I41" s="349">
        <f>Revenue!D5</f>
        <v>9.0116435710090093E-2</v>
      </c>
      <c r="J41" s="349">
        <f>Revenue!C5</f>
        <v>0.20843914727728374</v>
      </c>
      <c r="K41" s="350"/>
      <c r="L41" s="351"/>
      <c r="M41" s="351">
        <f>B41*                                  (1+                   (             IF(MIN(I41:J41) &gt;0.25, 0.25,MIN(I41:J41) )                   )                  )                                      ^10</f>
        <v>8736.1627828253968</v>
      </c>
    </row>
    <row r="42" spans="1:13">
      <c r="A42" s="346" t="s">
        <v>533</v>
      </c>
      <c r="B42" s="352">
        <f>'Screener Output.v0'!M127</f>
        <v>0.20664680051437012</v>
      </c>
      <c r="C42" s="352">
        <f>'Screener Output.v0'!L127</f>
        <v>0.22922512161084105</v>
      </c>
      <c r="D42" s="352">
        <f>'Screener Output.v0'!K127</f>
        <v>0.22971855637999725</v>
      </c>
      <c r="E42" s="352">
        <f>'Screener Output.v0'!J127</f>
        <v>0.20578537700650359</v>
      </c>
      <c r="F42" s="352">
        <f>'Screener Output.v0'!I127</f>
        <v>7.8755245450927852E-2</v>
      </c>
      <c r="G42" s="352">
        <f>'Screener Output.v0'!H127</f>
        <v>7.583681023708605E-2</v>
      </c>
      <c r="H42" s="352">
        <f>'Screener Output.v0'!G127</f>
        <v>7.2441251323444561E-2</v>
      </c>
      <c r="I42" s="352">
        <f>IF(POWER('Screener Output.v0'!M127/'Screener Output.v0'!G127,1/5)-1&gt;0, POWER('Screener Output.v0'!M127/'Screener Output.v0'!G127,1/5)-1, 0)</f>
        <v>0.23324268580172847</v>
      </c>
      <c r="J42" s="352">
        <f>IF(POWER('Screener Output.v0'!M127/'Screener Output.v0'!C127,1/10)-1&gt;0, POWER('Screener Output.v0'!M127/'Screener Output.v0'!C127,1/10)-1,0)</f>
        <v>0.18884227805936282</v>
      </c>
      <c r="K42" s="353"/>
      <c r="L42" s="353"/>
      <c r="M42" s="353">
        <f>IF(B42*(1+MIN(I42:J42))^10&gt;0.15, 0.15, B42*(1+MIN(I42:J42))^10)</f>
        <v>0.15</v>
      </c>
    </row>
    <row r="43" spans="1:13">
      <c r="A43" s="346" t="s">
        <v>534</v>
      </c>
      <c r="B43" s="351"/>
      <c r="C43" s="351"/>
      <c r="D43" s="351"/>
      <c r="E43" s="351"/>
      <c r="F43" s="351"/>
      <c r="G43" s="351"/>
      <c r="H43" s="351"/>
      <c r="I43" s="347"/>
      <c r="J43" s="347"/>
      <c r="K43" s="354">
        <f>(B41*(1+$B53)^10)*C$52</f>
        <v>1975.8200093248636</v>
      </c>
      <c r="L43" s="351"/>
      <c r="M43" s="351">
        <f>M41*M42</f>
        <v>1310.4244174238095</v>
      </c>
    </row>
    <row r="44" spans="1:13">
      <c r="A44" s="346" t="s">
        <v>535</v>
      </c>
      <c r="B44" s="355"/>
      <c r="C44" s="355"/>
      <c r="D44" s="355"/>
      <c r="E44" s="355"/>
      <c r="F44" s="355"/>
      <c r="G44" s="355"/>
      <c r="H44" s="355"/>
      <c r="I44" s="354">
        <f>AVERAGE(E8:I8,B13)</f>
        <v>33.683280154699872</v>
      </c>
      <c r="J44" s="347"/>
      <c r="K44" s="354">
        <f>I44</f>
        <v>33.683280154699872</v>
      </c>
      <c r="L44" s="347"/>
      <c r="M44" s="347"/>
    </row>
    <row r="45" spans="1:13">
      <c r="A45" s="346" t="s">
        <v>536</v>
      </c>
      <c r="B45" s="355"/>
      <c r="C45" s="355"/>
      <c r="D45" s="355"/>
      <c r="E45" s="355"/>
      <c r="F45" s="355"/>
      <c r="G45" s="355"/>
      <c r="H45" s="355"/>
      <c r="I45" s="347"/>
      <c r="J45" s="347"/>
      <c r="K45" s="354"/>
      <c r="L45" s="354"/>
      <c r="M45" s="351">
        <f>M43*I44</f>
        <v>44139.392773645544</v>
      </c>
    </row>
    <row r="46" spans="1:13">
      <c r="A46" s="346" t="s">
        <v>537</v>
      </c>
      <c r="B46" s="355">
        <f>B8/B41</f>
        <v>6.5608699979755638</v>
      </c>
      <c r="C46" s="355"/>
      <c r="D46" s="355"/>
      <c r="E46" s="355"/>
      <c r="F46" s="355"/>
      <c r="G46" s="355"/>
      <c r="H46" s="355"/>
      <c r="I46" s="347"/>
      <c r="J46" s="347"/>
      <c r="K46" s="355"/>
      <c r="L46" s="355"/>
      <c r="M46" s="356">
        <f>M45/M41</f>
        <v>5.052492023204981</v>
      </c>
    </row>
    <row r="47" spans="1:13">
      <c r="A47" s="346" t="s">
        <v>538</v>
      </c>
      <c r="B47" s="355"/>
      <c r="C47" s="355"/>
      <c r="D47" s="355"/>
      <c r="E47" s="355"/>
      <c r="F47" s="355"/>
      <c r="G47" s="355"/>
      <c r="H47" s="355"/>
      <c r="I47" s="347"/>
      <c r="J47" s="347"/>
      <c r="K47" s="364"/>
      <c r="L47" s="353"/>
      <c r="M47" s="353">
        <f>POWER(M45/B8,1/10)-1</f>
        <v>6.2006825537766153E-2</v>
      </c>
    </row>
    <row r="49" spans="1:5">
      <c r="A49" s="339" t="s">
        <v>539</v>
      </c>
    </row>
    <row r="50" spans="1:5">
      <c r="A50" s="381" t="s">
        <v>540</v>
      </c>
      <c r="B50" s="381"/>
      <c r="C50" s="382" t="s">
        <v>419</v>
      </c>
      <c r="D50" s="382"/>
      <c r="E50" s="382"/>
    </row>
    <row r="51" spans="1:5">
      <c r="A51" s="381"/>
      <c r="B51" s="381"/>
      <c r="C51" s="341" t="s">
        <v>469</v>
      </c>
      <c r="D51" s="341" t="s">
        <v>541</v>
      </c>
      <c r="E51" s="341" t="s">
        <v>542</v>
      </c>
    </row>
    <row r="52" spans="1:5">
      <c r="A52" s="341" t="s">
        <v>543</v>
      </c>
      <c r="B52" s="357"/>
      <c r="C52" s="358">
        <f>B42</f>
        <v>0.20664680051437012</v>
      </c>
      <c r="D52" s="359">
        <f>C52+1%</f>
        <v>0.21664680051437013</v>
      </c>
      <c r="E52" s="359">
        <f>B42+1.5%</f>
        <v>0.22164680051437013</v>
      </c>
    </row>
    <row r="53" spans="1:5">
      <c r="A53" s="347" t="s">
        <v>544</v>
      </c>
      <c r="B53" s="360">
        <f>'Annual Report input'!D9</f>
        <v>0.1</v>
      </c>
      <c r="C53" s="361">
        <f>POWER((($B$41*(1+$B53)^10)*C$52*$K$44)/$B$8, 1/10)-1</f>
        <v>0.10652402600206035</v>
      </c>
      <c r="D53" s="361">
        <f t="shared" ref="D53:E55" si="1">POWER((($B$41*(1+$B53)^10)*D$52*$K$44)/$B$8, 1/10)-1</f>
        <v>0.11176553744316986</v>
      </c>
      <c r="E53" s="361">
        <f t="shared" si="1"/>
        <v>0.11430512079719857</v>
      </c>
    </row>
    <row r="54" spans="1:5">
      <c r="A54" s="362" t="s">
        <v>545</v>
      </c>
      <c r="B54" s="360">
        <f>B53+2%</f>
        <v>0.12000000000000001</v>
      </c>
      <c r="C54" s="361">
        <f t="shared" ref="C54:C55" si="2">POWER((($B$41*(1+$B54)^10)*C$52*$K$44)/$B$8, 1/10)-1</f>
        <v>0.12664264465664332</v>
      </c>
      <c r="D54" s="361">
        <f t="shared" si="1"/>
        <v>0.13197945630577279</v>
      </c>
      <c r="E54" s="361">
        <f t="shared" si="1"/>
        <v>0.13456521390260212</v>
      </c>
    </row>
    <row r="55" spans="1:5">
      <c r="A55" s="362" t="s">
        <v>546</v>
      </c>
      <c r="B55" s="363">
        <f>B53+3%</f>
        <v>0.13</v>
      </c>
      <c r="C55" s="361">
        <f t="shared" si="2"/>
        <v>0.1367019539839347</v>
      </c>
      <c r="D55" s="361">
        <f t="shared" si="1"/>
        <v>0.14208641573707426</v>
      </c>
      <c r="E55" s="361">
        <f t="shared" si="1"/>
        <v>0.14469526045530379</v>
      </c>
    </row>
  </sheetData>
  <mergeCells count="6">
    <mergeCell ref="A7:B7"/>
    <mergeCell ref="A18:B18"/>
    <mergeCell ref="A6:K6"/>
    <mergeCell ref="A5:K5"/>
    <mergeCell ref="A50:B51"/>
    <mergeCell ref="C50:E50"/>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5</xdr:col>
                    <xdr:colOff>0</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topLeftCell="C4" workbookViewId="0">
      <selection activeCell="I14" sqref="I14"/>
    </sheetView>
  </sheetViews>
  <sheetFormatPr defaultColWidth="22.140625" defaultRowHeight="20.100000000000001" customHeight="1"/>
  <cols>
    <col min="1" max="3" width="22.140625" style="79"/>
    <col min="4" max="4" width="8.85546875" style="79" customWidth="1"/>
    <col min="5" max="5" width="4" style="80" customWidth="1"/>
    <col min="6" max="6" width="11.42578125" style="280"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7" t="s">
        <v>129</v>
      </c>
      <c r="B2" s="278"/>
      <c r="C2" s="278"/>
      <c r="E2" s="81" t="s">
        <v>130</v>
      </c>
      <c r="F2" s="281"/>
      <c r="G2" s="82" t="s">
        <v>131</v>
      </c>
      <c r="H2" s="83" t="s">
        <v>132</v>
      </c>
      <c r="I2" s="83" t="s">
        <v>133</v>
      </c>
      <c r="J2" s="83" t="s">
        <v>134</v>
      </c>
      <c r="K2" s="83" t="s">
        <v>135</v>
      </c>
      <c r="L2" s="83" t="s">
        <v>59</v>
      </c>
      <c r="M2" s="83"/>
    </row>
    <row r="3" spans="1:13" ht="20.100000000000001" customHeight="1">
      <c r="A3" s="84" t="s">
        <v>136</v>
      </c>
      <c r="B3" s="84" t="s">
        <v>137</v>
      </c>
      <c r="C3" s="84" t="s">
        <v>138</v>
      </c>
      <c r="E3" s="85"/>
      <c r="F3" s="282"/>
      <c r="G3" s="275" t="s">
        <v>139</v>
      </c>
      <c r="H3" s="276"/>
      <c r="I3" s="276"/>
      <c r="J3" s="276"/>
      <c r="K3" s="293">
        <f>SUM(K4:K14)</f>
        <v>50</v>
      </c>
      <c r="L3" s="293">
        <f>SUM(L4:L14)</f>
        <v>46.5</v>
      </c>
      <c r="M3" s="86"/>
    </row>
    <row r="4" spans="1:13" ht="30" customHeight="1">
      <c r="A4" s="87" t="s">
        <v>140</v>
      </c>
      <c r="B4" s="292">
        <f>SUM(B5:B9)</f>
        <v>100</v>
      </c>
      <c r="C4" s="290">
        <f>SUM(C5:C9)</f>
        <v>85.5</v>
      </c>
      <c r="E4" s="97">
        <v>1</v>
      </c>
      <c r="F4" s="283" t="s">
        <v>410</v>
      </c>
      <c r="G4" s="263" t="s">
        <v>445</v>
      </c>
      <c r="H4" s="88" t="s">
        <v>145</v>
      </c>
      <c r="I4" s="90">
        <f>Revenue!C5</f>
        <v>0.20843914727728374</v>
      </c>
      <c r="J4" s="285" t="s">
        <v>151</v>
      </c>
      <c r="K4" s="289">
        <v>4</v>
      </c>
      <c r="L4" s="95">
        <f>Revenue!L5</f>
        <v>4</v>
      </c>
      <c r="M4" s="88"/>
    </row>
    <row r="5" spans="1:13" ht="30" customHeight="1">
      <c r="A5" s="87" t="s">
        <v>141</v>
      </c>
      <c r="B5" s="295">
        <f>Scorecard!K3</f>
        <v>50</v>
      </c>
      <c r="C5" s="290">
        <f>Scorecard!L3</f>
        <v>46.5</v>
      </c>
      <c r="E5" s="97">
        <v>2</v>
      </c>
      <c r="F5" s="383" t="s">
        <v>446</v>
      </c>
      <c r="G5" s="263" t="s">
        <v>149</v>
      </c>
      <c r="H5" s="88" t="s">
        <v>145</v>
      </c>
      <c r="I5" s="90">
        <f>Profit!F5</f>
        <v>0.48056942889393328</v>
      </c>
      <c r="J5" s="285" t="s">
        <v>313</v>
      </c>
      <c r="K5" s="289">
        <v>5</v>
      </c>
      <c r="L5" s="95">
        <f>Profit!L5</f>
        <v>5</v>
      </c>
      <c r="M5" s="88"/>
    </row>
    <row r="6" spans="1:13" ht="30" customHeight="1">
      <c r="A6" s="87" t="s">
        <v>143</v>
      </c>
      <c r="B6" s="291">
        <v>13</v>
      </c>
      <c r="C6" s="294">
        <f>Scorecard!L15</f>
        <v>12</v>
      </c>
      <c r="E6" s="97">
        <v>3</v>
      </c>
      <c r="F6" s="384"/>
      <c r="G6" s="263" t="s">
        <v>144</v>
      </c>
      <c r="H6" s="88" t="s">
        <v>145</v>
      </c>
      <c r="I6" s="90">
        <f>Profit!G5</f>
        <v>0.44697605700850551</v>
      </c>
      <c r="J6" s="285" t="s">
        <v>316</v>
      </c>
      <c r="K6" s="289">
        <v>9</v>
      </c>
      <c r="L6" s="95">
        <f>Profit!M5</f>
        <v>9</v>
      </c>
      <c r="M6" s="88"/>
    </row>
    <row r="7" spans="1:13" ht="30" customHeight="1">
      <c r="A7" s="87" t="s">
        <v>146</v>
      </c>
      <c r="B7" s="291">
        <v>23</v>
      </c>
      <c r="C7" s="294">
        <f>Scorecard!L20</f>
        <v>17</v>
      </c>
      <c r="E7" s="97">
        <v>4</v>
      </c>
      <c r="F7" s="385"/>
      <c r="G7" s="263" t="s">
        <v>152</v>
      </c>
      <c r="H7" s="88" t="s">
        <v>153</v>
      </c>
      <c r="I7" s="90">
        <f>Profit!C5</f>
        <v>0.18046018406600448</v>
      </c>
      <c r="J7" s="285" t="s">
        <v>154</v>
      </c>
      <c r="K7" s="289">
        <v>4</v>
      </c>
      <c r="L7" s="95">
        <f>Profit!P5</f>
        <v>4</v>
      </c>
      <c r="M7" s="88"/>
    </row>
    <row r="8" spans="1:13" ht="30" customHeight="1">
      <c r="A8" s="87" t="s">
        <v>148</v>
      </c>
      <c r="B8" s="291">
        <v>10</v>
      </c>
      <c r="C8" s="294">
        <f>Scorecard!L27</f>
        <v>8</v>
      </c>
      <c r="E8" s="97"/>
      <c r="F8" s="288" t="s">
        <v>449</v>
      </c>
      <c r="G8" s="263" t="s">
        <v>142</v>
      </c>
      <c r="H8" s="88" t="s">
        <v>432</v>
      </c>
      <c r="I8" s="90">
        <f>Dupont!D4</f>
        <v>0.29533560832253447</v>
      </c>
      <c r="J8" s="285" t="s">
        <v>317</v>
      </c>
      <c r="K8" s="289">
        <f>10</f>
        <v>10</v>
      </c>
      <c r="L8" s="95">
        <f>Dupont!K4</f>
        <v>10</v>
      </c>
      <c r="M8" s="88"/>
    </row>
    <row r="9" spans="1:13" ht="30" customHeight="1">
      <c r="A9" s="87" t="s">
        <v>150</v>
      </c>
      <c r="B9" s="291">
        <v>4</v>
      </c>
      <c r="C9" s="294">
        <f>Scorecard!L32</f>
        <v>2</v>
      </c>
      <c r="E9" s="97">
        <v>5</v>
      </c>
      <c r="F9" s="383" t="s">
        <v>447</v>
      </c>
      <c r="G9" s="263" t="s">
        <v>159</v>
      </c>
      <c r="H9" s="88" t="s">
        <v>160</v>
      </c>
      <c r="I9" s="93">
        <f>Efficiency!C5</f>
        <v>7.2650910544592842E-2</v>
      </c>
      <c r="J9" s="285" t="s">
        <v>314</v>
      </c>
      <c r="K9" s="289">
        <v>3</v>
      </c>
      <c r="L9" s="95">
        <f>Efficiency!K5</f>
        <v>3</v>
      </c>
      <c r="M9" s="88"/>
    </row>
    <row r="10" spans="1:13" ht="30" customHeight="1">
      <c r="E10" s="97">
        <v>6</v>
      </c>
      <c r="F10" s="384"/>
      <c r="G10" s="263" t="s">
        <v>155</v>
      </c>
      <c r="H10" s="88" t="s">
        <v>156</v>
      </c>
      <c r="I10" s="93">
        <f>Efficiency!E5</f>
        <v>1.150406529285309</v>
      </c>
      <c r="J10" s="285" t="s">
        <v>157</v>
      </c>
      <c r="K10" s="289">
        <v>4</v>
      </c>
      <c r="L10" s="95">
        <f>Efficiency!M5</f>
        <v>4</v>
      </c>
      <c r="M10" s="88"/>
    </row>
    <row r="11" spans="1:13" ht="30" customHeight="1">
      <c r="E11" s="97">
        <v>7</v>
      </c>
      <c r="F11" s="384"/>
      <c r="G11" s="263" t="s">
        <v>162</v>
      </c>
      <c r="H11" s="88" t="s">
        <v>163</v>
      </c>
      <c r="I11" s="95">
        <f>Efficiency!F5</f>
        <v>2482.25</v>
      </c>
      <c r="J11" s="285" t="s">
        <v>164</v>
      </c>
      <c r="K11" s="289">
        <v>1</v>
      </c>
      <c r="L11" s="95">
        <f>Efficiency!N5</f>
        <v>1</v>
      </c>
      <c r="M11" s="88"/>
    </row>
    <row r="12" spans="1:13" ht="30" customHeight="1">
      <c r="E12" s="97">
        <v>8</v>
      </c>
      <c r="F12" s="385"/>
      <c r="G12" s="263" t="s">
        <v>444</v>
      </c>
      <c r="H12" s="88" t="s">
        <v>161</v>
      </c>
      <c r="I12" s="94">
        <f>Efficiency!D5</f>
        <v>1.110412111808543</v>
      </c>
      <c r="J12" s="287" t="s">
        <v>315</v>
      </c>
      <c r="K12" s="289">
        <v>1</v>
      </c>
      <c r="L12" s="95">
        <f>Efficiency!L5</f>
        <v>0.5</v>
      </c>
      <c r="M12" s="88"/>
    </row>
    <row r="13" spans="1:13" ht="30" customHeight="1">
      <c r="E13" s="97">
        <v>9</v>
      </c>
      <c r="F13" s="383" t="s">
        <v>448</v>
      </c>
      <c r="G13" s="263" t="s">
        <v>147</v>
      </c>
      <c r="H13" s="92">
        <v>0</v>
      </c>
      <c r="I13" s="90">
        <f>Others!E4</f>
        <v>0</v>
      </c>
      <c r="J13" s="286"/>
      <c r="K13" s="289">
        <v>6</v>
      </c>
      <c r="L13" s="95">
        <f>Others!L4</f>
        <v>6</v>
      </c>
      <c r="M13" s="88"/>
    </row>
    <row r="14" spans="1:13" ht="30" customHeight="1">
      <c r="E14" s="97">
        <v>10</v>
      </c>
      <c r="F14" s="385"/>
      <c r="G14" s="263" t="s">
        <v>158</v>
      </c>
      <c r="H14" s="88" t="s">
        <v>326</v>
      </c>
      <c r="I14" s="193">
        <f>Others!F4</f>
        <v>-4.6099999999999919E-2</v>
      </c>
      <c r="J14" s="285" t="s">
        <v>308</v>
      </c>
      <c r="K14" s="289">
        <v>3</v>
      </c>
      <c r="L14" s="95">
        <f>Others!M4</f>
        <v>0</v>
      </c>
      <c r="M14" s="88"/>
    </row>
    <row r="15" spans="1:13" ht="20.100000000000001" customHeight="1">
      <c r="E15" s="275" t="s">
        <v>165</v>
      </c>
      <c r="F15" s="284"/>
      <c r="G15" s="276"/>
      <c r="H15" s="276"/>
      <c r="I15" s="276"/>
      <c r="J15" s="276"/>
      <c r="K15" s="96">
        <f>SUM(K16:K19)</f>
        <v>0.13</v>
      </c>
      <c r="L15" s="97">
        <f>SUM(L16:L19)</f>
        <v>12</v>
      </c>
      <c r="M15" s="86"/>
    </row>
    <row r="16" spans="1:13" ht="20.100000000000001" customHeight="1">
      <c r="E16" s="88">
        <v>1</v>
      </c>
      <c r="F16" s="91"/>
      <c r="G16" s="89" t="s">
        <v>166</v>
      </c>
      <c r="H16" s="88" t="s">
        <v>167</v>
      </c>
      <c r="I16" s="88"/>
      <c r="J16" s="89" t="s">
        <v>168</v>
      </c>
      <c r="K16" s="92">
        <v>0.05</v>
      </c>
      <c r="L16" s="88">
        <f>'Annual Report input'!D14</f>
        <v>4</v>
      </c>
      <c r="M16" s="88"/>
    </row>
    <row r="17" spans="5:13" ht="20.100000000000001" customHeight="1">
      <c r="E17" s="88">
        <v>2</v>
      </c>
      <c r="F17" s="91"/>
      <c r="G17" s="89" t="s">
        <v>169</v>
      </c>
      <c r="H17" s="88" t="s">
        <v>170</v>
      </c>
      <c r="I17" s="88"/>
      <c r="J17" s="89" t="s">
        <v>171</v>
      </c>
      <c r="K17" s="92">
        <v>0.02</v>
      </c>
      <c r="L17" s="88">
        <f>'Annual Report input'!D15</f>
        <v>2</v>
      </c>
      <c r="M17" s="88"/>
    </row>
    <row r="18" spans="5:13" ht="20.100000000000001" customHeight="1">
      <c r="E18" s="88">
        <v>3</v>
      </c>
      <c r="F18" s="91"/>
      <c r="G18" s="89" t="s">
        <v>172</v>
      </c>
      <c r="H18" s="88" t="s">
        <v>173</v>
      </c>
      <c r="I18" s="98">
        <f>Analysis!H13/Analysis!E13</f>
        <v>3.8214796035609253</v>
      </c>
      <c r="J18" s="91" t="s">
        <v>174</v>
      </c>
      <c r="K18" s="92">
        <v>0.02</v>
      </c>
      <c r="L18" s="88">
        <f>'Annual Report input'!D16</f>
        <v>2</v>
      </c>
      <c r="M18" s="88"/>
    </row>
    <row r="19" spans="5:13" ht="20.100000000000001" customHeight="1">
      <c r="E19" s="88">
        <v>5</v>
      </c>
      <c r="F19" s="91"/>
      <c r="G19" s="89" t="s">
        <v>175</v>
      </c>
      <c r="H19" s="88" t="s">
        <v>176</v>
      </c>
      <c r="I19" s="88"/>
      <c r="J19" s="89" t="s">
        <v>177</v>
      </c>
      <c r="K19" s="92">
        <v>0.04</v>
      </c>
      <c r="L19" s="88">
        <f>'Annual Report input'!D17</f>
        <v>4</v>
      </c>
      <c r="M19" s="88"/>
    </row>
    <row r="20" spans="5:13" ht="20.100000000000001" customHeight="1">
      <c r="E20" s="275" t="s">
        <v>178</v>
      </c>
      <c r="F20" s="284"/>
      <c r="G20" s="276"/>
      <c r="H20" s="276"/>
      <c r="I20" s="276"/>
      <c r="J20" s="276"/>
      <c r="K20" s="96">
        <f>SUM(K21:K26)</f>
        <v>0.23</v>
      </c>
      <c r="L20" s="97">
        <f>SUM(L21:L26)</f>
        <v>17</v>
      </c>
      <c r="M20" s="99"/>
    </row>
    <row r="21" spans="5:13" ht="20.100000000000001" customHeight="1">
      <c r="E21" s="88">
        <v>1</v>
      </c>
      <c r="F21" s="91"/>
      <c r="G21" s="89" t="s">
        <v>179</v>
      </c>
      <c r="H21" s="88" t="s">
        <v>180</v>
      </c>
      <c r="I21" s="88"/>
      <c r="J21" s="89" t="s">
        <v>181</v>
      </c>
      <c r="K21" s="92">
        <v>0.08</v>
      </c>
      <c r="L21" s="88">
        <f>'Annual Report input'!D19</f>
        <v>4</v>
      </c>
      <c r="M21" s="88"/>
    </row>
    <row r="22" spans="5:13" ht="20.100000000000001" customHeight="1">
      <c r="E22" s="88">
        <v>2</v>
      </c>
      <c r="F22" s="91"/>
      <c r="G22" s="89" t="s">
        <v>182</v>
      </c>
      <c r="H22" s="88" t="s">
        <v>183</v>
      </c>
      <c r="I22" s="88"/>
      <c r="J22" s="89" t="s">
        <v>184</v>
      </c>
      <c r="K22" s="92">
        <v>0.02</v>
      </c>
      <c r="L22" s="88">
        <f>'Annual Report input'!D20</f>
        <v>2</v>
      </c>
      <c r="M22" s="88"/>
    </row>
    <row r="23" spans="5:13" ht="20.100000000000001" customHeight="1">
      <c r="E23" s="88">
        <v>3</v>
      </c>
      <c r="F23" s="91"/>
      <c r="G23" s="89" t="s">
        <v>185</v>
      </c>
      <c r="H23" s="88" t="s">
        <v>186</v>
      </c>
      <c r="I23" s="88"/>
      <c r="J23" s="89" t="s">
        <v>187</v>
      </c>
      <c r="K23" s="92">
        <v>0.04</v>
      </c>
      <c r="L23" s="88">
        <f>'Annual Report input'!D21</f>
        <v>4</v>
      </c>
      <c r="M23" s="88"/>
    </row>
    <row r="24" spans="5:13" ht="20.100000000000001" customHeight="1">
      <c r="E24" s="88">
        <v>4</v>
      </c>
      <c r="F24" s="91"/>
      <c r="G24" s="89" t="s">
        <v>188</v>
      </c>
      <c r="H24" s="88" t="s">
        <v>189</v>
      </c>
      <c r="I24" s="88"/>
      <c r="J24" s="91" t="s">
        <v>190</v>
      </c>
      <c r="K24" s="92">
        <v>0.02</v>
      </c>
      <c r="L24" s="88">
        <f>'Annual Report input'!D22</f>
        <v>1</v>
      </c>
      <c r="M24" s="99"/>
    </row>
    <row r="25" spans="5:13" ht="20.100000000000001" customHeight="1">
      <c r="E25" s="88">
        <v>6</v>
      </c>
      <c r="F25" s="91"/>
      <c r="G25" s="89" t="s">
        <v>191</v>
      </c>
      <c r="H25" s="88" t="s">
        <v>192</v>
      </c>
      <c r="I25" s="90">
        <f>SUM('Shareholding input'!C6:C7)</f>
        <v>0.50470000000000004</v>
      </c>
      <c r="J25" s="91" t="s">
        <v>193</v>
      </c>
      <c r="K25" s="92">
        <v>0.04</v>
      </c>
      <c r="L25" s="88">
        <f>IF(I25&gt;0.7,4,IF(AND(I25&gt;0.4,I25&lt;0.7),3,IF(AND(I25&gt;0.2,I25&lt;0.4),2,IF(AND(I25&gt;0.1,I25&lt;0.2),1,0))))</f>
        <v>3</v>
      </c>
      <c r="M25" s="88"/>
    </row>
    <row r="26" spans="5:13" ht="20.100000000000001" customHeight="1">
      <c r="E26" s="88">
        <v>8</v>
      </c>
      <c r="F26" s="91"/>
      <c r="G26" s="89" t="s">
        <v>194</v>
      </c>
      <c r="H26" s="88" t="s">
        <v>476</v>
      </c>
      <c r="I26" s="90">
        <f>SUM('Shareholding input'!C8:C8)</f>
        <v>0.311</v>
      </c>
      <c r="J26" s="91" t="s">
        <v>195</v>
      </c>
      <c r="K26" s="92">
        <v>0.03</v>
      </c>
      <c r="L26" s="88">
        <f>IF(I26&gt;0.05,3,IF(AND(I26&gt;0.02,I26&lt;0.05),2.5,IF(AND(I26&gt;0.01,I26&lt;0.02),2,IF(AND(I26&gt;0,I26&lt;0.01),1,0))))</f>
        <v>3</v>
      </c>
      <c r="M26" s="88"/>
    </row>
    <row r="27" spans="5:13" ht="20.100000000000001" customHeight="1">
      <c r="E27" s="275" t="s">
        <v>196</v>
      </c>
      <c r="F27" s="284"/>
      <c r="G27" s="276"/>
      <c r="H27" s="276"/>
      <c r="I27" s="276"/>
      <c r="J27" s="276"/>
      <c r="K27" s="96">
        <f>SUM(K28:K31)</f>
        <v>0.1</v>
      </c>
      <c r="L27" s="97">
        <f>SUM(L28:L31)</f>
        <v>8</v>
      </c>
      <c r="M27" s="99"/>
    </row>
    <row r="28" spans="5:13" ht="20.100000000000001" customHeight="1">
      <c r="E28" s="88">
        <v>1</v>
      </c>
      <c r="F28" s="91"/>
      <c r="G28" s="89" t="s">
        <v>197</v>
      </c>
      <c r="H28" s="88" t="s">
        <v>198</v>
      </c>
      <c r="I28" s="88"/>
      <c r="J28" s="91" t="s">
        <v>199</v>
      </c>
      <c r="K28" s="92">
        <v>0.03</v>
      </c>
      <c r="L28" s="88">
        <f>'Annual Report input'!D26</f>
        <v>3</v>
      </c>
      <c r="M28" s="88"/>
    </row>
    <row r="29" spans="5:13" ht="20.100000000000001" customHeight="1">
      <c r="E29" s="88">
        <v>2</v>
      </c>
      <c r="F29" s="91"/>
      <c r="G29" s="89" t="s">
        <v>200</v>
      </c>
      <c r="H29" s="88" t="s">
        <v>201</v>
      </c>
      <c r="I29" s="88"/>
      <c r="J29" s="91" t="s">
        <v>202</v>
      </c>
      <c r="K29" s="92">
        <v>0.02</v>
      </c>
      <c r="L29" s="88">
        <f>'Annual Report input'!D27</f>
        <v>1</v>
      </c>
      <c r="M29" s="88"/>
    </row>
    <row r="30" spans="5:13" ht="20.100000000000001" customHeight="1">
      <c r="E30" s="88">
        <v>3</v>
      </c>
      <c r="F30" s="91"/>
      <c r="G30" s="89" t="s">
        <v>203</v>
      </c>
      <c r="H30" s="88"/>
      <c r="I30" s="88"/>
      <c r="J30" s="91"/>
      <c r="K30" s="92">
        <v>0.02</v>
      </c>
      <c r="L30" s="88">
        <f>'Annual Report input'!D28</f>
        <v>2</v>
      </c>
      <c r="M30" s="88"/>
    </row>
    <row r="31" spans="5:13" ht="20.100000000000001" customHeight="1">
      <c r="E31" s="88">
        <v>3</v>
      </c>
      <c r="F31" s="91"/>
      <c r="G31" s="89" t="s">
        <v>310</v>
      </c>
      <c r="H31" s="88"/>
      <c r="I31" s="88"/>
      <c r="J31" s="89" t="s">
        <v>311</v>
      </c>
      <c r="K31" s="92">
        <v>0.03</v>
      </c>
      <c r="L31" s="88">
        <f>'Annual Report input'!D29</f>
        <v>2</v>
      </c>
      <c r="M31" s="88"/>
    </row>
    <row r="32" spans="5:13" ht="20.100000000000001" customHeight="1">
      <c r="E32" s="275" t="s">
        <v>150</v>
      </c>
      <c r="F32" s="284"/>
      <c r="G32" s="276"/>
      <c r="H32" s="276"/>
      <c r="I32" s="276"/>
      <c r="J32" s="276"/>
      <c r="K32" s="96">
        <f>SUM(K33:K33)</f>
        <v>0.04</v>
      </c>
      <c r="L32" s="97">
        <f>SUM(L33:L33)</f>
        <v>2</v>
      </c>
      <c r="M32" s="99"/>
    </row>
    <row r="33" spans="5:13" ht="20.100000000000001" customHeight="1">
      <c r="E33" s="88">
        <v>4</v>
      </c>
      <c r="F33" s="91"/>
      <c r="G33" s="89" t="s">
        <v>204</v>
      </c>
      <c r="H33" s="88" t="s">
        <v>205</v>
      </c>
      <c r="I33" s="175">
        <f>Analysis!M8</f>
        <v>0.83789876458985268</v>
      </c>
      <c r="J33" s="91" t="s">
        <v>312</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1"/>
  <sheetViews>
    <sheetView showGridLines="0" workbookViewId="0">
      <selection activeCell="D5" sqref="D5"/>
    </sheetView>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298" t="s">
        <v>410</v>
      </c>
      <c r="C3" s="101" t="s">
        <v>230</v>
      </c>
      <c r="D3" s="101" t="s">
        <v>231</v>
      </c>
      <c r="E3" s="101" t="s">
        <v>405</v>
      </c>
      <c r="F3" s="101" t="s">
        <v>456</v>
      </c>
      <c r="G3" s="101" t="s">
        <v>413</v>
      </c>
      <c r="K3" s="298" t="s">
        <v>410</v>
      </c>
      <c r="L3" s="101" t="s">
        <v>230</v>
      </c>
      <c r="O3" s="389" t="s">
        <v>437</v>
      </c>
      <c r="P3" s="389"/>
      <c r="Q3" s="389"/>
      <c r="R3" s="389"/>
      <c r="S3" s="389"/>
      <c r="T3" s="389"/>
    </row>
    <row r="4" spans="2:22" ht="15" customHeight="1">
      <c r="B4" s="254" t="s">
        <v>408</v>
      </c>
      <c r="C4" s="299">
        <v>0.2</v>
      </c>
      <c r="D4" s="299"/>
      <c r="E4" s="299"/>
      <c r="F4" s="299"/>
      <c r="G4" s="299"/>
      <c r="K4" s="254" t="s">
        <v>411</v>
      </c>
      <c r="L4" s="297">
        <v>4</v>
      </c>
      <c r="O4" s="389" t="s">
        <v>455</v>
      </c>
      <c r="P4" s="389"/>
      <c r="Q4" s="389"/>
      <c r="R4" s="389"/>
      <c r="S4" s="389"/>
      <c r="T4" s="389"/>
    </row>
    <row r="5" spans="2:22" ht="15" customHeight="1">
      <c r="B5" s="254" t="s">
        <v>409</v>
      </c>
      <c r="C5" s="299">
        <f>POWER('Screener Output.v0'!M25/'Screener Output.v0'!C25,1/9)-1</f>
        <v>0.20843914727728374</v>
      </c>
      <c r="D5" s="299">
        <f>POWER('Screener Output.v0'!M25/'Screener Output.v0'!G25,1/5)-1</f>
        <v>9.0116435710090093E-2</v>
      </c>
      <c r="E5" s="299">
        <f>POWER('Screener Output.v0'!M25/'Screener Output.v0'!N25,1)-1</f>
        <v>0.27508385503453825</v>
      </c>
      <c r="F5" s="299">
        <f>'Screener Output.v0'!L191</f>
        <v>0.26343641084087221</v>
      </c>
      <c r="G5" s="299">
        <f>'Screener Output.v0'!L142</f>
        <v>1.135715976779901</v>
      </c>
      <c r="K5" s="254" t="s">
        <v>412</v>
      </c>
      <c r="L5" s="296">
        <f>IF(C5&gt;0.2,4,IF(AND(C5&gt;0.1,C5&lt;0.2),3,IF(AND(C5&gt;0.05,C5&lt;0.1),2,IF(AND(C5&gt;0,C5&lt;0.05),1,0))))</f>
        <v>4</v>
      </c>
      <c r="O5" s="389"/>
      <c r="P5" s="389"/>
      <c r="Q5" s="389"/>
      <c r="R5" s="389"/>
      <c r="S5" s="389"/>
      <c r="T5" s="389"/>
    </row>
    <row r="6" spans="2:22" ht="15" customHeight="1">
      <c r="E6" s="255"/>
      <c r="O6" s="389"/>
      <c r="P6" s="389"/>
      <c r="Q6" s="389"/>
      <c r="R6" s="389"/>
      <c r="S6" s="389"/>
      <c r="T6" s="389"/>
    </row>
    <row r="10" spans="2:22" ht="15" customHeight="1">
      <c r="B10" s="388" t="s">
        <v>401</v>
      </c>
      <c r="C10" s="388"/>
      <c r="D10" s="388"/>
      <c r="E10" s="388"/>
      <c r="F10" s="388"/>
      <c r="G10" s="388"/>
      <c r="H10" s="388"/>
      <c r="I10" s="388"/>
      <c r="K10" s="387" t="s">
        <v>402</v>
      </c>
      <c r="L10" s="387"/>
      <c r="M10" s="387"/>
      <c r="N10" s="387"/>
      <c r="O10" s="387"/>
      <c r="P10" s="387"/>
      <c r="Q10" s="387"/>
      <c r="R10" s="387"/>
      <c r="S10" s="387"/>
      <c r="T10" s="387"/>
      <c r="U10" s="252"/>
      <c r="V10" s="301"/>
    </row>
    <row r="11" spans="2:22" ht="15" customHeight="1">
      <c r="B11" s="77"/>
      <c r="C11" s="77"/>
      <c r="K11" s="2"/>
      <c r="L11" s="2"/>
      <c r="M11" s="2"/>
      <c r="N11" s="2"/>
      <c r="O11" s="2"/>
      <c r="P11" s="2"/>
      <c r="Q11" s="2"/>
      <c r="R11" s="2"/>
      <c r="S11" s="2"/>
      <c r="T11" s="2"/>
      <c r="U11" s="2"/>
      <c r="V11" s="2"/>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247"/>
      <c r="C15" s="247"/>
      <c r="K15" s="2"/>
      <c r="L15" s="2"/>
      <c r="M15" s="2"/>
      <c r="N15" s="2"/>
      <c r="O15" s="2"/>
      <c r="P15" s="2"/>
      <c r="Q15" s="2"/>
      <c r="R15" s="2"/>
      <c r="S15" s="2"/>
      <c r="T15" s="2"/>
      <c r="U15" s="2"/>
      <c r="V15" s="2"/>
    </row>
    <row r="16" spans="2:22" ht="15" customHeight="1">
      <c r="B16" s="247"/>
      <c r="C16" s="247"/>
      <c r="K16" s="2"/>
      <c r="L16" s="2"/>
      <c r="M16" s="2"/>
      <c r="N16" s="2"/>
      <c r="O16" s="2"/>
      <c r="P16" s="2"/>
      <c r="Q16" s="2"/>
      <c r="R16" s="2"/>
      <c r="S16" s="2"/>
      <c r="T16" s="2"/>
      <c r="U16" s="2"/>
      <c r="V16" s="2"/>
    </row>
    <row r="17" spans="2:22" ht="15" customHeight="1">
      <c r="B17" s="247"/>
      <c r="C17" s="247"/>
      <c r="K17" s="2"/>
      <c r="L17" s="2"/>
      <c r="M17" s="2"/>
      <c r="N17" s="2"/>
      <c r="O17" s="2"/>
      <c r="P17" s="2"/>
      <c r="Q17" s="2"/>
      <c r="R17" s="2"/>
      <c r="S17" s="2"/>
      <c r="T17" s="2"/>
      <c r="U17" s="2"/>
      <c r="V17" s="2"/>
    </row>
    <row r="18" spans="2:22" ht="15" customHeight="1">
      <c r="B18" s="77"/>
      <c r="C18" s="77"/>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8" spans="2:22" ht="15" customHeight="1">
      <c r="B28" s="387" t="s">
        <v>404</v>
      </c>
      <c r="C28" s="387"/>
      <c r="D28" s="387"/>
      <c r="E28" s="387"/>
      <c r="F28" s="387"/>
      <c r="G28" s="387"/>
      <c r="H28" s="387"/>
      <c r="I28" s="387"/>
      <c r="K28" s="387" t="s">
        <v>403</v>
      </c>
      <c r="L28" s="387"/>
      <c r="M28" s="387"/>
      <c r="N28" s="387"/>
      <c r="O28" s="387"/>
      <c r="P28" s="387"/>
      <c r="Q28" s="387"/>
      <c r="R28" s="387"/>
      <c r="S28" s="387"/>
      <c r="T28" s="387"/>
      <c r="U28" s="252"/>
      <c r="V28" s="301"/>
    </row>
    <row r="29" spans="2:22" ht="15" customHeight="1">
      <c r="B29" s="248"/>
      <c r="C29" s="248"/>
      <c r="K29" s="2"/>
      <c r="L29" s="2"/>
      <c r="M29" s="2"/>
      <c r="N29" s="2"/>
      <c r="O29" s="2"/>
      <c r="P29" s="2"/>
      <c r="Q29" s="2"/>
      <c r="R29" s="2"/>
      <c r="S29" s="2"/>
      <c r="T29" s="2"/>
      <c r="U29" s="2"/>
      <c r="V29" s="2"/>
    </row>
    <row r="30" spans="2:22" ht="15" customHeight="1">
      <c r="B30" s="248"/>
      <c r="C30" s="248"/>
      <c r="K30" s="2"/>
      <c r="L30" s="2"/>
      <c r="M30" s="2"/>
      <c r="N30" s="2"/>
      <c r="O30" s="2"/>
      <c r="P30" s="2"/>
      <c r="Q30" s="2"/>
      <c r="R30" s="2"/>
      <c r="S30" s="2"/>
      <c r="T30" s="2"/>
      <c r="U30" s="2"/>
      <c r="V30" s="2"/>
    </row>
    <row r="31" spans="2:22" ht="15" customHeight="1">
      <c r="B31" s="248"/>
      <c r="C31" s="248"/>
      <c r="K31" s="2"/>
      <c r="L31" s="2"/>
      <c r="M31" s="2"/>
      <c r="N31" s="2"/>
      <c r="O31" s="2"/>
      <c r="P31" s="2"/>
      <c r="Q31" s="2"/>
      <c r="R31" s="2"/>
      <c r="S31" s="2"/>
      <c r="T31" s="2"/>
      <c r="U31" s="2"/>
      <c r="V31" s="2"/>
    </row>
    <row r="32" spans="2:22" ht="15" customHeight="1">
      <c r="B32" s="77"/>
      <c r="C32" s="77"/>
      <c r="K32" s="2"/>
      <c r="L32" s="2"/>
      <c r="M32" s="2"/>
      <c r="N32" s="2"/>
      <c r="O32" s="2"/>
      <c r="P32" s="2"/>
      <c r="Q32" s="2"/>
      <c r="R32" s="2"/>
      <c r="S32" s="2"/>
      <c r="T32" s="2"/>
      <c r="U32" s="2"/>
      <c r="V32" s="2"/>
    </row>
    <row r="33" spans="2:22" ht="15" customHeight="1">
      <c r="B33" s="217"/>
      <c r="C33" s="217"/>
      <c r="K33" s="2"/>
      <c r="L33" s="2"/>
      <c r="M33" s="2"/>
      <c r="N33" s="2"/>
      <c r="O33" s="2"/>
      <c r="P33" s="2"/>
      <c r="Q33" s="2"/>
      <c r="R33" s="2"/>
      <c r="S33" s="2"/>
      <c r="T33" s="2"/>
      <c r="U33" s="2"/>
      <c r="V33" s="2"/>
    </row>
    <row r="34" spans="2:22" ht="15" customHeight="1">
      <c r="B34" s="217"/>
      <c r="C34" s="217"/>
      <c r="K34" s="2"/>
      <c r="L34" s="2"/>
      <c r="M34" s="2"/>
      <c r="N34" s="2"/>
      <c r="O34" s="2"/>
      <c r="P34" s="2"/>
      <c r="Q34" s="2"/>
      <c r="R34" s="2"/>
      <c r="S34" s="2"/>
      <c r="T34" s="2"/>
      <c r="U34" s="2"/>
      <c r="V34" s="2"/>
    </row>
    <row r="35" spans="2:22" ht="15" customHeight="1">
      <c r="B35" s="217"/>
      <c r="C35" s="217"/>
      <c r="K35" s="2"/>
      <c r="L35" s="2"/>
      <c r="M35" s="2"/>
      <c r="N35" s="2"/>
      <c r="O35" s="2"/>
      <c r="P35" s="2"/>
      <c r="Q35" s="2"/>
      <c r="R35" s="2"/>
      <c r="S35" s="2"/>
      <c r="T35" s="2"/>
      <c r="U35" s="2"/>
      <c r="V35" s="2"/>
    </row>
    <row r="36" spans="2:22" ht="15" customHeight="1">
      <c r="B36" s="217"/>
      <c r="C36" s="217"/>
      <c r="K36" s="2"/>
      <c r="L36" s="2"/>
      <c r="M36" s="2"/>
      <c r="N36" s="2"/>
      <c r="O36" s="2"/>
      <c r="P36" s="2"/>
      <c r="Q36" s="2"/>
      <c r="R36" s="2"/>
      <c r="S36" s="2"/>
      <c r="T36" s="2"/>
      <c r="U36" s="2"/>
      <c r="V36" s="2"/>
    </row>
    <row r="37" spans="2:22" ht="15" customHeight="1">
      <c r="B37" s="217"/>
      <c r="C37" s="217"/>
      <c r="K37" s="2"/>
      <c r="L37" s="2"/>
      <c r="M37" s="2"/>
      <c r="N37" s="2"/>
      <c r="O37" s="2"/>
      <c r="P37" s="2"/>
      <c r="Q37" s="2"/>
      <c r="R37" s="2"/>
      <c r="S37" s="2"/>
      <c r="T37" s="2"/>
      <c r="U37" s="2"/>
      <c r="V37" s="2"/>
    </row>
    <row r="38" spans="2:22" ht="15" customHeight="1">
      <c r="B38" s="217"/>
      <c r="C38" s="217"/>
      <c r="K38" s="2"/>
      <c r="L38" s="2"/>
      <c r="M38" s="2"/>
      <c r="N38" s="2"/>
      <c r="O38" s="2"/>
      <c r="P38" s="2"/>
      <c r="Q38" s="2"/>
      <c r="R38" s="2"/>
      <c r="S38" s="2"/>
      <c r="T38" s="2"/>
      <c r="U38" s="2"/>
      <c r="V38" s="2"/>
    </row>
    <row r="39" spans="2:22" ht="15" customHeight="1">
      <c r="B39" s="217"/>
      <c r="C39" s="217"/>
      <c r="K39" s="2"/>
      <c r="L39" s="2"/>
      <c r="M39" s="2"/>
      <c r="N39" s="2"/>
      <c r="O39" s="2"/>
      <c r="P39" s="2"/>
      <c r="Q39" s="2"/>
      <c r="R39" s="2"/>
      <c r="S39" s="2"/>
      <c r="T39" s="2"/>
      <c r="U39" s="2"/>
      <c r="V39" s="2"/>
    </row>
    <row r="40" spans="2:22" ht="15" customHeight="1">
      <c r="B40" s="217"/>
      <c r="C40" s="217"/>
      <c r="K40" s="2"/>
      <c r="L40" s="2"/>
      <c r="M40" s="2"/>
      <c r="N40" s="2"/>
      <c r="O40" s="2"/>
      <c r="P40" s="2"/>
      <c r="Q40" s="2"/>
      <c r="R40" s="2"/>
      <c r="S40" s="2"/>
      <c r="T40" s="2"/>
      <c r="U40" s="2"/>
      <c r="V40" s="2"/>
    </row>
    <row r="41" spans="2:22" ht="15" customHeight="1">
      <c r="B41" s="217"/>
      <c r="C41" s="217"/>
      <c r="K41" s="2"/>
      <c r="L41" s="2"/>
      <c r="M41" s="2"/>
      <c r="N41" s="2"/>
      <c r="O41" s="2"/>
      <c r="P41" s="2"/>
      <c r="Q41" s="2"/>
      <c r="R41" s="2"/>
      <c r="S41" s="2"/>
      <c r="T41" s="2"/>
      <c r="U41" s="2"/>
      <c r="V41" s="2"/>
    </row>
    <row r="42" spans="2:22" ht="15" customHeight="1">
      <c r="B42" s="217"/>
      <c r="C42" s="217"/>
      <c r="K42" s="2"/>
      <c r="L42" s="2"/>
      <c r="M42" s="2"/>
      <c r="N42" s="2"/>
      <c r="O42" s="2"/>
      <c r="P42" s="2"/>
      <c r="Q42" s="2"/>
      <c r="R42" s="2"/>
      <c r="S42" s="2"/>
      <c r="T42" s="2"/>
      <c r="U42" s="2"/>
      <c r="V42" s="2"/>
    </row>
    <row r="43" spans="2:22" ht="15" customHeight="1">
      <c r="B43" s="217"/>
      <c r="C43" s="217"/>
      <c r="K43" s="2"/>
      <c r="L43" s="2"/>
      <c r="M43" s="2"/>
      <c r="N43" s="2"/>
      <c r="O43" s="2"/>
      <c r="P43" s="2"/>
      <c r="Q43" s="2"/>
      <c r="R43" s="2"/>
      <c r="S43" s="2"/>
      <c r="T43" s="2"/>
      <c r="U43" s="2"/>
      <c r="V43" s="2"/>
    </row>
    <row r="47" spans="2:22" ht="15" customHeight="1">
      <c r="B47" s="324" t="s">
        <v>426</v>
      </c>
      <c r="C47" s="324"/>
      <c r="D47" s="324"/>
      <c r="E47" s="324"/>
      <c r="F47" s="324"/>
      <c r="G47" s="324"/>
      <c r="H47" s="324"/>
      <c r="I47" s="324"/>
      <c r="K47" s="387" t="s">
        <v>473</v>
      </c>
      <c r="L47" s="387"/>
      <c r="M47" s="387"/>
      <c r="N47" s="387"/>
      <c r="O47" s="387"/>
      <c r="P47" s="387"/>
      <c r="Q47" s="387"/>
      <c r="R47" s="387"/>
      <c r="S47" s="387"/>
      <c r="T47" s="387"/>
      <c r="U47" s="252"/>
    </row>
    <row r="61" spans="2:9" ht="15" customHeight="1">
      <c r="B61" s="386" t="s">
        <v>438</v>
      </c>
      <c r="C61" s="386"/>
      <c r="D61" s="386"/>
      <c r="E61" s="386"/>
      <c r="F61" s="386"/>
      <c r="G61" s="386"/>
      <c r="H61" s="386"/>
      <c r="I61" s="386"/>
    </row>
  </sheetData>
  <mergeCells count="20">
    <mergeCell ref="K28:L28"/>
    <mergeCell ref="M28:N28"/>
    <mergeCell ref="O28:P28"/>
    <mergeCell ref="Q28:R28"/>
    <mergeCell ref="B61:I61"/>
    <mergeCell ref="B28:I28"/>
    <mergeCell ref="B10:I10"/>
    <mergeCell ref="O3:T3"/>
    <mergeCell ref="K10:L10"/>
    <mergeCell ref="M10:N10"/>
    <mergeCell ref="O10:P10"/>
    <mergeCell ref="Q10:R10"/>
    <mergeCell ref="S10:T10"/>
    <mergeCell ref="O4:T6"/>
    <mergeCell ref="S28:T28"/>
    <mergeCell ref="K47:L47"/>
    <mergeCell ref="M47:N47"/>
    <mergeCell ref="O47:P47"/>
    <mergeCell ref="Q47:R47"/>
    <mergeCell ref="S47:T4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47"/>
  <sheetViews>
    <sheetView showGridLines="0" topLeftCell="A7" workbookViewId="0">
      <selection activeCell="F5" sqref="F5"/>
    </sheetView>
  </sheetViews>
  <sheetFormatPr defaultRowHeight="18" customHeight="1"/>
  <cols>
    <col min="1" max="1" width="5.7109375" customWidth="1"/>
    <col min="2" max="2" width="9.85546875" customWidth="1"/>
    <col min="5" max="5" width="12.28515625" customWidth="1"/>
    <col min="10" max="10" width="7.28515625" customWidth="1"/>
    <col min="11" max="11" width="13" customWidth="1"/>
    <col min="15" max="15" width="11.5703125" customWidth="1"/>
  </cols>
  <sheetData>
    <row r="3" spans="2:22" ht="18" customHeight="1">
      <c r="B3" s="390" t="s">
        <v>423</v>
      </c>
      <c r="C3" s="391"/>
      <c r="E3" s="298" t="s">
        <v>28</v>
      </c>
      <c r="F3" s="101" t="s">
        <v>230</v>
      </c>
      <c r="G3" s="101" t="s">
        <v>231</v>
      </c>
      <c r="H3" s="101" t="s">
        <v>405</v>
      </c>
      <c r="K3" s="298" t="s">
        <v>28</v>
      </c>
      <c r="L3" s="101" t="s">
        <v>230</v>
      </c>
      <c r="M3" s="101" t="s">
        <v>231</v>
      </c>
      <c r="O3" s="390" t="s">
        <v>423</v>
      </c>
      <c r="P3" s="391"/>
      <c r="S3" s="101" t="s">
        <v>457</v>
      </c>
    </row>
    <row r="4" spans="2:22" ht="18" customHeight="1">
      <c r="B4" s="254" t="s">
        <v>424</v>
      </c>
      <c r="C4" s="299">
        <v>0.1</v>
      </c>
      <c r="E4" s="254" t="s">
        <v>408</v>
      </c>
      <c r="F4" s="299">
        <v>0.2</v>
      </c>
      <c r="G4" s="299">
        <v>0.2</v>
      </c>
      <c r="H4" s="299"/>
      <c r="K4" s="254" t="s">
        <v>411</v>
      </c>
      <c r="L4" s="300">
        <v>5</v>
      </c>
      <c r="M4" s="300">
        <v>9</v>
      </c>
      <c r="O4" s="254" t="s">
        <v>411</v>
      </c>
      <c r="P4" s="300">
        <v>4</v>
      </c>
      <c r="S4" s="299"/>
    </row>
    <row r="5" spans="2:22" ht="18" customHeight="1">
      <c r="B5" s="254" t="s">
        <v>133</v>
      </c>
      <c r="C5" s="299">
        <f>SUM('Screener Output.v0'!H35:M35)/SUM('Screener Output.v0'!H26:M26)</f>
        <v>0.18046018406600448</v>
      </c>
      <c r="E5" s="254" t="s">
        <v>409</v>
      </c>
      <c r="F5" s="299">
        <f>('Screener Output.v0'!M74/'Screener Output.v0'!C74)^(1/9)-1</f>
        <v>0.48056942889393328</v>
      </c>
      <c r="G5" s="299">
        <f>('Screener Output.v0'!M74/'Screener Output.v0'!G74)^(1/5)-1</f>
        <v>0.44697605700850551</v>
      </c>
      <c r="H5" s="299">
        <f>('Screener Output.v0'!M74/'Screener Output.v0'!N74)^(1/1)-1</f>
        <v>0.18613924737632903</v>
      </c>
      <c r="K5" s="254" t="s">
        <v>412</v>
      </c>
      <c r="L5" s="300">
        <f>IF(F5&gt;0.2,5,IF(AND(F5&gt;0.1,F5&lt;0.2),3,IF(AND(F5&gt;0.05,F5&lt;0.1),1,IF(AND(F5&gt;0,F5&lt;0.05),1,0))))</f>
        <v>5</v>
      </c>
      <c r="M5" s="300">
        <f>IF(G5&gt;0.2,9,IF(AND(G5&gt;0.1,G5&lt;0.2),7,IF(AND(G5&gt;0.05,G5&lt;0.1),3,IF(AND(G5&gt;0,G5&lt;0.05),1,0))))</f>
        <v>9</v>
      </c>
      <c r="O5" s="254" t="s">
        <v>412</v>
      </c>
      <c r="P5" s="300">
        <f>IF(C5&gt;0.1,4,IF(AND(C5&gt;0.08,C5&lt;0.1),3,IF(AND(C5&gt;0.05,C5&lt;0.08),2,IF(AND(C5&gt;0.03,C5&lt;0.05),1,0))))</f>
        <v>4</v>
      </c>
      <c r="S5" s="299">
        <f>'Screener Output.v0'!L193</f>
        <v>0.25360080066141588</v>
      </c>
    </row>
    <row r="6" spans="2:22" ht="18" customHeight="1">
      <c r="E6" s="255"/>
    </row>
    <row r="10" spans="2:22" ht="18" customHeight="1">
      <c r="B10" s="388" t="s">
        <v>400</v>
      </c>
      <c r="C10" s="388"/>
      <c r="D10" s="387"/>
      <c r="E10" s="387"/>
      <c r="F10" s="387"/>
      <c r="G10" s="387"/>
      <c r="H10" s="387"/>
      <c r="I10" s="387"/>
      <c r="J10" s="262"/>
      <c r="K10" s="387" t="s">
        <v>422</v>
      </c>
      <c r="L10" s="387"/>
      <c r="M10" s="387"/>
      <c r="N10" s="387"/>
      <c r="O10" s="387"/>
      <c r="P10" s="387"/>
      <c r="Q10" s="387"/>
      <c r="R10" s="387"/>
      <c r="S10" s="392"/>
      <c r="T10" s="392"/>
      <c r="U10" s="392"/>
      <c r="V10" s="392"/>
    </row>
    <row r="11" spans="2:22" ht="18" customHeight="1">
      <c r="H11" s="2"/>
      <c r="I11" s="2"/>
      <c r="J11" s="2"/>
      <c r="K11" s="2"/>
      <c r="L11" s="2"/>
      <c r="M11" s="2"/>
      <c r="N11" s="2"/>
      <c r="O11" s="2"/>
      <c r="P11" s="2"/>
      <c r="Q11" s="2"/>
      <c r="R11" s="2"/>
      <c r="S11" s="2"/>
      <c r="T11" s="2"/>
      <c r="U11" s="2"/>
      <c r="V11" s="2"/>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2:22" ht="18" customHeight="1">
      <c r="H17" s="2"/>
      <c r="I17" s="2"/>
      <c r="J17" s="2"/>
      <c r="K17" s="2"/>
      <c r="L17" s="2"/>
      <c r="M17" s="2"/>
      <c r="N17" s="2"/>
      <c r="O17" s="2"/>
      <c r="P17" s="2"/>
      <c r="Q17" s="2"/>
      <c r="R17" s="2"/>
      <c r="S17" s="2"/>
      <c r="T17" s="2"/>
      <c r="U17" s="2"/>
      <c r="V17" s="2"/>
    </row>
    <row r="18" spans="2:22" ht="18" customHeight="1">
      <c r="H18" s="2"/>
      <c r="I18" s="2"/>
      <c r="J18" s="2"/>
      <c r="K18" s="2"/>
      <c r="L18" s="2"/>
      <c r="M18" s="2"/>
      <c r="N18" s="2"/>
      <c r="O18" s="2"/>
      <c r="P18" s="2"/>
      <c r="Q18" s="2"/>
      <c r="R18" s="2"/>
      <c r="S18" s="2"/>
      <c r="T18" s="2"/>
      <c r="U18" s="2"/>
      <c r="V18" s="2"/>
    </row>
    <row r="19" spans="2:22" ht="18" customHeight="1">
      <c r="H19" s="2"/>
      <c r="I19" s="2"/>
      <c r="J19" s="2"/>
      <c r="K19" s="2"/>
      <c r="L19" s="2"/>
      <c r="M19" s="2"/>
      <c r="N19" s="2"/>
      <c r="O19" s="2"/>
      <c r="P19" s="2"/>
      <c r="Q19" s="2"/>
      <c r="R19" s="2"/>
      <c r="S19" s="2"/>
      <c r="T19" s="2"/>
      <c r="U19" s="2"/>
      <c r="V19" s="2"/>
    </row>
    <row r="20" spans="2:22" ht="18" customHeight="1">
      <c r="H20" s="2"/>
      <c r="I20" s="2"/>
      <c r="J20" s="2"/>
      <c r="K20" s="2"/>
      <c r="L20" s="2"/>
      <c r="M20" s="2"/>
      <c r="N20" s="2"/>
      <c r="O20" s="2"/>
      <c r="P20" s="2"/>
      <c r="Q20" s="2"/>
      <c r="R20" s="2"/>
      <c r="S20" s="2"/>
      <c r="T20" s="2"/>
      <c r="U20" s="2"/>
      <c r="V20" s="2"/>
    </row>
    <row r="21" spans="2:22" ht="18" customHeight="1">
      <c r="I21" s="2"/>
      <c r="J21" s="2"/>
      <c r="K21" s="2"/>
      <c r="L21" s="2"/>
      <c r="M21" s="2"/>
      <c r="N21" s="2"/>
      <c r="O21" s="2"/>
      <c r="P21" s="2"/>
      <c r="Q21" s="2"/>
      <c r="R21" s="2"/>
      <c r="S21" s="2"/>
      <c r="T21" s="2"/>
      <c r="U21" s="2"/>
      <c r="V21" s="2"/>
    </row>
    <row r="22" spans="2:22" ht="18" customHeight="1">
      <c r="I22" s="2"/>
      <c r="J22" s="2"/>
      <c r="K22" s="2"/>
      <c r="L22" s="2"/>
      <c r="M22" s="2"/>
      <c r="N22" s="2"/>
      <c r="O22" s="2"/>
      <c r="P22" s="2"/>
      <c r="Q22" s="2"/>
      <c r="R22" s="2"/>
      <c r="S22" s="2"/>
      <c r="T22" s="2"/>
      <c r="U22" s="2"/>
      <c r="V22" s="2"/>
    </row>
    <row r="23" spans="2:22" ht="18" customHeight="1">
      <c r="I23" s="2"/>
      <c r="J23" s="2"/>
      <c r="K23" s="2"/>
      <c r="L23" s="2"/>
      <c r="M23" s="2"/>
      <c r="N23" s="2"/>
      <c r="O23" s="2"/>
      <c r="P23" s="2"/>
      <c r="Q23" s="2"/>
      <c r="R23" s="2"/>
      <c r="S23" s="2"/>
      <c r="T23" s="2"/>
      <c r="U23" s="2"/>
      <c r="V23" s="2"/>
    </row>
    <row r="24" spans="2:22" ht="18" customHeight="1">
      <c r="I24" s="2"/>
      <c r="J24" s="2"/>
      <c r="K24" s="2"/>
      <c r="L24" s="2"/>
      <c r="M24" s="2"/>
      <c r="N24" s="2"/>
      <c r="O24" s="2"/>
      <c r="P24" s="2"/>
      <c r="Q24" s="2"/>
      <c r="R24" s="2"/>
      <c r="S24" s="2"/>
      <c r="T24" s="2"/>
      <c r="U24" s="2"/>
      <c r="V24" s="2"/>
    </row>
    <row r="25" spans="2:22" ht="18" customHeight="1">
      <c r="I25" s="2"/>
      <c r="J25" s="2"/>
      <c r="K25" s="2"/>
      <c r="L25" s="2"/>
      <c r="M25" s="2"/>
      <c r="N25" s="2"/>
      <c r="O25" s="2"/>
      <c r="P25" s="2"/>
      <c r="Q25" s="2"/>
      <c r="R25" s="2"/>
      <c r="S25" s="2"/>
      <c r="T25" s="2"/>
      <c r="U25" s="2"/>
      <c r="V25" s="2"/>
    </row>
    <row r="27" spans="2:22" ht="18" customHeight="1">
      <c r="K27" s="393" t="s">
        <v>458</v>
      </c>
      <c r="L27" s="393"/>
      <c r="M27" s="393"/>
      <c r="N27" s="393"/>
      <c r="O27" s="393"/>
      <c r="P27" s="393"/>
      <c r="Q27" s="393"/>
      <c r="R27" s="393"/>
    </row>
    <row r="28" spans="2:22" ht="18" customHeight="1">
      <c r="K28" s="393"/>
      <c r="L28" s="393"/>
      <c r="M28" s="393"/>
      <c r="N28" s="393"/>
      <c r="O28" s="393"/>
      <c r="P28" s="393"/>
      <c r="Q28" s="393"/>
      <c r="R28" s="393"/>
    </row>
    <row r="32" spans="2:22" ht="18" customHeight="1">
      <c r="B32" s="388" t="s">
        <v>418</v>
      </c>
      <c r="C32" s="388"/>
      <c r="D32" s="388"/>
      <c r="E32" s="388"/>
      <c r="F32" s="388"/>
      <c r="G32" s="388"/>
      <c r="H32" s="388"/>
      <c r="I32" s="388"/>
      <c r="J32" s="262"/>
      <c r="K32" s="252" t="s">
        <v>477</v>
      </c>
      <c r="L32" s="252"/>
      <c r="M32" s="252"/>
      <c r="N32" s="252"/>
      <c r="O32" s="252"/>
      <c r="P32" s="252"/>
      <c r="Q32" s="252"/>
      <c r="R32" s="252"/>
      <c r="S32" s="392"/>
      <c r="T32" s="392"/>
      <c r="U32" s="392"/>
      <c r="V32" s="392"/>
    </row>
    <row r="33" spans="2:22" ht="18" customHeight="1">
      <c r="I33" s="2"/>
      <c r="J33" s="2"/>
      <c r="K33" s="2"/>
      <c r="L33" s="2"/>
      <c r="M33" s="2"/>
      <c r="N33" s="2"/>
      <c r="O33" s="2"/>
      <c r="P33" s="2"/>
      <c r="Q33" s="2"/>
      <c r="R33" s="2"/>
      <c r="S33" s="2"/>
      <c r="T33" s="2"/>
      <c r="U33" s="2"/>
      <c r="V33" s="2"/>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B36" s="2"/>
      <c r="C36" s="2"/>
      <c r="D36" s="2"/>
      <c r="E36" s="2"/>
      <c r="F36" s="2"/>
      <c r="G36" s="2"/>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sheetData>
  <mergeCells count="16">
    <mergeCell ref="B3:C3"/>
    <mergeCell ref="O3:P3"/>
    <mergeCell ref="B32:I32"/>
    <mergeCell ref="U10:V10"/>
    <mergeCell ref="K10:L10"/>
    <mergeCell ref="M10:N10"/>
    <mergeCell ref="O10:P10"/>
    <mergeCell ref="Q10:R10"/>
    <mergeCell ref="S32:T32"/>
    <mergeCell ref="U32:V32"/>
    <mergeCell ref="B10:C10"/>
    <mergeCell ref="D10:E10"/>
    <mergeCell ref="S10:T10"/>
    <mergeCell ref="F10:G10"/>
    <mergeCell ref="H10:I10"/>
    <mergeCell ref="K27:R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workbookViewId="0">
      <selection activeCell="B11" sqref="B11:H11"/>
    </sheetView>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6"/>
      <c r="D2" s="101" t="s">
        <v>142</v>
      </c>
      <c r="J2" s="296"/>
      <c r="K2" s="101" t="s">
        <v>142</v>
      </c>
    </row>
    <row r="3" spans="2:29">
      <c r="C3" s="303" t="s">
        <v>424</v>
      </c>
      <c r="D3" s="310" t="s">
        <v>432</v>
      </c>
      <c r="J3" s="303" t="s">
        <v>411</v>
      </c>
      <c r="K3" s="296">
        <v>10</v>
      </c>
    </row>
    <row r="4" spans="2:29">
      <c r="C4" s="303" t="s">
        <v>133</v>
      </c>
      <c r="D4" s="304">
        <f>IF(Valuation_Table!A28=2, H10, SUM('Screener Output.v0'!L35:L35)/SUM('Screener Output.v0'!L60:L60))</f>
        <v>0.29533560832253447</v>
      </c>
      <c r="J4" s="303" t="s">
        <v>412</v>
      </c>
      <c r="K4" s="296">
        <f>IF(Valuation_Table!A28=2, (IF(D4&gt;0.2,10,IF(AND(D4&gt;0.1,D4&lt;0.2),7,IF(AND(D4&gt;0.05,D4&lt;0.1),3,IF(AND(D4&gt;0,D4&lt;0.05),1,0))))), (IF(D4&gt;0.02,10,IF(AND(D4&gt;0.01,D4&lt;0.02),7,IF(AND(D4&gt;0.005,D4&lt;0.01),3,IF(AND(D4&gt;0,D4&lt;0.005),1,0))))))</f>
        <v>10</v>
      </c>
    </row>
    <row r="5" spans="2:29" ht="8.25" customHeight="1"/>
    <row r="6" spans="2:29" ht="18" customHeight="1">
      <c r="B6" s="47"/>
      <c r="C6" s="48" t="s">
        <v>94</v>
      </c>
      <c r="D6" s="48" t="s">
        <v>93</v>
      </c>
      <c r="E6" s="48" t="s">
        <v>92</v>
      </c>
      <c r="F6" s="48" t="s">
        <v>91</v>
      </c>
      <c r="G6" s="48" t="s">
        <v>478</v>
      </c>
      <c r="H6" s="48" t="s">
        <v>479</v>
      </c>
      <c r="J6" s="218"/>
      <c r="K6" s="218" t="s">
        <v>231</v>
      </c>
      <c r="M6" s="387" t="s">
        <v>98</v>
      </c>
      <c r="N6" s="387"/>
      <c r="O6" s="387"/>
      <c r="P6" s="387"/>
      <c r="Q6" s="387"/>
      <c r="R6" s="387"/>
      <c r="S6" s="387"/>
      <c r="T6" s="387"/>
      <c r="V6" s="387"/>
      <c r="W6" s="387"/>
      <c r="X6" s="387"/>
      <c r="Y6" s="387"/>
      <c r="Z6" s="387"/>
      <c r="AA6" s="387"/>
      <c r="AB6" s="387"/>
      <c r="AC6" s="387"/>
    </row>
    <row r="7" spans="2:29">
      <c r="B7" s="49" t="s">
        <v>96</v>
      </c>
      <c r="C7" s="50">
        <f>SUM('Screener Output.v0'!H35:H35)/SUM('Screener Output.v0'!H26:H26)</f>
        <v>7.6897999941261203E-2</v>
      </c>
      <c r="D7" s="50">
        <f>SUM('Screener Output.v0'!I35:I35)/SUM('Screener Output.v0'!I26:I26)</f>
        <v>7.9723562423898359E-2</v>
      </c>
      <c r="E7" s="50">
        <f>SUM('Screener Output.v0'!J35:J35)/SUM('Screener Output.v0'!J26:J26)</f>
        <v>0.21665322201812273</v>
      </c>
      <c r="F7" s="50">
        <f>SUM('Screener Output.v0'!K35:K35)/SUM('Screener Output.v0'!K26:K26)</f>
        <v>0.24333177883685755</v>
      </c>
      <c r="G7" s="50">
        <f>SUM('Screener Output.v0'!L35:L35)/SUM('Screener Output.v0'!L26:L26)</f>
        <v>0.24294698470489545</v>
      </c>
      <c r="H7" s="50">
        <f>'Screener Output.v0'!M35/'Screener Output.v0'!M26</f>
        <v>0.2182732044654844</v>
      </c>
      <c r="J7" s="219" t="s">
        <v>359</v>
      </c>
      <c r="K7" s="220">
        <f>POWER('Screener Output.v0'!L35/'Screener Output.v0'!G35,1/5)-1</f>
        <v>0.35730771436288755</v>
      </c>
      <c r="M7" s="2"/>
      <c r="N7" s="2"/>
      <c r="V7" s="248"/>
      <c r="W7" s="248"/>
    </row>
    <row r="8" spans="2:29">
      <c r="B8" s="49" t="s">
        <v>55</v>
      </c>
      <c r="C8" s="51">
        <f>'Screener Output.v0'!H25/'Screener Output.v0'!H60</f>
        <v>1.2779394073991819</v>
      </c>
      <c r="D8" s="51">
        <f>'Screener Output.v0'!I25/'Screener Output.v0'!I60</f>
        <v>1.3633632800519098</v>
      </c>
      <c r="E8" s="51">
        <f>'Screener Output.v0'!J25/'Screener Output.v0'!J60</f>
        <v>1.3118595352423397</v>
      </c>
      <c r="F8" s="51">
        <f>'Screener Output.v0'!K25/'Screener Output.v0'!K60</f>
        <v>1.0609332879538951</v>
      </c>
      <c r="G8" s="51">
        <f>'Screener Output.v0'!L25/'Screener Output.v0'!L60</f>
        <v>0.99570661633791235</v>
      </c>
      <c r="H8" s="51">
        <f>'Screener Output.v0'!M26/'Screener Output.v0'!L60</f>
        <v>0.9968017068741295</v>
      </c>
      <c r="J8" s="219" t="s">
        <v>226</v>
      </c>
      <c r="K8" s="220">
        <f>POWER('Screener Output.v0'!L26/'Screener Output.v0'!G26,1/5)-1</f>
        <v>7.0067058795480364E-2</v>
      </c>
      <c r="M8" s="2"/>
      <c r="N8" s="2"/>
      <c r="V8" s="248"/>
      <c r="W8" s="248"/>
    </row>
    <row r="9" spans="2:29">
      <c r="B9" s="49" t="s">
        <v>97</v>
      </c>
      <c r="C9" s="51">
        <f>'Screener Output.v0'!H60/SUM('Screener Output.v0'!H40:H41)</f>
        <v>2.6288057915170624</v>
      </c>
      <c r="D9" s="51">
        <f>'Screener Output.v0'!I60/SUM('Screener Output.v0'!I40:I41)</f>
        <v>2.5789153609501319</v>
      </c>
      <c r="E9" s="51">
        <f>'Screener Output.v0'!J60/SUM('Screener Output.v0'!J40:J41)</f>
        <v>1.3562244565559569</v>
      </c>
      <c r="F9" s="51">
        <f>'Screener Output.v0'!K60/SUM('Screener Output.v0'!K40:K41)</f>
        <v>1.3137844780330288</v>
      </c>
      <c r="G9" s="51">
        <f>'Screener Output.v0'!L60/SUM('Screener Output.v0'!L40:L41)</f>
        <v>1.3573961567950248</v>
      </c>
      <c r="H9" s="51"/>
      <c r="J9" s="219" t="s">
        <v>329</v>
      </c>
      <c r="K9" s="220">
        <f>POWER('Screener Output.v0'!L60/'Screener Output.v0'!G60,1/5)-1</f>
        <v>0.16185900597398439</v>
      </c>
      <c r="M9" s="2"/>
      <c r="N9" s="2"/>
      <c r="V9" s="248"/>
      <c r="W9" s="248"/>
    </row>
    <row r="10" spans="2:29">
      <c r="B10" s="52" t="s">
        <v>35</v>
      </c>
      <c r="C10" s="337">
        <f t="shared" ref="C10" si="0">C7*C8*C9</f>
        <v>0.2583353331262726</v>
      </c>
      <c r="D10" s="337">
        <f>D7*D8*D9</f>
        <v>0.28030792633406593</v>
      </c>
      <c r="E10" s="337">
        <f>E7*E8*E9</f>
        <v>0.38546420974423534</v>
      </c>
      <c r="F10" s="337">
        <f>F7*F8*F9</f>
        <v>0.3391650035302069</v>
      </c>
      <c r="G10" s="337">
        <f>G7*G8*G9</f>
        <v>0.32835945144383033</v>
      </c>
      <c r="H10" s="53">
        <f>H7*H8*G9</f>
        <v>0.29533560832253447</v>
      </c>
      <c r="J10" s="219" t="s">
        <v>330</v>
      </c>
      <c r="K10" s="220">
        <f>POWER(SUM('Screener Output.v0'!L40:L41)/SUM('Screener Output.v0'!G40:G41),1/5)-1</f>
        <v>0.31990279962809964</v>
      </c>
      <c r="M10" s="2"/>
      <c r="N10" s="2"/>
      <c r="V10" s="248"/>
      <c r="W10" s="248"/>
    </row>
    <row r="11" spans="2:29">
      <c r="B11" s="52" t="s">
        <v>552</v>
      </c>
      <c r="C11" s="337">
        <f>'Screener Output.v0'!H93</f>
        <v>0.31632481349213792</v>
      </c>
      <c r="D11" s="337">
        <f>'Screener Output.v0'!I93</f>
        <v>0.38742220944596795</v>
      </c>
      <c r="E11" s="337">
        <f>'Screener Output.v0'!J93</f>
        <v>0.51106467954054502</v>
      </c>
      <c r="F11" s="337">
        <f>'Screener Output.v0'!K93</f>
        <v>0.44627738724408644</v>
      </c>
      <c r="G11" s="337">
        <f>'Screener Output.v0'!L93</f>
        <v>0.43438505704708724</v>
      </c>
      <c r="H11" s="53">
        <f>'Screener Output.v0'!M93</f>
        <v>0.42975333209857802</v>
      </c>
      <c r="M11" s="2"/>
      <c r="N11" s="2"/>
      <c r="V11" s="248"/>
      <c r="W11" s="248"/>
    </row>
    <row r="12" spans="2:29" ht="33.75" customHeight="1">
      <c r="B12" s="394" t="s">
        <v>99</v>
      </c>
      <c r="C12" s="394"/>
      <c r="D12" s="394"/>
      <c r="E12" s="394"/>
      <c r="F12" s="394"/>
      <c r="G12" s="394"/>
      <c r="H12" s="328"/>
      <c r="M12" s="2"/>
      <c r="N12" s="2"/>
      <c r="V12" s="248"/>
      <c r="W12" s="248"/>
    </row>
    <row r="13" spans="2:29">
      <c r="B13" s="46"/>
      <c r="M13" s="2"/>
      <c r="N13" s="2"/>
      <c r="V13" s="248"/>
      <c r="W13" s="248"/>
    </row>
    <row r="14" spans="2:29">
      <c r="B14" s="46" t="s">
        <v>102</v>
      </c>
      <c r="M14" s="2"/>
      <c r="N14" s="2"/>
      <c r="V14" s="248"/>
      <c r="W14" s="248"/>
    </row>
    <row r="15" spans="2:29">
      <c r="B15" s="46" t="s">
        <v>101</v>
      </c>
      <c r="M15" s="2"/>
      <c r="N15" s="2"/>
      <c r="V15" s="248"/>
      <c r="W15" s="248"/>
    </row>
    <row r="16" spans="2:29">
      <c r="B16" s="46" t="s">
        <v>100</v>
      </c>
      <c r="M16" s="2"/>
      <c r="N16" s="2"/>
      <c r="V16" s="248"/>
      <c r="W16" s="248"/>
    </row>
    <row r="17" spans="2:23">
      <c r="M17" s="2"/>
      <c r="N17" s="2"/>
      <c r="V17" s="248"/>
      <c r="W17" s="248"/>
    </row>
    <row r="18" spans="2:23">
      <c r="M18" s="2"/>
      <c r="N18" s="2"/>
      <c r="V18" s="248"/>
      <c r="W18" s="248"/>
    </row>
    <row r="19" spans="2:23">
      <c r="F19" s="401" t="s">
        <v>121</v>
      </c>
      <c r="G19" s="395">
        <f>'Screener Output.v0'!L35-'Screener Output.v0'!H35</f>
        <v>1654.3499999999988</v>
      </c>
      <c r="H19" s="329"/>
      <c r="J19" s="399">
        <f>G19/G21</f>
        <v>0.33257076690193621</v>
      </c>
      <c r="M19" s="2"/>
      <c r="N19" s="2"/>
      <c r="V19" s="248"/>
      <c r="W19" s="248"/>
    </row>
    <row r="20" spans="2:23" ht="15.75" thickBot="1">
      <c r="B20" s="76"/>
      <c r="F20" s="402"/>
      <c r="G20" s="395"/>
      <c r="H20" s="329"/>
      <c r="I20" s="398" t="s">
        <v>120</v>
      </c>
      <c r="J20" s="400"/>
      <c r="M20" s="2"/>
      <c r="N20" s="2"/>
      <c r="V20" s="248"/>
      <c r="W20" s="248"/>
    </row>
    <row r="21" spans="2:23" ht="15.75" thickTop="1">
      <c r="F21" s="403" t="s">
        <v>122</v>
      </c>
      <c r="G21" s="396">
        <f>'Screener Output.v0'!L41-'Screener Output.v0'!H41</f>
        <v>4974.43</v>
      </c>
      <c r="H21" s="330"/>
      <c r="I21" s="398"/>
      <c r="M21" s="2"/>
      <c r="N21" s="2"/>
      <c r="V21" s="248"/>
      <c r="W21" s="248"/>
    </row>
    <row r="22" spans="2:23">
      <c r="F22" s="403"/>
      <c r="G22" s="397"/>
      <c r="H22" s="330"/>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topLeftCell="A37" workbookViewId="0">
      <selection activeCell="N5" sqref="N5"/>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5" customWidth="1"/>
    <col min="7" max="7" width="15" style="255" bestFit="1" customWidth="1"/>
    <col min="8" max="8" width="13.5703125" style="255" bestFit="1" customWidth="1"/>
    <col min="9" max="9" width="9.140625" style="255"/>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79" customFormat="1" ht="18" customHeight="1">
      <c r="B3" s="298"/>
      <c r="C3" s="302" t="s">
        <v>429</v>
      </c>
      <c r="D3" s="302" t="s">
        <v>444</v>
      </c>
      <c r="E3" s="302" t="s">
        <v>431</v>
      </c>
      <c r="F3" s="302" t="s">
        <v>95</v>
      </c>
      <c r="G3" s="302" t="s">
        <v>460</v>
      </c>
      <c r="J3" s="308"/>
      <c r="K3" s="302" t="s">
        <v>429</v>
      </c>
      <c r="L3" s="302" t="s">
        <v>444</v>
      </c>
      <c r="M3" s="302" t="s">
        <v>431</v>
      </c>
      <c r="N3" s="302" t="s">
        <v>95</v>
      </c>
    </row>
    <row r="4" spans="2:17" s="279" customFormat="1" ht="18" customHeight="1">
      <c r="B4" s="303" t="s">
        <v>427</v>
      </c>
      <c r="C4" s="304" t="s">
        <v>160</v>
      </c>
      <c r="D4" s="304" t="s">
        <v>434</v>
      </c>
      <c r="E4" s="304" t="s">
        <v>430</v>
      </c>
      <c r="F4" s="304" t="s">
        <v>433</v>
      </c>
      <c r="G4" s="304"/>
      <c r="J4" s="303" t="s">
        <v>411</v>
      </c>
      <c r="K4" s="309">
        <v>3</v>
      </c>
      <c r="L4" s="186">
        <v>1</v>
      </c>
      <c r="M4" s="309">
        <v>4</v>
      </c>
      <c r="N4" s="309">
        <v>1</v>
      </c>
    </row>
    <row r="5" spans="2:17" s="279" customFormat="1" ht="18" customHeight="1">
      <c r="B5" s="303" t="s">
        <v>428</v>
      </c>
      <c r="C5" s="306">
        <f>SUM('Screener Output.v0'!L45:L45)/SUM('Screener Output.v0'!M35:M35)</f>
        <v>7.2650910544592842E-2</v>
      </c>
      <c r="D5" s="304">
        <f>SUM('Screener Output.v0'!L10:L10)/SUM('Screener Output.v0'!L9:L9)</f>
        <v>1.110412111808543</v>
      </c>
      <c r="E5" s="305">
        <f>SUM('Screener Output.v0'!H62:L62)/SUM('Screener Output.v0'!H35:L35)</f>
        <v>1.150406529285309</v>
      </c>
      <c r="F5" s="307">
        <f>'Screener Output.v0'!L62</f>
        <v>2482.25</v>
      </c>
      <c r="G5" s="307">
        <f>SUM('Screener Output.v0'!H63:L63)</f>
        <v>6214.67</v>
      </c>
      <c r="J5" s="303" t="s">
        <v>428</v>
      </c>
      <c r="K5" s="309">
        <f>IF(C5&lt;=3,3,IF((AND((C5&gt;3),(C5&lt;=5))),2,0))</f>
        <v>3</v>
      </c>
      <c r="L5" s="186">
        <f>IF(Efficiency!D5&gt;1.5,1,IF(AND(Efficiency!D5&gt;1.25,Efficiency!D5&lt;1.5),0.75,IF(AND(Efficiency!D5&gt;1,Efficiency!D5&lt;1.25),0.5,IF(AND(Efficiency!D5&gt;0.9,Efficiency!D5&lt;1),1,0))))</f>
        <v>0.5</v>
      </c>
      <c r="M5" s="309">
        <f>IF(E5&gt;1,4,IF(AND(E5&gt;0.75,E5&lt;1),2,IF(AND(E5&gt;0.5,E5&lt;0.75),1,IF(AND(E5&gt;0,E5&lt;0.5),1,0))))</f>
        <v>4</v>
      </c>
      <c r="N5" s="309">
        <f>IF(F5&gt;1.5,1,IF(AND(F5&gt;1.25,F5&lt;1.5),0.75,IF(AND(F5&gt;1,F5&lt;1.25),0.5,IF(AND(F5&gt;0.9,F5&lt;1),1,0))))</f>
        <v>1</v>
      </c>
    </row>
    <row r="6" spans="2:17" ht="18" customHeight="1">
      <c r="F6" s="268"/>
      <c r="G6" s="266"/>
      <c r="H6" s="266"/>
      <c r="I6" s="266"/>
      <c r="J6" s="267"/>
      <c r="K6" s="267"/>
      <c r="L6" s="267"/>
    </row>
    <row r="8" spans="2:17" ht="18" customHeight="1">
      <c r="B8" s="388" t="s">
        <v>429</v>
      </c>
      <c r="C8" s="388"/>
      <c r="D8" s="388"/>
      <c r="E8" s="388"/>
      <c r="F8" s="388"/>
      <c r="G8" s="388"/>
      <c r="H8" s="388"/>
      <c r="I8" s="301"/>
      <c r="J8" s="388" t="s">
        <v>450</v>
      </c>
      <c r="K8" s="388"/>
      <c r="L8" s="388"/>
      <c r="M8" s="388"/>
      <c r="N8" s="388"/>
      <c r="O8" s="388"/>
      <c r="P8" s="388"/>
      <c r="Q8" s="388"/>
    </row>
    <row r="21" spans="2:17" ht="8.25" customHeight="1"/>
    <row r="22" spans="2:17" ht="23.25" customHeight="1">
      <c r="J22" s="405" t="s">
        <v>461</v>
      </c>
      <c r="K22" s="405"/>
      <c r="L22" s="405"/>
      <c r="M22" s="405"/>
      <c r="N22" s="405"/>
      <c r="O22" s="405"/>
      <c r="P22" s="405"/>
      <c r="Q22" s="405"/>
    </row>
    <row r="24" spans="2:17" ht="18" customHeight="1">
      <c r="B24" s="388" t="s">
        <v>425</v>
      </c>
      <c r="C24" s="388"/>
      <c r="D24" s="388"/>
      <c r="E24" s="388"/>
      <c r="F24" s="388"/>
      <c r="G24" s="388"/>
      <c r="H24" s="388"/>
      <c r="J24" s="324" t="s">
        <v>451</v>
      </c>
      <c r="K24" s="324"/>
      <c r="L24" s="324"/>
      <c r="M24" s="324"/>
      <c r="N24" s="324"/>
      <c r="O24" s="324"/>
      <c r="P24" s="324"/>
      <c r="Q24" s="324"/>
    </row>
    <row r="35" spans="2:17" ht="9" customHeight="1"/>
    <row r="36" spans="2:17" ht="18" customHeight="1">
      <c r="J36" s="386" t="s">
        <v>467</v>
      </c>
      <c r="K36" s="386"/>
      <c r="L36" s="386"/>
      <c r="M36" s="386"/>
      <c r="N36" s="386"/>
      <c r="O36" s="386"/>
      <c r="P36" s="386"/>
      <c r="Q36" s="386"/>
    </row>
    <row r="38" spans="2:17" ht="18" customHeight="1">
      <c r="B38" s="388" t="s">
        <v>468</v>
      </c>
      <c r="C38" s="388"/>
      <c r="D38" s="388"/>
      <c r="E38" s="388"/>
      <c r="F38" s="388"/>
      <c r="G38" s="388"/>
      <c r="H38" s="388"/>
      <c r="I38"/>
      <c r="J38" s="388" t="s">
        <v>209</v>
      </c>
      <c r="K38" s="388"/>
      <c r="L38" s="388"/>
      <c r="M38" s="388"/>
      <c r="N38" s="388"/>
      <c r="O38" s="388"/>
      <c r="P38" s="388"/>
      <c r="Q38" s="388"/>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406" t="s">
        <v>443</v>
      </c>
      <c r="K52" s="406"/>
      <c r="L52" s="406"/>
      <c r="M52" s="406"/>
      <c r="N52" s="406"/>
      <c r="O52" s="406"/>
      <c r="P52" s="406"/>
      <c r="Q52" s="406"/>
    </row>
    <row r="53" spans="2:17" ht="18" customHeight="1">
      <c r="I53"/>
    </row>
    <row r="63" spans="2:17" ht="18" customHeight="1">
      <c r="B63" s="404"/>
      <c r="C63" s="404"/>
      <c r="D63" s="404"/>
      <c r="E63" s="404"/>
      <c r="F63" s="404"/>
      <c r="G63" s="404"/>
      <c r="J63" s="404"/>
      <c r="K63" s="404"/>
      <c r="L63" s="404"/>
      <c r="M63" s="404"/>
      <c r="N63" s="404"/>
      <c r="O63" s="404"/>
      <c r="P63" s="404"/>
      <c r="Q63" s="404"/>
    </row>
  </sheetData>
  <mergeCells count="10">
    <mergeCell ref="B63:G63"/>
    <mergeCell ref="B8:H8"/>
    <mergeCell ref="B24:H24"/>
    <mergeCell ref="J38:Q38"/>
    <mergeCell ref="J36:Q36"/>
    <mergeCell ref="J63:Q63"/>
    <mergeCell ref="J8:Q8"/>
    <mergeCell ref="J22:Q22"/>
    <mergeCell ref="B38:H38"/>
    <mergeCell ref="J52:Q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tabSelected="1" topLeftCell="A31" workbookViewId="0">
      <selection activeCell="F4" sqref="F4"/>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1" customFormat="1" ht="18" customHeight="1">
      <c r="D2" s="311"/>
      <c r="E2" s="302" t="s">
        <v>147</v>
      </c>
      <c r="F2" s="302" t="s">
        <v>158</v>
      </c>
      <c r="H2" s="272"/>
      <c r="I2" s="272"/>
      <c r="J2" s="272"/>
      <c r="K2" s="314"/>
      <c r="L2" s="302" t="s">
        <v>147</v>
      </c>
      <c r="M2" s="302" t="s">
        <v>158</v>
      </c>
      <c r="O2" s="272"/>
      <c r="P2" s="272"/>
      <c r="Q2" s="272"/>
      <c r="R2" s="272"/>
    </row>
    <row r="3" spans="2:18" s="271" customFormat="1" ht="18" customHeight="1">
      <c r="D3" s="269" t="s">
        <v>427</v>
      </c>
      <c r="E3" s="312">
        <v>0</v>
      </c>
      <c r="F3" s="311" t="s">
        <v>326</v>
      </c>
      <c r="H3" s="272"/>
      <c r="I3" s="272"/>
      <c r="J3" s="272"/>
      <c r="K3" s="270" t="s">
        <v>411</v>
      </c>
      <c r="L3" s="311">
        <v>6</v>
      </c>
      <c r="M3" s="311">
        <v>3</v>
      </c>
      <c r="O3" s="272"/>
      <c r="P3" s="272"/>
      <c r="Q3" s="272"/>
      <c r="R3" s="272"/>
    </row>
    <row r="4" spans="2:18" s="271" customFormat="1" ht="18" customHeight="1">
      <c r="D4" s="269" t="s">
        <v>428</v>
      </c>
      <c r="E4" s="312">
        <f>'Shareholding input'!C7</f>
        <v>0</v>
      </c>
      <c r="F4" s="313">
        <f>SUM('Shareholding input'!C6:C7)-SUM('Shareholding input'!H6:H7)</f>
        <v>-4.6099999999999919E-2</v>
      </c>
      <c r="H4" s="272"/>
      <c r="I4" s="272"/>
      <c r="J4" s="272"/>
      <c r="K4" s="270" t="s">
        <v>428</v>
      </c>
      <c r="L4" s="311">
        <f>IF(E4&gt;0,0,6)</f>
        <v>6</v>
      </c>
      <c r="M4" s="311">
        <f>IF(F4&gt;-0.03,3,IF(F4=0,2,0))</f>
        <v>0</v>
      </c>
      <c r="O4" s="272"/>
      <c r="P4" s="272"/>
      <c r="Q4" s="272"/>
      <c r="R4" s="272"/>
    </row>
    <row r="5" spans="2:18" ht="18" customHeight="1">
      <c r="D5" s="265"/>
      <c r="E5" s="265"/>
      <c r="F5" s="265"/>
      <c r="G5" s="265"/>
      <c r="H5" s="265"/>
      <c r="I5" s="265"/>
      <c r="J5" s="265"/>
      <c r="K5" s="265"/>
      <c r="L5" s="265"/>
      <c r="M5" s="265"/>
      <c r="N5" s="265"/>
      <c r="O5" s="265"/>
      <c r="P5" s="265"/>
      <c r="Q5" s="265"/>
      <c r="R5" s="265"/>
    </row>
    <row r="6" spans="2:18" ht="18" customHeight="1">
      <c r="B6" s="408" t="s">
        <v>453</v>
      </c>
      <c r="C6" s="409"/>
      <c r="D6" s="409"/>
      <c r="E6" s="409"/>
      <c r="F6" s="409"/>
      <c r="G6" s="409"/>
      <c r="I6" s="408" t="s">
        <v>474</v>
      </c>
      <c r="J6" s="408"/>
      <c r="K6" s="408"/>
      <c r="L6" s="408"/>
      <c r="M6" s="408"/>
      <c r="N6" s="408"/>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407" t="s">
        <v>440</v>
      </c>
      <c r="C19" s="407"/>
      <c r="D19" s="407"/>
      <c r="E19" s="407"/>
      <c r="F19" s="407"/>
      <c r="G19" s="407"/>
      <c r="H19" s="2"/>
    </row>
    <row r="20" spans="2:14" ht="18" customHeight="1">
      <c r="B20" s="2"/>
      <c r="C20" s="2"/>
      <c r="D20" s="2"/>
      <c r="E20" s="2"/>
      <c r="F20" s="2"/>
      <c r="G20" s="2"/>
      <c r="H20" s="2"/>
      <c r="I20" s="2"/>
      <c r="J20" s="2"/>
      <c r="K20" s="2"/>
      <c r="L20" s="2"/>
    </row>
    <row r="21" spans="2:14" ht="18" customHeight="1">
      <c r="B21" s="388" t="s">
        <v>465</v>
      </c>
      <c r="C21" s="388"/>
      <c r="D21" s="387"/>
      <c r="E21" s="387"/>
      <c r="F21" s="252"/>
      <c r="G21" s="301"/>
      <c r="I21" s="388" t="s">
        <v>464</v>
      </c>
      <c r="J21" s="388"/>
      <c r="K21" s="387"/>
      <c r="L21" s="387"/>
      <c r="M21" s="387"/>
      <c r="N21" s="387"/>
    </row>
    <row r="34" spans="2:8" ht="5.25" customHeight="1"/>
    <row r="35" spans="2:8" ht="33.75" customHeight="1">
      <c r="H35" s="315"/>
    </row>
    <row r="36" spans="2:8" ht="18" customHeight="1">
      <c r="B36" s="388" t="s">
        <v>454</v>
      </c>
      <c r="C36" s="388"/>
      <c r="D36" s="387"/>
      <c r="E36" s="387"/>
      <c r="F36" s="387"/>
      <c r="G36" s="387"/>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2" t="s">
        <v>452</v>
      </c>
      <c r="C51" s="252"/>
      <c r="D51" s="252"/>
      <c r="E51" s="252"/>
      <c r="F51" s="252"/>
    </row>
    <row r="64" spans="2:7" ht="28.5" customHeight="1">
      <c r="B64" s="407" t="s">
        <v>439</v>
      </c>
      <c r="C64" s="407"/>
      <c r="D64" s="407"/>
      <c r="E64" s="407"/>
      <c r="F64" s="407"/>
      <c r="G64" s="407"/>
    </row>
  </sheetData>
  <mergeCells count="12">
    <mergeCell ref="M21:N21"/>
    <mergeCell ref="B21:C21"/>
    <mergeCell ref="D21:E21"/>
    <mergeCell ref="I6:N6"/>
    <mergeCell ref="B36:C36"/>
    <mergeCell ref="D36:E36"/>
    <mergeCell ref="F36:G36"/>
    <mergeCell ref="B64:G64"/>
    <mergeCell ref="B19:G19"/>
    <mergeCell ref="B6:G6"/>
    <mergeCell ref="I21:J21"/>
    <mergeCell ref="K21:L21"/>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vt:lpstr>
      <vt:lpstr>Shareholding input</vt:lpstr>
      <vt:lpstr>Annual Report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2018-09-29T06:28:06Z</dcterms:modified>
</cp:coreProperties>
</file>