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Sheet10" sheetId="1" r:id="rId1"/>
  </sheets>
  <calcPr calcId="145621"/>
</workbook>
</file>

<file path=xl/calcChain.xml><?xml version="1.0" encoding="utf-8"?>
<calcChain xmlns="http://schemas.openxmlformats.org/spreadsheetml/2006/main">
  <c r="AL73" i="1" l="1"/>
  <c r="AK73" i="1"/>
  <c r="AJ73" i="1"/>
  <c r="AI73" i="1"/>
  <c r="AH73" i="1"/>
  <c r="AG73" i="1"/>
  <c r="AL72" i="1"/>
  <c r="AK72" i="1"/>
  <c r="AJ72" i="1"/>
  <c r="AI72" i="1"/>
  <c r="AH72" i="1"/>
  <c r="AG72" i="1"/>
  <c r="AK71" i="1"/>
  <c r="AJ71" i="1"/>
  <c r="AI71" i="1"/>
  <c r="AH71" i="1"/>
  <c r="AG71" i="1"/>
  <c r="AL66" i="1"/>
  <c r="AK66" i="1"/>
  <c r="AJ66" i="1"/>
  <c r="AI66" i="1"/>
  <c r="AH66" i="1"/>
  <c r="AG66" i="1"/>
  <c r="AL65" i="1"/>
  <c r="AK65" i="1"/>
  <c r="AJ65" i="1"/>
  <c r="AI65" i="1"/>
  <c r="AH65" i="1"/>
  <c r="AG65" i="1"/>
  <c r="AK64" i="1"/>
  <c r="AJ64" i="1"/>
  <c r="AI64" i="1"/>
  <c r="AH64" i="1"/>
  <c r="AG64" i="1"/>
  <c r="AC61" i="1"/>
  <c r="AC63" i="1" s="1"/>
  <c r="Z61" i="1"/>
  <c r="Y61" i="1"/>
  <c r="Y63" i="1" s="1"/>
  <c r="AL60" i="1"/>
  <c r="AK60" i="1"/>
  <c r="AJ60" i="1"/>
  <c r="AI60" i="1"/>
  <c r="AH60" i="1"/>
  <c r="AG60" i="1"/>
  <c r="AL59" i="1"/>
  <c r="AK59" i="1"/>
  <c r="AJ59" i="1"/>
  <c r="AI59" i="1"/>
  <c r="AH59" i="1"/>
  <c r="AG59" i="1"/>
  <c r="AC58" i="1"/>
  <c r="AC62" i="1" s="1"/>
  <c r="AB58" i="1"/>
  <c r="AB61" i="1" s="1"/>
  <c r="AA58" i="1"/>
  <c r="AA62" i="1" s="1"/>
  <c r="Z58" i="1"/>
  <c r="Z62" i="1" s="1"/>
  <c r="Y58" i="1"/>
  <c r="Y62" i="1" s="1"/>
  <c r="AD56" i="1"/>
  <c r="AD58" i="1" s="1"/>
  <c r="AD62" i="1" s="1"/>
  <c r="AS54" i="1"/>
  <c r="AO54" i="1"/>
  <c r="AD51" i="1"/>
  <c r="AA51" i="1"/>
  <c r="Z51" i="1"/>
  <c r="Z50" i="1"/>
  <c r="Z52" i="1" s="1"/>
  <c r="AD49" i="1"/>
  <c r="AD48" i="1"/>
  <c r="AC48" i="1"/>
  <c r="AC50" i="1" s="1"/>
  <c r="Z48" i="1"/>
  <c r="Y48" i="1"/>
  <c r="Y50" i="1" s="1"/>
  <c r="AD45" i="1"/>
  <c r="AK43" i="1" s="1"/>
  <c r="AC45" i="1"/>
  <c r="AB45" i="1"/>
  <c r="AB48" i="1" s="1"/>
  <c r="AB50" i="1" s="1"/>
  <c r="AA45" i="1"/>
  <c r="AH43" i="1" s="1"/>
  <c r="Z45" i="1"/>
  <c r="AG43" i="1" s="1"/>
  <c r="Y45" i="1"/>
  <c r="AK44" i="1"/>
  <c r="AJ44" i="1"/>
  <c r="AG44" i="1"/>
  <c r="AF44" i="1"/>
  <c r="AJ43" i="1"/>
  <c r="AI43" i="1"/>
  <c r="AF43" i="1"/>
  <c r="P43" i="1"/>
  <c r="AK42" i="1"/>
  <c r="AJ42" i="1"/>
  <c r="AI42" i="1"/>
  <c r="AH42" i="1"/>
  <c r="AG42" i="1"/>
  <c r="AF42" i="1"/>
  <c r="AD40" i="1"/>
  <c r="AL67" i="1" s="1"/>
  <c r="AC40" i="1"/>
  <c r="AJ34" i="1" s="1"/>
  <c r="AB40" i="1"/>
  <c r="AJ74" i="1" s="1"/>
  <c r="AA40" i="1"/>
  <c r="AI74" i="1" s="1"/>
  <c r="Z40" i="1"/>
  <c r="AH74" i="1" s="1"/>
  <c r="Y40" i="1"/>
  <c r="AF34" i="1" s="1"/>
  <c r="P40" i="1"/>
  <c r="Q38" i="1"/>
  <c r="AD37" i="1"/>
  <c r="AL71" i="1" s="1"/>
  <c r="AK36" i="1"/>
  <c r="AJ36" i="1"/>
  <c r="AI36" i="1"/>
  <c r="AH36" i="1"/>
  <c r="AG36" i="1"/>
  <c r="AF36" i="1"/>
  <c r="AK35" i="1"/>
  <c r="AJ35" i="1"/>
  <c r="AI35" i="1"/>
  <c r="AH35" i="1"/>
  <c r="AG35" i="1"/>
  <c r="AF35" i="1"/>
  <c r="H35" i="1"/>
  <c r="AK34" i="1"/>
  <c r="AI34" i="1"/>
  <c r="AH34" i="1"/>
  <c r="AG34" i="1"/>
  <c r="H34" i="1"/>
  <c r="P33" i="1"/>
  <c r="P36" i="1" s="1"/>
  <c r="AD32" i="1"/>
  <c r="AC32" i="1"/>
  <c r="AB32" i="1"/>
  <c r="AB34" i="1" s="1"/>
  <c r="AA32" i="1"/>
  <c r="Z32" i="1"/>
  <c r="Y32" i="1"/>
  <c r="I32" i="1"/>
  <c r="H32" i="1"/>
  <c r="H36" i="1" s="1"/>
  <c r="AD27" i="1"/>
  <c r="AC27" i="1"/>
  <c r="AC51" i="1" s="1"/>
  <c r="AB27" i="1"/>
  <c r="AB51" i="1" s="1"/>
  <c r="AA27" i="1"/>
  <c r="AA34" i="1" s="1"/>
  <c r="Z27" i="1"/>
  <c r="Y27" i="1"/>
  <c r="Y51" i="1" s="1"/>
  <c r="AI26" i="1"/>
  <c r="AH26" i="1"/>
  <c r="Q26" i="1"/>
  <c r="AI25" i="1"/>
  <c r="AH25" i="1"/>
  <c r="I25" i="1"/>
  <c r="AI24" i="1"/>
  <c r="AH24" i="1"/>
  <c r="Q23" i="1"/>
  <c r="H23" i="1"/>
  <c r="R22" i="1"/>
  <c r="R23" i="1" s="1"/>
  <c r="Q22" i="1"/>
  <c r="I22" i="1"/>
  <c r="H22" i="1"/>
  <c r="R20" i="1"/>
  <c r="Q20" i="1"/>
  <c r="I20" i="1"/>
  <c r="I24" i="1" s="1"/>
  <c r="H20" i="1"/>
  <c r="H25" i="1" s="1"/>
  <c r="M19" i="1"/>
  <c r="M21" i="1" s="1"/>
  <c r="M22" i="1" s="1"/>
  <c r="J12" i="1"/>
  <c r="I12" i="1"/>
  <c r="H12" i="1"/>
  <c r="J8" i="1"/>
  <c r="I8" i="1"/>
  <c r="H8" i="1"/>
  <c r="J2" i="1"/>
  <c r="H2" i="1"/>
  <c r="AJ48" i="1" l="1"/>
  <c r="AJ52" i="1"/>
  <c r="AJ51" i="1"/>
  <c r="AJ50" i="1"/>
  <c r="AJ53" i="1"/>
  <c r="AB35" i="1"/>
  <c r="AJ49" i="1"/>
  <c r="AC52" i="1"/>
  <c r="Z63" i="1"/>
  <c r="N22" i="1"/>
  <c r="M23" i="1" s="1"/>
  <c r="M24" i="1" s="1"/>
  <c r="M25" i="1" s="1"/>
  <c r="M27" i="1" s="1"/>
  <c r="M28" i="1" s="1"/>
  <c r="AI52" i="1"/>
  <c r="AI51" i="1"/>
  <c r="AI50" i="1"/>
  <c r="AI49" i="1"/>
  <c r="AI53" i="1"/>
  <c r="AI48" i="1"/>
  <c r="AA35" i="1"/>
  <c r="Y52" i="1"/>
  <c r="AB52" i="1"/>
  <c r="AD50" i="1"/>
  <c r="AD52" i="1" s="1"/>
  <c r="AG67" i="1"/>
  <c r="AK67" i="1"/>
  <c r="AK74" i="1"/>
  <c r="AF26" i="1"/>
  <c r="Y34" i="1"/>
  <c r="AH44" i="1"/>
  <c r="AD61" i="1"/>
  <c r="AD63" i="1" s="1"/>
  <c r="AH67" i="1"/>
  <c r="AL74" i="1"/>
  <c r="I23" i="1"/>
  <c r="H24" i="1"/>
  <c r="AG24" i="1"/>
  <c r="AK24" i="1"/>
  <c r="AF25" i="1"/>
  <c r="AJ25" i="1"/>
  <c r="AG26" i="1"/>
  <c r="AK26" i="1"/>
  <c r="Z34" i="1"/>
  <c r="AD34" i="1"/>
  <c r="P37" i="1"/>
  <c r="P38" i="1" s="1"/>
  <c r="AI44" i="1"/>
  <c r="AA48" i="1"/>
  <c r="AA50" i="1" s="1"/>
  <c r="AA52" i="1" s="1"/>
  <c r="AA61" i="1"/>
  <c r="AA63" i="1" s="1"/>
  <c r="AI67" i="1"/>
  <c r="AG74" i="1"/>
  <c r="AF24" i="1"/>
  <c r="AJ24" i="1"/>
  <c r="AJ26" i="1"/>
  <c r="AC34" i="1"/>
  <c r="AB62" i="1"/>
  <c r="AB63" i="1" s="1"/>
  <c r="AG25" i="1"/>
  <c r="AK25" i="1"/>
  <c r="AL64" i="1"/>
  <c r="AJ67" i="1"/>
  <c r="P45" i="1" l="1"/>
  <c r="R38" i="1"/>
  <c r="AK53" i="1"/>
  <c r="AK52" i="1"/>
  <c r="AK50" i="1"/>
  <c r="AK49" i="1"/>
  <c r="AK48" i="1"/>
  <c r="AK51" i="1"/>
  <c r="AL48" i="1"/>
  <c r="AL52" i="1"/>
  <c r="AL51" i="1"/>
  <c r="AL50" i="1"/>
  <c r="AL49" i="1"/>
  <c r="AD35" i="1"/>
  <c r="AJ54" i="1"/>
  <c r="AH48" i="1"/>
  <c r="AH53" i="1"/>
  <c r="AH52" i="1"/>
  <c r="AH51" i="1"/>
  <c r="AH50" i="1"/>
  <c r="AH49" i="1"/>
  <c r="AL53" i="1"/>
  <c r="AI54" i="1"/>
  <c r="Z35" i="1"/>
  <c r="AC35" i="1"/>
  <c r="AG53" i="1"/>
  <c r="AG51" i="1"/>
  <c r="AG50" i="1"/>
  <c r="AG48" i="1"/>
  <c r="AG54" i="1" s="1"/>
  <c r="AG52" i="1"/>
  <c r="AG49" i="1"/>
  <c r="Y35" i="1"/>
  <c r="AL54" i="1" l="1"/>
  <c r="AH54" i="1"/>
  <c r="AK54" i="1"/>
</calcChain>
</file>

<file path=xl/sharedStrings.xml><?xml version="1.0" encoding="utf-8"?>
<sst xmlns="http://schemas.openxmlformats.org/spreadsheetml/2006/main" count="97" uniqueCount="47">
  <si>
    <t>Mirza</t>
  </si>
  <si>
    <t>Bata</t>
  </si>
  <si>
    <t>Relaxo</t>
  </si>
  <si>
    <t>Capital Available for deployment</t>
  </si>
  <si>
    <t xml:space="preserve">* Capital Available = Equity + LTB + STB </t>
  </si>
  <si>
    <t>Domestic &amp;Branded Sales</t>
  </si>
  <si>
    <t>Export Sales</t>
  </si>
  <si>
    <t>Leather</t>
  </si>
  <si>
    <t>Unallocated</t>
  </si>
  <si>
    <t>NOPAT</t>
  </si>
  <si>
    <t>Equity + LTB + STB</t>
  </si>
  <si>
    <t>Share in Assets</t>
  </si>
  <si>
    <t>Division</t>
  </si>
  <si>
    <t>Tannery</t>
  </si>
  <si>
    <t>Shoe</t>
  </si>
  <si>
    <t>Total Assets</t>
  </si>
  <si>
    <t>Interest</t>
  </si>
  <si>
    <t>Depreciation</t>
  </si>
  <si>
    <t>Total Liabilities</t>
  </si>
  <si>
    <t>Share in Revenue</t>
  </si>
  <si>
    <t>Net Worth</t>
  </si>
  <si>
    <t>Balance sheet leverage</t>
  </si>
  <si>
    <t>Total Revenue</t>
  </si>
  <si>
    <t>Share in profit</t>
  </si>
  <si>
    <t>PBIT</t>
  </si>
  <si>
    <t>Unallocable exp</t>
  </si>
  <si>
    <t>Item to NW ratio</t>
  </si>
  <si>
    <t>PBT</t>
  </si>
  <si>
    <t>A -Tannery PBIT</t>
  </si>
  <si>
    <t>Tax</t>
  </si>
  <si>
    <t>B -Shoe PBIT</t>
  </si>
  <si>
    <t>Item</t>
  </si>
  <si>
    <t>PAT</t>
  </si>
  <si>
    <t>C -Unallocated PBIT</t>
  </si>
  <si>
    <t>D -Interest</t>
  </si>
  <si>
    <t>RONW</t>
  </si>
  <si>
    <t>E -Unallocable exp</t>
  </si>
  <si>
    <t>F -Tax</t>
  </si>
  <si>
    <t>(A+B+C+D+E+F) RONW</t>
  </si>
  <si>
    <t>Revenue by Geography</t>
  </si>
  <si>
    <t>International</t>
  </si>
  <si>
    <t>Domestic</t>
  </si>
  <si>
    <t>Margins ( before interest, tax, corporate hq exp )</t>
  </si>
  <si>
    <t>Asset turnover ( before interest, tax, corporate hq exp )</t>
  </si>
  <si>
    <t>Total</t>
  </si>
  <si>
    <t>Unallocated segments</t>
  </si>
  <si>
    <t>Combined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</si>
</sst>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9" fontId="0" fillId="0" borderId="0" xfId="1" applyFont="1"/>
    <xf numFmtId="9" fontId="0" fillId="0" borderId="0" xfId="1" applyNumberFormat="1" applyFo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" xfId="0" applyBorder="1" applyAlignment="1">
      <alignment horizontal="left" indent="1"/>
    </xf>
    <xf numFmtId="164" fontId="0" fillId="0" borderId="1" xfId="1" applyNumberFormat="1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164" fontId="0" fillId="0" borderId="0" xfId="1" applyNumberFormat="1" applyFont="1" applyAlignment="1">
      <alignment horizontal="center"/>
    </xf>
    <xf numFmtId="164" fontId="2" fillId="0" borderId="1" xfId="1" applyNumberFormat="1" applyFont="1" applyBorder="1" applyAlignment="1">
      <alignment horizontal="left" indent="1"/>
    </xf>
    <xf numFmtId="164" fontId="1" fillId="0" borderId="1" xfId="1" applyNumberFormat="1" applyFont="1" applyBorder="1" applyAlignment="1">
      <alignment horizontal="center"/>
    </xf>
    <xf numFmtId="165" fontId="0" fillId="0" borderId="0" xfId="0" applyNumberFormat="1" applyAlignment="1">
      <alignment horizontal="center"/>
    </xf>
    <xf numFmtId="10" fontId="0" fillId="0" borderId="1" xfId="1" applyNumberFormat="1" applyFont="1" applyBorder="1" applyAlignment="1">
      <alignment horizontal="center"/>
    </xf>
    <xf numFmtId="164" fontId="0" fillId="0" borderId="0" xfId="1" applyNumberFormat="1" applyFont="1"/>
    <xf numFmtId="10" fontId="0" fillId="0" borderId="0" xfId="1" applyNumberFormat="1" applyFont="1"/>
    <xf numFmtId="0" fontId="0" fillId="0" borderId="0" xfId="0" applyAlignment="1">
      <alignment horizontal="left" indent="1"/>
    </xf>
    <xf numFmtId="0" fontId="2" fillId="0" borderId="0" xfId="0" applyFont="1" applyAlignment="1">
      <alignment horizontal="left" indent="1"/>
    </xf>
    <xf numFmtId="0" fontId="0" fillId="0" borderId="1" xfId="0" applyBorder="1"/>
    <xf numFmtId="0" fontId="2" fillId="0" borderId="1" xfId="0" applyFont="1" applyBorder="1" applyAlignment="1">
      <alignment horizontal="left" indent="2"/>
    </xf>
    <xf numFmtId="0" fontId="0" fillId="0" borderId="1" xfId="0" applyBorder="1" applyAlignment="1">
      <alignment horizontal="left" indent="2"/>
    </xf>
    <xf numFmtId="9" fontId="0" fillId="0" borderId="1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" fontId="2" fillId="0" borderId="0" xfId="0" applyNumberFormat="1" applyFont="1" applyAlignment="1">
      <alignment horizontal="left" indent="1"/>
    </xf>
    <xf numFmtId="0" fontId="0" fillId="0" borderId="1" xfId="0" applyFont="1" applyBorder="1" applyAlignment="1">
      <alignment horizontal="left" indent="2"/>
    </xf>
    <xf numFmtId="164" fontId="0" fillId="0" borderId="0" xfId="1" applyNumberFormat="1" applyFont="1" applyAlignment="1">
      <alignment horizontal="left" indent="1"/>
    </xf>
    <xf numFmtId="9" fontId="0" fillId="0" borderId="1" xfId="1" applyFont="1" applyBorder="1" applyAlignment="1">
      <alignment horizontal="center"/>
    </xf>
    <xf numFmtId="9" fontId="0" fillId="2" borderId="1" xfId="1" applyFont="1" applyFill="1" applyBorder="1" applyAlignment="1">
      <alignment horizontal="center"/>
    </xf>
    <xf numFmtId="9" fontId="0" fillId="4" borderId="1" xfId="1" applyFon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2" fillId="0" borderId="1" xfId="0" applyNumberFormat="1" applyFont="1" applyBorder="1" applyAlignment="1">
      <alignment horizontal="left" indent="2"/>
    </xf>
    <xf numFmtId="10" fontId="0" fillId="2" borderId="0" xfId="0" applyNumberFormat="1" applyFill="1"/>
    <xf numFmtId="0" fontId="2" fillId="0" borderId="1" xfId="0" applyFont="1" applyBorder="1" applyAlignment="1">
      <alignment horizontal="left" indent="1"/>
    </xf>
    <xf numFmtId="9" fontId="2" fillId="0" borderId="0" xfId="1" applyFont="1" applyAlignment="1">
      <alignment horizontal="center"/>
    </xf>
    <xf numFmtId="164" fontId="0" fillId="0" borderId="0" xfId="0" applyNumberForma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" fontId="2" fillId="0" borderId="1" xfId="0" applyNumberFormat="1" applyFont="1" applyBorder="1" applyAlignment="1">
      <alignment horizontal="center"/>
    </xf>
    <xf numFmtId="9" fontId="0" fillId="0" borderId="0" xfId="1" applyFont="1" applyAlignment="1">
      <alignment horizontal="center"/>
    </xf>
    <xf numFmtId="9" fontId="2" fillId="0" borderId="1" xfId="1" applyNumberFormat="1" applyFont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9" fontId="2" fillId="0" borderId="1" xfId="1" applyNumberFormat="1" applyFont="1" applyBorder="1" applyAlignment="1">
      <alignment horizontal="left" indent="1"/>
    </xf>
    <xf numFmtId="9" fontId="0" fillId="0" borderId="1" xfId="0" applyNumberFormat="1" applyBorder="1" applyAlignment="1">
      <alignment horizontal="left" indent="1"/>
    </xf>
    <xf numFmtId="2" fontId="0" fillId="0" borderId="1" xfId="0" applyNumberFormat="1" applyBorder="1" applyAlignment="1">
      <alignment horizontal="center"/>
    </xf>
    <xf numFmtId="2" fontId="2" fillId="0" borderId="1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T74"/>
  <sheetViews>
    <sheetView tabSelected="1" topLeftCell="X52" workbookViewId="0">
      <selection activeCell="AL76" sqref="AL76"/>
    </sheetView>
  </sheetViews>
  <sheetFormatPr defaultRowHeight="15" x14ac:dyDescent="0.25"/>
  <cols>
    <col min="7" max="7" width="35.85546875" bestFit="1" customWidth="1"/>
    <col min="16" max="16" width="16.5703125" bestFit="1" customWidth="1"/>
    <col min="24" max="24" width="23.28515625" bestFit="1" customWidth="1"/>
    <col min="25" max="25" width="11.140625" bestFit="1" customWidth="1"/>
    <col min="31" max="31" width="12.85546875" bestFit="1" customWidth="1"/>
    <col min="32" max="32" width="23.7109375" bestFit="1" customWidth="1"/>
    <col min="33" max="33" width="10.140625" bestFit="1" customWidth="1"/>
    <col min="34" max="34" width="10.42578125" bestFit="1" customWidth="1"/>
    <col min="35" max="38" width="10.140625" bestFit="1" customWidth="1"/>
  </cols>
  <sheetData>
    <row r="1" spans="2:30" x14ac:dyDescent="0.25">
      <c r="B1" s="1"/>
      <c r="C1" s="1"/>
      <c r="D1" s="1"/>
      <c r="E1" s="1"/>
      <c r="F1" s="1"/>
      <c r="G1" s="2">
        <v>2018</v>
      </c>
      <c r="H1" s="2" t="s">
        <v>0</v>
      </c>
      <c r="I1" s="2" t="s">
        <v>1</v>
      </c>
      <c r="J1" s="2" t="s">
        <v>2</v>
      </c>
    </row>
    <row r="2" spans="2:30" x14ac:dyDescent="0.25">
      <c r="G2" s="3" t="s">
        <v>3</v>
      </c>
      <c r="H2" s="3">
        <f>571.8+16.03+253.52</f>
        <v>841.34999999999991</v>
      </c>
      <c r="I2" s="3">
        <v>1474.69</v>
      </c>
      <c r="J2" s="3">
        <f>761.21+86.09+39.26</f>
        <v>886.56000000000006</v>
      </c>
    </row>
    <row r="4" spans="2:30" x14ac:dyDescent="0.25">
      <c r="G4" t="s">
        <v>4</v>
      </c>
    </row>
    <row r="6" spans="2:30" x14ac:dyDescent="0.25">
      <c r="G6" s="1">
        <v>2018</v>
      </c>
      <c r="H6">
        <v>45421</v>
      </c>
      <c r="I6">
        <v>44890</v>
      </c>
      <c r="J6">
        <v>18679</v>
      </c>
    </row>
    <row r="7" spans="2:30" x14ac:dyDescent="0.25">
      <c r="H7">
        <v>9760.93</v>
      </c>
      <c r="I7">
        <v>7574.78</v>
      </c>
      <c r="J7">
        <v>785.19</v>
      </c>
    </row>
    <row r="8" spans="2:30" x14ac:dyDescent="0.25">
      <c r="H8" s="4">
        <f>H7/H6</f>
        <v>0.21489905550296118</v>
      </c>
      <c r="I8" s="4">
        <f>I7/I6</f>
        <v>0.16874092225439963</v>
      </c>
      <c r="J8" s="4">
        <f>J7/J6</f>
        <v>4.2035976229990904E-2</v>
      </c>
    </row>
    <row r="10" spans="2:30" x14ac:dyDescent="0.25">
      <c r="B10" s="4"/>
      <c r="C10" s="4"/>
      <c r="D10" s="4"/>
      <c r="E10" s="4"/>
      <c r="F10" s="4"/>
      <c r="G10" s="1">
        <v>2017</v>
      </c>
      <c r="H10">
        <v>33784</v>
      </c>
      <c r="I10">
        <v>50572</v>
      </c>
      <c r="J10">
        <v>21094</v>
      </c>
      <c r="Y10" s="4"/>
      <c r="Z10" s="4"/>
      <c r="AA10" s="4"/>
      <c r="AB10" s="4"/>
      <c r="AC10" s="4"/>
      <c r="AD10" s="4"/>
    </row>
    <row r="11" spans="2:30" x14ac:dyDescent="0.25">
      <c r="H11">
        <v>5927</v>
      </c>
      <c r="I11">
        <v>10446</v>
      </c>
      <c r="J11">
        <v>623.52</v>
      </c>
      <c r="Y11" s="4"/>
      <c r="Z11" s="4"/>
      <c r="AA11" s="4"/>
      <c r="AB11" s="4"/>
      <c r="AC11" s="4"/>
      <c r="AD11" s="4"/>
    </row>
    <row r="12" spans="2:30" x14ac:dyDescent="0.25">
      <c r="H12" s="4">
        <f>H11/H10</f>
        <v>0.17543807719630594</v>
      </c>
      <c r="I12" s="4">
        <f>I11/I10</f>
        <v>0.20655698805663214</v>
      </c>
      <c r="J12" s="4">
        <f>J11/J10</f>
        <v>2.9559116336398975E-2</v>
      </c>
      <c r="Y12" s="5"/>
      <c r="Z12" s="5"/>
      <c r="AA12" s="5"/>
      <c r="AB12" s="5"/>
      <c r="AC12" s="5"/>
      <c r="AD12" s="5"/>
    </row>
    <row r="14" spans="2:30" x14ac:dyDescent="0.25">
      <c r="H14" s="1">
        <v>2018</v>
      </c>
      <c r="I14" s="1">
        <v>2017</v>
      </c>
    </row>
    <row r="15" spans="2:30" x14ac:dyDescent="0.25">
      <c r="G15" t="s">
        <v>5</v>
      </c>
      <c r="H15">
        <v>35873.89</v>
      </c>
      <c r="I15">
        <v>19234.02</v>
      </c>
    </row>
    <row r="16" spans="2:30" x14ac:dyDescent="0.25">
      <c r="G16" t="s">
        <v>6</v>
      </c>
      <c r="H16">
        <v>38561.879999999997</v>
      </c>
      <c r="I16">
        <v>34042.74</v>
      </c>
    </row>
    <row r="17" spans="7:37" x14ac:dyDescent="0.25">
      <c r="G17" t="s">
        <v>7</v>
      </c>
      <c r="H17">
        <v>22073.7</v>
      </c>
      <c r="I17">
        <v>20300.169999999998</v>
      </c>
    </row>
    <row r="18" spans="7:37" x14ac:dyDescent="0.25">
      <c r="G18" t="s">
        <v>8</v>
      </c>
      <c r="H18">
        <v>3390.52</v>
      </c>
      <c r="I18">
        <v>2858.89</v>
      </c>
    </row>
    <row r="19" spans="7:37" x14ac:dyDescent="0.25">
      <c r="L19">
        <v>3</v>
      </c>
      <c r="M19">
        <f>120*0.3</f>
        <v>36</v>
      </c>
      <c r="Q19">
        <v>2018</v>
      </c>
      <c r="R19">
        <v>2017</v>
      </c>
    </row>
    <row r="20" spans="7:37" x14ac:dyDescent="0.25">
      <c r="H20">
        <f>SUM(H15:H18)</f>
        <v>99899.989999999991</v>
      </c>
      <c r="I20">
        <f>SUM(I15:I18)</f>
        <v>76435.819999999992</v>
      </c>
      <c r="Q20">
        <f>11783.62+2496.19</f>
        <v>14279.810000000001</v>
      </c>
      <c r="R20">
        <f>10693.95+2593.28</f>
        <v>13287.230000000001</v>
      </c>
    </row>
    <row r="21" spans="7:37" x14ac:dyDescent="0.25">
      <c r="M21">
        <f>M19*0.85</f>
        <v>30.599999999999998</v>
      </c>
      <c r="P21" t="s">
        <v>9</v>
      </c>
      <c r="Q21">
        <v>9281.8765000000003</v>
      </c>
      <c r="R21">
        <v>8636.6995000000006</v>
      </c>
    </row>
    <row r="22" spans="7:37" x14ac:dyDescent="0.25">
      <c r="G22" t="s">
        <v>5</v>
      </c>
      <c r="H22" s="4">
        <f>H15/H20</f>
        <v>0.35909803394374717</v>
      </c>
      <c r="I22" s="4">
        <f>I15/I20</f>
        <v>0.25163620930605574</v>
      </c>
      <c r="M22">
        <f>M21/2</f>
        <v>15.299999999999999</v>
      </c>
      <c r="N22">
        <f>M22/2</f>
        <v>7.6499999999999995</v>
      </c>
      <c r="P22" t="s">
        <v>10</v>
      </c>
      <c r="Q22">
        <f>57180+1603+25352</f>
        <v>84135</v>
      </c>
      <c r="R22">
        <f>50204+1482+12712</f>
        <v>64398</v>
      </c>
      <c r="AE22" s="6" t="s">
        <v>11</v>
      </c>
      <c r="AF22" s="7"/>
      <c r="AG22" s="7"/>
      <c r="AH22" s="7"/>
      <c r="AI22" s="7"/>
      <c r="AJ22" s="7"/>
      <c r="AK22" s="8"/>
    </row>
    <row r="23" spans="7:37" x14ac:dyDescent="0.25">
      <c r="G23" t="s">
        <v>6</v>
      </c>
      <c r="H23" s="4">
        <f>H16/H20</f>
        <v>0.38600484344392827</v>
      </c>
      <c r="I23" s="4">
        <f>I16/I20</f>
        <v>0.44537678800332098</v>
      </c>
      <c r="M23">
        <f>SUM(M22:N22)</f>
        <v>22.95</v>
      </c>
      <c r="Q23" s="4">
        <f>Q21/Q22</f>
        <v>0.11032122778867297</v>
      </c>
      <c r="R23" s="4">
        <f>R21/R22</f>
        <v>0.13411440572688593</v>
      </c>
      <c r="Y23" s="9">
        <v>2013</v>
      </c>
      <c r="Z23" s="9">
        <v>2014</v>
      </c>
      <c r="AA23" s="9">
        <v>2015</v>
      </c>
      <c r="AB23" s="9">
        <v>2016</v>
      </c>
      <c r="AC23" s="9">
        <v>2017</v>
      </c>
      <c r="AD23" s="9">
        <v>2018</v>
      </c>
      <c r="AE23" s="10" t="s">
        <v>12</v>
      </c>
      <c r="AF23" s="2">
        <v>2013</v>
      </c>
      <c r="AG23" s="2">
        <v>2014</v>
      </c>
      <c r="AH23" s="2">
        <v>2015</v>
      </c>
      <c r="AI23" s="2">
        <v>2016</v>
      </c>
      <c r="AJ23" s="2">
        <v>2017</v>
      </c>
      <c r="AK23" s="2">
        <v>2018</v>
      </c>
    </row>
    <row r="24" spans="7:37" x14ac:dyDescent="0.25">
      <c r="G24" t="s">
        <v>7</v>
      </c>
      <c r="H24" s="4">
        <f>H17/H20</f>
        <v>0.22095798007587392</v>
      </c>
      <c r="I24" s="4">
        <f>I17/I20</f>
        <v>0.26558451260155252</v>
      </c>
      <c r="M24">
        <f>M23/2</f>
        <v>11.475</v>
      </c>
      <c r="X24" t="s">
        <v>13</v>
      </c>
      <c r="Y24" s="11">
        <v>14918</v>
      </c>
      <c r="Z24" s="11">
        <v>19253</v>
      </c>
      <c r="AA24" s="11">
        <v>19477</v>
      </c>
      <c r="AB24" s="11">
        <v>21250</v>
      </c>
      <c r="AC24" s="11">
        <v>20300</v>
      </c>
      <c r="AD24" s="12">
        <v>22073.7</v>
      </c>
      <c r="AE24" s="13" t="s">
        <v>13</v>
      </c>
      <c r="AF24" s="14">
        <f>Y24/Y27</f>
        <v>0.29486292570118394</v>
      </c>
      <c r="AG24" s="14">
        <f>Z24/Z27</f>
        <v>0.31267052098220088</v>
      </c>
      <c r="AH24" s="14">
        <f>AA24/AA27</f>
        <v>0.29649419250734499</v>
      </c>
      <c r="AI24" s="14">
        <f>AB24/AB27</f>
        <v>0.28019514767932491</v>
      </c>
      <c r="AJ24" s="14">
        <f>AC24/AC27</f>
        <v>0.26503381465911169</v>
      </c>
      <c r="AK24" s="14">
        <f>AD24/AD27</f>
        <v>0.22095798007587389</v>
      </c>
    </row>
    <row r="25" spans="7:37" x14ac:dyDescent="0.25">
      <c r="G25" t="s">
        <v>8</v>
      </c>
      <c r="H25" s="4">
        <f>H18/H20</f>
        <v>3.3939142536450709E-2</v>
      </c>
      <c r="I25" s="4">
        <f>I18/I20</f>
        <v>3.740249008907081E-2</v>
      </c>
      <c r="M25">
        <f>M24*3</f>
        <v>34.424999999999997</v>
      </c>
      <c r="X25" t="s">
        <v>14</v>
      </c>
      <c r="Y25" s="11">
        <v>33327</v>
      </c>
      <c r="Z25" s="11">
        <v>39978</v>
      </c>
      <c r="AA25" s="11">
        <v>43919</v>
      </c>
      <c r="AB25" s="11">
        <v>51652</v>
      </c>
      <c r="AC25" s="11">
        <v>53277</v>
      </c>
      <c r="AD25" s="12">
        <v>74435.77</v>
      </c>
      <c r="AE25" s="13" t="s">
        <v>14</v>
      </c>
      <c r="AF25" s="14">
        <f>Y25/Y27</f>
        <v>0.65872749194552604</v>
      </c>
      <c r="AG25" s="14">
        <f>Z25/Z27</f>
        <v>0.64924645965960759</v>
      </c>
      <c r="AH25" s="14">
        <f>AA25/AA27</f>
        <v>0.66856951484982718</v>
      </c>
      <c r="AI25" s="14">
        <f>AB25/AB27</f>
        <v>0.6810654008438819</v>
      </c>
      <c r="AJ25" s="14">
        <f>AC25/AC27</f>
        <v>0.69557667702431003</v>
      </c>
      <c r="AK25" s="14">
        <f>AD25/AD27</f>
        <v>0.74510287738767544</v>
      </c>
    </row>
    <row r="26" spans="7:37" x14ac:dyDescent="0.25">
      <c r="Q26">
        <f>350*0.12</f>
        <v>42</v>
      </c>
      <c r="X26" t="s">
        <v>8</v>
      </c>
      <c r="Y26" s="11">
        <v>2348</v>
      </c>
      <c r="Z26" s="11">
        <v>2345</v>
      </c>
      <c r="AA26" s="11">
        <v>2295</v>
      </c>
      <c r="AB26" s="11">
        <v>2938</v>
      </c>
      <c r="AC26" s="11">
        <v>3017</v>
      </c>
      <c r="AD26" s="12">
        <v>3390.52</v>
      </c>
      <c r="AE26" s="13" t="s">
        <v>8</v>
      </c>
      <c r="AF26" s="14">
        <f>Y26/Y27</f>
        <v>4.6409582353289978E-2</v>
      </c>
      <c r="AG26" s="14">
        <f>Z26/Z27</f>
        <v>3.80830193581915E-2</v>
      </c>
      <c r="AH26" s="14">
        <f>AA26/AA27</f>
        <v>3.4936292642827785E-2</v>
      </c>
      <c r="AI26" s="14">
        <f>AB26/AB27</f>
        <v>3.8739451476793252E-2</v>
      </c>
      <c r="AJ26" s="14">
        <f>AC26/AC27</f>
        <v>3.9389508316578323E-2</v>
      </c>
      <c r="AK26" s="14">
        <f>AD26/AD27</f>
        <v>3.3939142536450702E-2</v>
      </c>
    </row>
    <row r="27" spans="7:37" x14ac:dyDescent="0.25">
      <c r="G27" t="s">
        <v>5</v>
      </c>
      <c r="H27">
        <v>10498.44</v>
      </c>
      <c r="I27">
        <v>4093.89</v>
      </c>
      <c r="M27">
        <f>M25/3</f>
        <v>11.475</v>
      </c>
      <c r="X27" s="1" t="s">
        <v>15</v>
      </c>
      <c r="Y27" s="9">
        <f t="shared" ref="Y27:AD27" si="0">SUM(Y24:Y26)</f>
        <v>50593</v>
      </c>
      <c r="Z27" s="9">
        <f t="shared" si="0"/>
        <v>61576</v>
      </c>
      <c r="AA27" s="9">
        <f t="shared" si="0"/>
        <v>65691</v>
      </c>
      <c r="AB27" s="9">
        <f t="shared" si="0"/>
        <v>75840</v>
      </c>
      <c r="AC27" s="9">
        <f t="shared" si="0"/>
        <v>76594</v>
      </c>
      <c r="AD27" s="15">
        <f t="shared" si="0"/>
        <v>99899.99</v>
      </c>
    </row>
    <row r="28" spans="7:37" x14ac:dyDescent="0.25">
      <c r="G28" t="s">
        <v>6</v>
      </c>
      <c r="H28">
        <v>16434.55</v>
      </c>
      <c r="I28">
        <v>7904.32</v>
      </c>
      <c r="M28">
        <f>M27/10</f>
        <v>1.1475</v>
      </c>
      <c r="R28" s="4"/>
      <c r="Y28" s="11"/>
      <c r="Z28" s="11"/>
      <c r="AA28" s="11"/>
      <c r="AB28" s="11"/>
      <c r="AC28" s="11"/>
      <c r="AD28" s="12"/>
      <c r="AE28" s="10"/>
      <c r="AF28" s="9"/>
      <c r="AG28" s="9"/>
      <c r="AH28" s="9"/>
      <c r="AI28" s="9"/>
      <c r="AJ28" s="9"/>
      <c r="AK28" s="9"/>
    </row>
    <row r="29" spans="7:37" x14ac:dyDescent="0.25">
      <c r="G29" t="s">
        <v>7</v>
      </c>
      <c r="H29">
        <v>14016.09</v>
      </c>
      <c r="I29">
        <v>12566.3</v>
      </c>
      <c r="P29" t="s">
        <v>16</v>
      </c>
      <c r="Q29">
        <v>42</v>
      </c>
      <c r="X29" t="s">
        <v>13</v>
      </c>
      <c r="Y29" s="11">
        <v>10444</v>
      </c>
      <c r="Z29" s="11">
        <v>14689</v>
      </c>
      <c r="AA29" s="11">
        <v>15420</v>
      </c>
      <c r="AB29" s="11">
        <v>14732</v>
      </c>
      <c r="AC29" s="11">
        <v>12566</v>
      </c>
      <c r="AD29" s="12">
        <v>14016.09</v>
      </c>
      <c r="AE29" s="13"/>
      <c r="AF29" s="16"/>
      <c r="AG29" s="16"/>
      <c r="AH29" s="16"/>
      <c r="AI29" s="16"/>
      <c r="AJ29" s="16"/>
      <c r="AK29" s="16"/>
    </row>
    <row r="30" spans="7:37" x14ac:dyDescent="0.25">
      <c r="G30" t="s">
        <v>8</v>
      </c>
      <c r="H30">
        <v>1771.73</v>
      </c>
      <c r="I30">
        <v>1667.13</v>
      </c>
      <c r="P30" t="s">
        <v>17</v>
      </c>
      <c r="Q30">
        <v>21</v>
      </c>
      <c r="X30" t="s">
        <v>14</v>
      </c>
      <c r="Y30" s="11">
        <v>13122</v>
      </c>
      <c r="Z30" s="11">
        <v>16099</v>
      </c>
      <c r="AA30" s="11">
        <v>17853</v>
      </c>
      <c r="AB30" s="11">
        <v>15055</v>
      </c>
      <c r="AC30" s="11">
        <v>11998</v>
      </c>
      <c r="AD30" s="12">
        <v>26932.99</v>
      </c>
      <c r="AE30" s="13"/>
      <c r="AF30" s="16"/>
      <c r="AG30" s="16"/>
      <c r="AH30" s="16"/>
      <c r="AI30" s="16"/>
      <c r="AJ30" s="16"/>
      <c r="AK30" s="16"/>
    </row>
    <row r="31" spans="7:37" x14ac:dyDescent="0.25">
      <c r="X31" t="s">
        <v>8</v>
      </c>
      <c r="Y31" s="11">
        <v>1898</v>
      </c>
      <c r="Z31" s="11">
        <v>2132</v>
      </c>
      <c r="AA31" s="11">
        <v>1171</v>
      </c>
      <c r="AB31" s="11">
        <v>1491</v>
      </c>
      <c r="AC31" s="11">
        <v>1666</v>
      </c>
      <c r="AD31" s="12">
        <v>1771.73</v>
      </c>
      <c r="AE31" s="13"/>
      <c r="AF31" s="16"/>
      <c r="AG31" s="16"/>
      <c r="AH31" s="16"/>
      <c r="AI31" s="16"/>
      <c r="AJ31" s="16"/>
      <c r="AK31" s="16"/>
    </row>
    <row r="32" spans="7:37" x14ac:dyDescent="0.25">
      <c r="H32">
        <f>SUM(H27:H30)</f>
        <v>42720.810000000005</v>
      </c>
      <c r="I32">
        <f>SUM(I27:I30)</f>
        <v>26231.64</v>
      </c>
      <c r="X32" s="1" t="s">
        <v>18</v>
      </c>
      <c r="Y32" s="9">
        <f t="shared" ref="Y32:AD32" si="1">SUM(Y29:Y31)</f>
        <v>25464</v>
      </c>
      <c r="Z32" s="9">
        <f t="shared" si="1"/>
        <v>32920</v>
      </c>
      <c r="AA32" s="9">
        <f t="shared" si="1"/>
        <v>34444</v>
      </c>
      <c r="AB32" s="9">
        <f t="shared" si="1"/>
        <v>31278</v>
      </c>
      <c r="AC32" s="9">
        <f t="shared" si="1"/>
        <v>26230</v>
      </c>
      <c r="AD32" s="15">
        <f t="shared" si="1"/>
        <v>42720.810000000005</v>
      </c>
      <c r="AE32" s="6" t="s">
        <v>19</v>
      </c>
      <c r="AF32" s="7"/>
      <c r="AG32" s="7"/>
      <c r="AH32" s="7"/>
      <c r="AI32" s="7"/>
      <c r="AJ32" s="7"/>
      <c r="AK32" s="8"/>
    </row>
    <row r="33" spans="8:38" x14ac:dyDescent="0.25">
      <c r="P33">
        <f>571.8*0.2</f>
        <v>114.36</v>
      </c>
      <c r="Y33" s="11"/>
      <c r="Z33" s="11"/>
      <c r="AA33" s="11"/>
      <c r="AB33" s="11"/>
      <c r="AC33" s="11"/>
      <c r="AD33" s="11"/>
      <c r="AE33" s="17" t="s">
        <v>12</v>
      </c>
      <c r="AF33" s="2">
        <v>2013</v>
      </c>
      <c r="AG33" s="2">
        <v>2014</v>
      </c>
      <c r="AH33" s="2">
        <v>2015</v>
      </c>
      <c r="AI33" s="2">
        <v>2016</v>
      </c>
      <c r="AJ33" s="2">
        <v>2017</v>
      </c>
      <c r="AK33" s="2">
        <v>2018</v>
      </c>
    </row>
    <row r="34" spans="8:38" x14ac:dyDescent="0.25">
      <c r="H34" s="4">
        <f>H27/H32</f>
        <v>0.24574534050267305</v>
      </c>
      <c r="P34">
        <v>571.79999999999995</v>
      </c>
      <c r="X34" t="s">
        <v>20</v>
      </c>
      <c r="Y34" s="15">
        <f>Y27-Y32</f>
        <v>25129</v>
      </c>
      <c r="Z34" s="15">
        <f t="shared" ref="Z34:AD34" si="2">Z27-Z32</f>
        <v>28656</v>
      </c>
      <c r="AA34" s="15">
        <f t="shared" si="2"/>
        <v>31247</v>
      </c>
      <c r="AB34" s="15">
        <f t="shared" si="2"/>
        <v>44562</v>
      </c>
      <c r="AC34" s="15">
        <f t="shared" si="2"/>
        <v>50364</v>
      </c>
      <c r="AD34" s="15">
        <f t="shared" si="2"/>
        <v>57179.18</v>
      </c>
      <c r="AE34" s="13" t="s">
        <v>13</v>
      </c>
      <c r="AF34" s="18">
        <f>Y37/Y40</f>
        <v>0.1198794525655166</v>
      </c>
      <c r="AG34" s="18">
        <f>Z37/Z40</f>
        <v>0.11760797342192691</v>
      </c>
      <c r="AH34" s="18">
        <f>AA37/AA40</f>
        <v>0.13262241566920566</v>
      </c>
      <c r="AI34" s="18">
        <f>AB37/AB40</f>
        <v>0.11509389266948057</v>
      </c>
      <c r="AJ34" s="18">
        <f>AC37/AC40</f>
        <v>9.8359955582130343E-2</v>
      </c>
      <c r="AK34" s="18">
        <f>AD37/AD40</f>
        <v>7.0912767082641256E-2</v>
      </c>
    </row>
    <row r="35" spans="8:38" x14ac:dyDescent="0.25">
      <c r="H35" s="4">
        <f>H28/H32</f>
        <v>0.38469659166106629</v>
      </c>
      <c r="P35">
        <v>350</v>
      </c>
      <c r="X35" t="s">
        <v>21</v>
      </c>
      <c r="Y35" s="19">
        <f>Y27/Y34</f>
        <v>2.0133312109514905</v>
      </c>
      <c r="Z35" s="19">
        <f t="shared" ref="Z35:AD35" si="3">Z27/Z34</f>
        <v>2.1487995533221662</v>
      </c>
      <c r="AA35" s="19">
        <f t="shared" si="3"/>
        <v>2.102313822126924</v>
      </c>
      <c r="AB35" s="19">
        <f t="shared" si="3"/>
        <v>1.7018984785243032</v>
      </c>
      <c r="AC35" s="19">
        <f t="shared" si="3"/>
        <v>1.5208085140179493</v>
      </c>
      <c r="AD35" s="19">
        <f t="shared" si="3"/>
        <v>1.747139255931967</v>
      </c>
      <c r="AE35" s="13" t="s">
        <v>14</v>
      </c>
      <c r="AF35" s="14">
        <f>Y38/Y40</f>
        <v>0.8796079101486648</v>
      </c>
      <c r="AG35" s="14">
        <f>Z38/Z40</f>
        <v>0.8818548102071111</v>
      </c>
      <c r="AH35" s="14">
        <f>AA38/AA40</f>
        <v>0.86667029379760607</v>
      </c>
      <c r="AI35" s="14">
        <f>AB38/AB40</f>
        <v>0.88170815746403652</v>
      </c>
      <c r="AJ35" s="14">
        <f>AC38/AC40</f>
        <v>0.90070043563679847</v>
      </c>
      <c r="AK35" s="14">
        <f>AD38/AD40</f>
        <v>0.92866070480172158</v>
      </c>
    </row>
    <row r="36" spans="8:38" x14ac:dyDescent="0.25">
      <c r="H36" s="4">
        <f>H29/H32</f>
        <v>0.32808577365457253</v>
      </c>
      <c r="P36">
        <f>SUM(P33:P35)</f>
        <v>1036.1599999999999</v>
      </c>
      <c r="AE36" s="13" t="s">
        <v>8</v>
      </c>
      <c r="AF36" s="20">
        <f>Y39/Y40</f>
        <v>5.1263728581858856E-4</v>
      </c>
      <c r="AG36" s="20">
        <f>Z39/Z40</f>
        <v>5.3721637096204144E-4</v>
      </c>
      <c r="AH36" s="20">
        <f>AA39/AA40</f>
        <v>7.0729053318824807E-4</v>
      </c>
      <c r="AI36" s="20">
        <f>AB39/AB40</f>
        <v>3.1979498664829013E-3</v>
      </c>
      <c r="AJ36" s="20">
        <f>AC39/AC40</f>
        <v>9.3960878107115402E-4</v>
      </c>
      <c r="AK36" s="20">
        <f>AD39/AD40</f>
        <v>4.2652811563724259E-4</v>
      </c>
    </row>
    <row r="37" spans="8:38" x14ac:dyDescent="0.25">
      <c r="P37">
        <f>P33*0.15</f>
        <v>17.154</v>
      </c>
      <c r="X37" t="s">
        <v>13</v>
      </c>
      <c r="Y37" s="11">
        <v>7717</v>
      </c>
      <c r="Z37" s="11">
        <v>8319</v>
      </c>
      <c r="AA37" s="11">
        <v>12188</v>
      </c>
      <c r="AB37" s="11">
        <v>10689</v>
      </c>
      <c r="AC37" s="11">
        <v>9212</v>
      </c>
      <c r="AD37" s="12">
        <f>18679.44-11783.15</f>
        <v>6896.2899999999991</v>
      </c>
      <c r="AE37" s="1"/>
      <c r="AF37" s="21"/>
      <c r="AG37" s="22"/>
    </row>
    <row r="38" spans="8:38" x14ac:dyDescent="0.25">
      <c r="H38" s="4"/>
      <c r="P38">
        <f>P36-P37</f>
        <v>1019.0059999999999</v>
      </c>
      <c r="Q38">
        <f>841.35</f>
        <v>841.35</v>
      </c>
      <c r="R38" s="4">
        <f>P38/Q38-1</f>
        <v>0.21115588043026068</v>
      </c>
      <c r="X38" t="s">
        <v>14</v>
      </c>
      <c r="Y38" s="11">
        <v>56623</v>
      </c>
      <c r="Z38" s="11">
        <v>62378</v>
      </c>
      <c r="AA38" s="11">
        <v>79647</v>
      </c>
      <c r="AB38" s="11">
        <v>81886</v>
      </c>
      <c r="AC38" s="11">
        <v>84356</v>
      </c>
      <c r="AD38" s="12">
        <v>90312.56</v>
      </c>
      <c r="AF38" s="21"/>
      <c r="AG38" s="21"/>
    </row>
    <row r="39" spans="8:38" x14ac:dyDescent="0.25">
      <c r="X39" t="s">
        <v>8</v>
      </c>
      <c r="Y39" s="11">
        <v>33</v>
      </c>
      <c r="Z39" s="11">
        <v>38</v>
      </c>
      <c r="AA39" s="11">
        <v>65</v>
      </c>
      <c r="AB39" s="11">
        <v>297</v>
      </c>
      <c r="AC39" s="11">
        <v>88</v>
      </c>
      <c r="AD39" s="12">
        <v>41.48</v>
      </c>
      <c r="AF39" s="21"/>
      <c r="AG39" s="22"/>
    </row>
    <row r="40" spans="8:38" x14ac:dyDescent="0.25">
      <c r="P40">
        <f>841.35</f>
        <v>841.35</v>
      </c>
      <c r="X40" s="1" t="s">
        <v>22</v>
      </c>
      <c r="Y40" s="9">
        <f t="shared" ref="Y40:AD40" si="4">SUM(Y37:Y39)</f>
        <v>64373</v>
      </c>
      <c r="Z40" s="9">
        <f t="shared" si="4"/>
        <v>70735</v>
      </c>
      <c r="AA40" s="9">
        <f t="shared" si="4"/>
        <v>91900</v>
      </c>
      <c r="AB40" s="9">
        <f t="shared" si="4"/>
        <v>92872</v>
      </c>
      <c r="AC40" s="9">
        <f t="shared" si="4"/>
        <v>93656</v>
      </c>
      <c r="AD40" s="15">
        <f t="shared" si="4"/>
        <v>97250.329999999987</v>
      </c>
      <c r="AE40" s="6" t="s">
        <v>23</v>
      </c>
      <c r="AF40" s="7"/>
      <c r="AG40" s="7"/>
      <c r="AH40" s="7"/>
      <c r="AI40" s="7"/>
      <c r="AJ40" s="7"/>
      <c r="AK40" s="8"/>
    </row>
    <row r="41" spans="8:38" x14ac:dyDescent="0.25">
      <c r="P41">
        <v>972</v>
      </c>
      <c r="Y41" s="11"/>
      <c r="Z41" s="11"/>
      <c r="AA41" s="11"/>
      <c r="AB41" s="11"/>
      <c r="AC41" s="11"/>
      <c r="AD41" s="11"/>
      <c r="AE41" s="10" t="s">
        <v>12</v>
      </c>
      <c r="AF41" s="2">
        <v>2013</v>
      </c>
      <c r="AG41" s="2">
        <v>2014</v>
      </c>
      <c r="AH41" s="2">
        <v>2015</v>
      </c>
      <c r="AI41" s="2">
        <v>2016</v>
      </c>
      <c r="AJ41" s="2">
        <v>2017</v>
      </c>
      <c r="AK41" s="2">
        <v>2018</v>
      </c>
    </row>
    <row r="42" spans="8:38" x14ac:dyDescent="0.25">
      <c r="X42" s="23" t="s">
        <v>13</v>
      </c>
      <c r="Y42" s="12">
        <v>195</v>
      </c>
      <c r="Z42" s="12">
        <v>211</v>
      </c>
      <c r="AA42" s="12">
        <v>-607</v>
      </c>
      <c r="AB42" s="12">
        <v>567</v>
      </c>
      <c r="AC42" s="12">
        <v>624</v>
      </c>
      <c r="AD42" s="12">
        <v>785.19</v>
      </c>
      <c r="AE42" s="13" t="s">
        <v>13</v>
      </c>
      <c r="AF42" s="14">
        <f>Y42/Y45</f>
        <v>1.6382424598840629E-2</v>
      </c>
      <c r="AG42" s="14">
        <f>Z42/Z45</f>
        <v>1.7119675456389451E-2</v>
      </c>
      <c r="AH42" s="14">
        <f>AA42/AA45</f>
        <v>-3.9779802084015992E-2</v>
      </c>
      <c r="AI42" s="14">
        <f>AB42/AB45</f>
        <v>3.0449492508458194E-2</v>
      </c>
      <c r="AJ42" s="14">
        <f>AC42/AC45</f>
        <v>3.6521128409223926E-2</v>
      </c>
      <c r="AK42" s="14">
        <f>AD42/AD45</f>
        <v>4.3231668977303642E-2</v>
      </c>
    </row>
    <row r="43" spans="8:38" x14ac:dyDescent="0.25">
      <c r="P43">
        <f>P41/P40</f>
        <v>1.1552861472633267</v>
      </c>
      <c r="X43" s="23" t="s">
        <v>14</v>
      </c>
      <c r="Y43" s="11">
        <v>11675</v>
      </c>
      <c r="Z43" s="11">
        <v>12076</v>
      </c>
      <c r="AA43" s="11">
        <v>15801</v>
      </c>
      <c r="AB43" s="11">
        <v>17757</v>
      </c>
      <c r="AC43" s="11">
        <v>16374</v>
      </c>
      <c r="AD43" s="12">
        <v>17335.71</v>
      </c>
      <c r="AE43" s="13" t="s">
        <v>14</v>
      </c>
      <c r="AF43" s="14">
        <f>Y43/Y45</f>
        <v>0.98084516508443254</v>
      </c>
      <c r="AG43" s="14">
        <f>Z43/Z45</f>
        <v>0.97979716024340768</v>
      </c>
      <c r="AH43" s="14">
        <f>AA43/AA45</f>
        <v>1.0355200209712301</v>
      </c>
      <c r="AI43" s="14">
        <f>AB43/AB45</f>
        <v>0.95360077332044468</v>
      </c>
      <c r="AJ43" s="14">
        <f>AC43/AC45</f>
        <v>0.95832845604588557</v>
      </c>
      <c r="AK43" s="14">
        <f>AD43/AD45</f>
        <v>0.95448448936758301</v>
      </c>
    </row>
    <row r="44" spans="8:38" x14ac:dyDescent="0.25">
      <c r="X44" s="23" t="s">
        <v>8</v>
      </c>
      <c r="Y44" s="11">
        <v>33</v>
      </c>
      <c r="Z44" s="11">
        <v>38</v>
      </c>
      <c r="AA44" s="11">
        <v>65</v>
      </c>
      <c r="AB44" s="11">
        <v>297</v>
      </c>
      <c r="AC44" s="11">
        <v>88</v>
      </c>
      <c r="AD44" s="12">
        <v>41.48</v>
      </c>
      <c r="AE44" s="13" t="s">
        <v>8</v>
      </c>
      <c r="AF44" s="14">
        <f>Y44/Y45</f>
        <v>2.7724103167268755E-3</v>
      </c>
      <c r="AG44" s="14">
        <f>Z44/Z45</f>
        <v>3.0831643002028398E-3</v>
      </c>
      <c r="AH44" s="14">
        <f>AA44/AA45</f>
        <v>4.2597811127858968E-3</v>
      </c>
      <c r="AI44" s="14">
        <f>AB44/AB45</f>
        <v>1.5949734171097147E-2</v>
      </c>
      <c r="AJ44" s="14">
        <f>AC44/AC45</f>
        <v>5.1504155448905539E-3</v>
      </c>
      <c r="AK44" s="14">
        <f>AD44/AD45</f>
        <v>2.2838416551134821E-3</v>
      </c>
    </row>
    <row r="45" spans="8:38" x14ac:dyDescent="0.25">
      <c r="P45">
        <f>P38*2</f>
        <v>2038.0119999999997</v>
      </c>
      <c r="X45" s="24" t="s">
        <v>24</v>
      </c>
      <c r="Y45" s="9">
        <f t="shared" ref="Y45:AD45" si="5">SUM(Y42:Y44)</f>
        <v>11903</v>
      </c>
      <c r="Z45" s="9">
        <f t="shared" si="5"/>
        <v>12325</v>
      </c>
      <c r="AA45" s="9">
        <f t="shared" si="5"/>
        <v>15259</v>
      </c>
      <c r="AB45" s="9">
        <f t="shared" si="5"/>
        <v>18621</v>
      </c>
      <c r="AC45" s="9">
        <f t="shared" si="5"/>
        <v>17086</v>
      </c>
      <c r="AD45" s="15">
        <f t="shared" si="5"/>
        <v>18162.379999999997</v>
      </c>
    </row>
    <row r="46" spans="8:38" x14ac:dyDescent="0.25">
      <c r="X46" s="23" t="s">
        <v>16</v>
      </c>
      <c r="Y46" s="12">
        <v>3157</v>
      </c>
      <c r="Z46" s="12">
        <v>3200</v>
      </c>
      <c r="AA46" s="12">
        <v>3929</v>
      </c>
      <c r="AB46" s="12">
        <v>3187</v>
      </c>
      <c r="AC46" s="12">
        <v>2593</v>
      </c>
      <c r="AD46" s="12">
        <v>2496.19</v>
      </c>
    </row>
    <row r="47" spans="8:38" x14ac:dyDescent="0.25">
      <c r="X47" s="23" t="s">
        <v>25</v>
      </c>
      <c r="Y47" s="12">
        <v>2306</v>
      </c>
      <c r="Z47" s="12">
        <v>2347</v>
      </c>
      <c r="AA47" s="12">
        <v>3458</v>
      </c>
      <c r="AB47" s="12">
        <v>3852</v>
      </c>
      <c r="AC47" s="12">
        <v>3853</v>
      </c>
      <c r="AD47" s="12">
        <v>3882.57</v>
      </c>
      <c r="AE47" s="25"/>
      <c r="AF47" s="26" t="s">
        <v>26</v>
      </c>
      <c r="AG47" s="2">
        <v>2013</v>
      </c>
      <c r="AH47" s="2">
        <v>2014</v>
      </c>
      <c r="AI47" s="2">
        <v>2015</v>
      </c>
      <c r="AJ47" s="2">
        <v>2016</v>
      </c>
      <c r="AK47" s="2">
        <v>2017</v>
      </c>
      <c r="AL47" s="2">
        <v>2018</v>
      </c>
    </row>
    <row r="48" spans="8:38" x14ac:dyDescent="0.25">
      <c r="X48" s="24" t="s">
        <v>27</v>
      </c>
      <c r="Y48" s="15">
        <f>Y45-Y46-Y47</f>
        <v>6440</v>
      </c>
      <c r="Z48" s="15">
        <f t="shared" ref="Z48:AD48" si="6">Z45-Z46-Z47</f>
        <v>6778</v>
      </c>
      <c r="AA48" s="15">
        <f t="shared" si="6"/>
        <v>7872</v>
      </c>
      <c r="AB48" s="15">
        <f t="shared" si="6"/>
        <v>11582</v>
      </c>
      <c r="AC48" s="15">
        <f t="shared" si="6"/>
        <v>10640</v>
      </c>
      <c r="AD48" s="15">
        <f t="shared" si="6"/>
        <v>11783.619999999997</v>
      </c>
      <c r="AE48" s="3"/>
      <c r="AF48" s="27" t="s">
        <v>28</v>
      </c>
      <c r="AG48" s="14">
        <f>Y42/Y34</f>
        <v>7.7599586135540608E-3</v>
      </c>
      <c r="AH48" s="14">
        <f>Z42/Z34</f>
        <v>7.36320491345617E-3</v>
      </c>
      <c r="AI48" s="14">
        <f>AA42/AA34</f>
        <v>-1.9425864883028769E-2</v>
      </c>
      <c r="AJ48" s="14">
        <f>AB42/AB34</f>
        <v>1.2723845428840716E-2</v>
      </c>
      <c r="AK48" s="14">
        <f>AC42/AC34</f>
        <v>1.2389802239695021E-2</v>
      </c>
      <c r="AL48" s="14">
        <f>AD42/AD34</f>
        <v>1.3732096193054886E-2</v>
      </c>
    </row>
    <row r="49" spans="24:46" x14ac:dyDescent="0.25">
      <c r="X49" s="24" t="s">
        <v>29</v>
      </c>
      <c r="Y49" s="15">
        <v>2095</v>
      </c>
      <c r="Z49" s="15">
        <v>2441</v>
      </c>
      <c r="AA49" s="15">
        <v>2756</v>
      </c>
      <c r="AB49" s="15">
        <v>3773</v>
      </c>
      <c r="AC49" s="15">
        <v>3520</v>
      </c>
      <c r="AD49" s="15">
        <f>3838.8+103.6</f>
        <v>3942.4</v>
      </c>
      <c r="AE49" s="3"/>
      <c r="AF49" s="27" t="s">
        <v>30</v>
      </c>
      <c r="AG49" s="28">
        <f>Y43/Y34</f>
        <v>0.46460265032432646</v>
      </c>
      <c r="AH49" s="28">
        <f>Z43/Z34</f>
        <v>0.42141261864879953</v>
      </c>
      <c r="AI49" s="28">
        <f>AA43/AA34</f>
        <v>0.50568054533235196</v>
      </c>
      <c r="AJ49" s="28">
        <f>AB43/AB34</f>
        <v>0.39847852430321801</v>
      </c>
      <c r="AK49" s="28">
        <f>AC43/AC34</f>
        <v>0.32511317607815104</v>
      </c>
      <c r="AL49" s="28">
        <f>AD43/AD34</f>
        <v>0.30318220722997424</v>
      </c>
      <c r="AN49" s="2" t="s">
        <v>31</v>
      </c>
      <c r="AO49" s="29">
        <v>2013</v>
      </c>
      <c r="AP49" s="29">
        <v>2014</v>
      </c>
      <c r="AQ49" s="29">
        <v>2015</v>
      </c>
      <c r="AR49" s="29">
        <v>2016</v>
      </c>
      <c r="AS49" s="30">
        <v>2017</v>
      </c>
      <c r="AT49" s="30">
        <v>2018</v>
      </c>
    </row>
    <row r="50" spans="24:46" x14ac:dyDescent="0.25">
      <c r="X50" s="24" t="s">
        <v>32</v>
      </c>
      <c r="Y50" s="31">
        <f>Y48-Y49</f>
        <v>4345</v>
      </c>
      <c r="Z50" s="31">
        <f t="shared" ref="Z50:AD50" si="7">Z48-Z49</f>
        <v>4337</v>
      </c>
      <c r="AA50" s="31">
        <f t="shared" si="7"/>
        <v>5116</v>
      </c>
      <c r="AB50" s="31">
        <f t="shared" si="7"/>
        <v>7809</v>
      </c>
      <c r="AC50" s="31">
        <f t="shared" si="7"/>
        <v>7120</v>
      </c>
      <c r="AD50" s="31">
        <f t="shared" si="7"/>
        <v>7841.2199999999975</v>
      </c>
      <c r="AE50" s="3"/>
      <c r="AF50" s="27" t="s">
        <v>33</v>
      </c>
      <c r="AG50" s="28">
        <f>Y39/Y34</f>
        <v>1.3132237653706873E-3</v>
      </c>
      <c r="AH50" s="28">
        <f>Z39/Z34</f>
        <v>1.32607481853713E-3</v>
      </c>
      <c r="AI50" s="28">
        <f>AA39/AA34</f>
        <v>2.0801996991711203E-3</v>
      </c>
      <c r="AJ50" s="28">
        <f>AB39/AB34</f>
        <v>6.6648714151070418E-3</v>
      </c>
      <c r="AK50" s="28">
        <f>AC39/AC34</f>
        <v>1.747279803033913E-3</v>
      </c>
      <c r="AL50" s="28">
        <f>AD39/AD34</f>
        <v>7.2543887477924656E-4</v>
      </c>
      <c r="AN50" s="3" t="s">
        <v>32</v>
      </c>
      <c r="AO50" s="3">
        <v>4345</v>
      </c>
      <c r="AP50" s="3">
        <v>4337</v>
      </c>
      <c r="AQ50" s="3">
        <v>5116</v>
      </c>
      <c r="AR50" s="3">
        <v>7809</v>
      </c>
      <c r="AS50" s="3">
        <v>7120</v>
      </c>
      <c r="AT50" s="3">
        <v>7841.2199999999975</v>
      </c>
    </row>
    <row r="51" spans="24:46" x14ac:dyDescent="0.25">
      <c r="X51" s="24" t="s">
        <v>20</v>
      </c>
      <c r="Y51" s="31">
        <f t="shared" ref="Y51:AD51" si="8">Y27-Y32</f>
        <v>25129</v>
      </c>
      <c r="Z51" s="31">
        <f t="shared" si="8"/>
        <v>28656</v>
      </c>
      <c r="AA51" s="31">
        <f t="shared" si="8"/>
        <v>31247</v>
      </c>
      <c r="AB51" s="31">
        <f t="shared" si="8"/>
        <v>44562</v>
      </c>
      <c r="AC51" s="31">
        <f t="shared" si="8"/>
        <v>50364</v>
      </c>
      <c r="AD51" s="31">
        <f t="shared" si="8"/>
        <v>57179.18</v>
      </c>
      <c r="AE51" s="3"/>
      <c r="AF51" s="32" t="s">
        <v>34</v>
      </c>
      <c r="AG51" s="28">
        <f>-Y46/Y34</f>
        <v>-0.12563174022046242</v>
      </c>
      <c r="AH51" s="28">
        <f>-Z46/Z34</f>
        <v>-0.11166945840312674</v>
      </c>
      <c r="AI51" s="28">
        <f>-AA46/AA34</f>
        <v>-0.1257400710468205</v>
      </c>
      <c r="AJ51" s="28">
        <f>-AB46/AB34</f>
        <v>-7.1518334006552664E-2</v>
      </c>
      <c r="AK51" s="28">
        <f>-AC46/AC34</f>
        <v>-5.1485187832578827E-2</v>
      </c>
      <c r="AL51" s="28">
        <f>-AD46/AD34</f>
        <v>-4.365557533353924E-2</v>
      </c>
      <c r="AN51" s="3" t="s">
        <v>20</v>
      </c>
      <c r="AO51" s="3">
        <v>25129</v>
      </c>
      <c r="AP51" s="3">
        <v>28656</v>
      </c>
      <c r="AQ51" s="3">
        <v>31247</v>
      </c>
      <c r="AR51" s="3">
        <v>44562</v>
      </c>
      <c r="AS51" s="3">
        <v>50364</v>
      </c>
      <c r="AT51" s="3">
        <v>57179.18</v>
      </c>
    </row>
    <row r="52" spans="24:46" x14ac:dyDescent="0.25">
      <c r="X52" s="24" t="s">
        <v>35</v>
      </c>
      <c r="Y52" s="33">
        <f t="shared" ref="Y52:AD52" si="9">Y50/Y51</f>
        <v>0.17290779577380716</v>
      </c>
      <c r="Z52" s="33">
        <f t="shared" si="9"/>
        <v>0.1513470128419877</v>
      </c>
      <c r="AA52" s="33">
        <f t="shared" si="9"/>
        <v>0.16372771786091464</v>
      </c>
      <c r="AB52" s="33">
        <f t="shared" si="9"/>
        <v>0.17523899286387504</v>
      </c>
      <c r="AC52" s="33">
        <f t="shared" si="9"/>
        <v>0.14137082042728932</v>
      </c>
      <c r="AD52" s="33">
        <f t="shared" si="9"/>
        <v>0.13713418065806465</v>
      </c>
      <c r="AE52" s="3"/>
      <c r="AF52" s="27" t="s">
        <v>36</v>
      </c>
      <c r="AG52" s="28">
        <f>-Y47/Y34</f>
        <v>-9.1766484937721354E-2</v>
      </c>
      <c r="AH52" s="28">
        <f>-Z47/Z34</f>
        <v>-8.1902568397543271E-2</v>
      </c>
      <c r="AI52" s="28">
        <f>-AA47/AA34</f>
        <v>-0.1106666239959036</v>
      </c>
      <c r="AJ52" s="28">
        <f>-AB47/AB34</f>
        <v>-8.6441362595933754E-2</v>
      </c>
      <c r="AK52" s="28">
        <f>-AC47/AC34</f>
        <v>-7.6503057739655309E-2</v>
      </c>
      <c r="AL52" s="28">
        <f>-AD47/AD34</f>
        <v>-6.7901813212431522E-2</v>
      </c>
      <c r="AN52" s="34" t="s">
        <v>35</v>
      </c>
      <c r="AO52" s="35">
        <v>0.17290779577380716</v>
      </c>
      <c r="AP52" s="35">
        <v>0.1513470128419877</v>
      </c>
      <c r="AQ52" s="35">
        <v>0.16372771786091464</v>
      </c>
      <c r="AR52" s="35">
        <v>0.17523899286387504</v>
      </c>
      <c r="AS52" s="36">
        <v>0.14137082042728932</v>
      </c>
      <c r="AT52" s="36">
        <v>0.13713418065806465</v>
      </c>
    </row>
    <row r="53" spans="24:46" x14ac:dyDescent="0.25">
      <c r="AE53" s="3"/>
      <c r="AF53" s="27" t="s">
        <v>37</v>
      </c>
      <c r="AG53" s="28">
        <f>-Y49/Y34</f>
        <v>-8.3369811771260294E-2</v>
      </c>
      <c r="AH53" s="28">
        <f>-Z49/Z34</f>
        <v>-8.5182858738135123E-2</v>
      </c>
      <c r="AI53" s="28">
        <f>-AA49/AA34</f>
        <v>-8.8200467244855502E-2</v>
      </c>
      <c r="AJ53" s="28">
        <f>-AB49/AB34</f>
        <v>-8.4668551680804269E-2</v>
      </c>
      <c r="AK53" s="28">
        <f>-AC49/AC34</f>
        <v>-6.9891192121356527E-2</v>
      </c>
      <c r="AL53" s="28">
        <f>-AD49/AD34</f>
        <v>-6.8948173093772949E-2</v>
      </c>
    </row>
    <row r="54" spans="24:46" x14ac:dyDescent="0.25">
      <c r="AE54" s="37"/>
      <c r="AF54" s="38" t="s">
        <v>38</v>
      </c>
      <c r="AG54" s="10">
        <f>SUM(AG48:AG53)</f>
        <v>0.17290779577380716</v>
      </c>
      <c r="AH54" s="10">
        <f>SUM(AH48:AH53)</f>
        <v>0.15134701284198765</v>
      </c>
      <c r="AI54" s="10">
        <f>SUM(AI48:AI53)</f>
        <v>0.1637277178609147</v>
      </c>
      <c r="AJ54" s="10">
        <f>SUM(AJ48:AJ53)</f>
        <v>0.17523899286387501</v>
      </c>
      <c r="AK54" s="10">
        <f>SUM(AK48:AK53)</f>
        <v>0.14137082042728932</v>
      </c>
      <c r="AL54" s="10">
        <f>SUM(AL48:AL53)</f>
        <v>0.13713418065806465</v>
      </c>
      <c r="AO54" s="39">
        <f>AVERAGE(AO52:AR52)</f>
        <v>0.16580537983514612</v>
      </c>
      <c r="AS54" s="39">
        <f>AVERAGE(AS52:AT52)</f>
        <v>0.13925250054267699</v>
      </c>
    </row>
    <row r="55" spans="24:46" x14ac:dyDescent="0.25">
      <c r="X55" s="40" t="s">
        <v>39</v>
      </c>
      <c r="Y55" s="2">
        <v>2013</v>
      </c>
      <c r="Z55" s="2">
        <v>2014</v>
      </c>
      <c r="AA55" s="2">
        <v>2015</v>
      </c>
      <c r="AB55" s="2">
        <v>2016</v>
      </c>
      <c r="AC55" s="2">
        <v>2017</v>
      </c>
      <c r="AD55" s="2">
        <v>2018</v>
      </c>
      <c r="AE55" s="12"/>
      <c r="AF55" s="12"/>
      <c r="AG55" s="41"/>
    </row>
    <row r="56" spans="24:46" x14ac:dyDescent="0.25">
      <c r="X56" s="25" t="s">
        <v>40</v>
      </c>
      <c r="Y56" s="3">
        <v>48386</v>
      </c>
      <c r="Z56" s="3">
        <v>50587</v>
      </c>
      <c r="AA56" s="3">
        <v>70732</v>
      </c>
      <c r="AB56" s="3">
        <v>69171</v>
      </c>
      <c r="AC56" s="3">
        <v>65068</v>
      </c>
      <c r="AD56" s="37">
        <f>44890.86+18679.44-11783.15</f>
        <v>51787.15</v>
      </c>
      <c r="AE56" s="15"/>
      <c r="AF56" s="15"/>
      <c r="AG56" s="42"/>
      <c r="AH56" s="42"/>
      <c r="AI56" s="42"/>
      <c r="AJ56" s="42"/>
      <c r="AK56" s="42"/>
      <c r="AL56" s="42"/>
    </row>
    <row r="57" spans="24:46" x14ac:dyDescent="0.25">
      <c r="X57" s="25" t="s">
        <v>41</v>
      </c>
      <c r="Y57" s="3">
        <v>15987</v>
      </c>
      <c r="Z57" s="3">
        <v>20148</v>
      </c>
      <c r="AA57" s="3">
        <v>21167</v>
      </c>
      <c r="AB57" s="3">
        <v>23701</v>
      </c>
      <c r="AC57" s="3">
        <v>28588</v>
      </c>
      <c r="AD57" s="3">
        <v>45421</v>
      </c>
      <c r="AF57" s="43" t="s">
        <v>42</v>
      </c>
      <c r="AG57" s="43"/>
      <c r="AH57" s="43"/>
      <c r="AI57" s="43"/>
      <c r="AJ57" s="43"/>
      <c r="AK57" s="43"/>
      <c r="AL57" s="43"/>
    </row>
    <row r="58" spans="24:46" x14ac:dyDescent="0.25">
      <c r="X58" s="44" t="s">
        <v>22</v>
      </c>
      <c r="Y58" s="2">
        <f>SUM(Y56:Y57)</f>
        <v>64373</v>
      </c>
      <c r="Z58" s="2">
        <f>SUM(Z56:Z57)</f>
        <v>70735</v>
      </c>
      <c r="AA58" s="2">
        <f>SUM(AA56:AA57)</f>
        <v>91899</v>
      </c>
      <c r="AB58" s="2">
        <f>SUM(AB56:AB57)</f>
        <v>92872</v>
      </c>
      <c r="AC58" s="2">
        <f>SUM(AC56:AC57)</f>
        <v>93656</v>
      </c>
      <c r="AD58" s="45">
        <f>SUM(AD56:AD57)</f>
        <v>97208.15</v>
      </c>
      <c r="AE58" s="46"/>
      <c r="AF58" s="47" t="s">
        <v>12</v>
      </c>
      <c r="AG58" s="2">
        <v>2013</v>
      </c>
      <c r="AH58" s="2">
        <v>2014</v>
      </c>
      <c r="AI58" s="2">
        <v>2015</v>
      </c>
      <c r="AJ58" s="2">
        <v>2016</v>
      </c>
      <c r="AK58" s="2">
        <v>2017</v>
      </c>
      <c r="AL58" s="2">
        <v>2018</v>
      </c>
    </row>
    <row r="59" spans="24:46" x14ac:dyDescent="0.25">
      <c r="AD59" s="4"/>
      <c r="AE59" s="46"/>
      <c r="AF59" s="48" t="s">
        <v>13</v>
      </c>
      <c r="AG59" s="28">
        <f>Y42/Y37</f>
        <v>2.526888687313723E-2</v>
      </c>
      <c r="AH59" s="28">
        <f>Z42/Z37</f>
        <v>2.5363625435749489E-2</v>
      </c>
      <c r="AI59" s="28">
        <f>AA42/AA37</f>
        <v>-4.9803085001640955E-2</v>
      </c>
      <c r="AJ59" s="28">
        <f>AB42/AB37</f>
        <v>5.304518664047151E-2</v>
      </c>
      <c r="AK59" s="28">
        <f>AC42/AC37</f>
        <v>6.7737733391228835E-2</v>
      </c>
      <c r="AL59" s="28">
        <f>AD42/AD37</f>
        <v>0.11385687086824947</v>
      </c>
    </row>
    <row r="60" spans="24:46" x14ac:dyDescent="0.25">
      <c r="X60" s="40" t="s">
        <v>39</v>
      </c>
      <c r="Y60" s="2">
        <v>2013</v>
      </c>
      <c r="Z60" s="2">
        <v>2014</v>
      </c>
      <c r="AA60" s="2">
        <v>2015</v>
      </c>
      <c r="AB60" s="2">
        <v>2016</v>
      </c>
      <c r="AC60" s="2">
        <v>2017</v>
      </c>
      <c r="AD60" s="2">
        <v>2018</v>
      </c>
      <c r="AE60" s="46"/>
      <c r="AF60" s="48" t="s">
        <v>14</v>
      </c>
      <c r="AG60" s="28">
        <f>Y43/Y38</f>
        <v>0.20618829804143193</v>
      </c>
      <c r="AH60" s="28">
        <f>Z43/Z38</f>
        <v>0.19359389528359358</v>
      </c>
      <c r="AI60" s="28">
        <f>AA43/AA38</f>
        <v>0.19838788654939923</v>
      </c>
      <c r="AJ60" s="28">
        <f>AB43/AB38</f>
        <v>0.21685025523288473</v>
      </c>
      <c r="AK60" s="28">
        <f>AC43/AC38</f>
        <v>0.19410593200246573</v>
      </c>
      <c r="AL60" s="28">
        <f>AD43/AD38</f>
        <v>0.19195237074444574</v>
      </c>
    </row>
    <row r="61" spans="24:46" x14ac:dyDescent="0.25">
      <c r="X61" s="13" t="s">
        <v>40</v>
      </c>
      <c r="Y61" s="34">
        <f>Y56/Y58</f>
        <v>0.75165053671570381</v>
      </c>
      <c r="Z61" s="34">
        <f>Z56/Z58</f>
        <v>0.71516222520675765</v>
      </c>
      <c r="AA61" s="34">
        <f>AA56/AA58</f>
        <v>0.76967105191569007</v>
      </c>
      <c r="AB61" s="34">
        <f>AB56/AB58</f>
        <v>0.74479929365147735</v>
      </c>
      <c r="AC61" s="34">
        <f>AC56/AC58</f>
        <v>0.69475527462202102</v>
      </c>
      <c r="AD61" s="34">
        <f>AD56/AD58</f>
        <v>0.53274493959611413</v>
      </c>
      <c r="AF61" s="23"/>
    </row>
    <row r="62" spans="24:46" x14ac:dyDescent="0.25">
      <c r="X62" s="13" t="s">
        <v>41</v>
      </c>
      <c r="Y62" s="34">
        <f>Y57/Y58</f>
        <v>0.24834946328429622</v>
      </c>
      <c r="Z62" s="34">
        <f>Z57/Z58</f>
        <v>0.2848377747932424</v>
      </c>
      <c r="AA62" s="34">
        <f>AA57/AA58</f>
        <v>0.23032894808430995</v>
      </c>
      <c r="AB62" s="34">
        <f>AB57/AB58</f>
        <v>0.25520070634852271</v>
      </c>
      <c r="AC62" s="34">
        <f>AC57/AC58</f>
        <v>0.30524472537797898</v>
      </c>
      <c r="AD62" s="34">
        <f>AD57/AD58</f>
        <v>0.46725506040388592</v>
      </c>
      <c r="AF62" s="43" t="s">
        <v>43</v>
      </c>
      <c r="AG62" s="43"/>
      <c r="AH62" s="43"/>
      <c r="AI62" s="43"/>
      <c r="AJ62" s="43"/>
      <c r="AK62" s="43"/>
      <c r="AL62" s="43"/>
    </row>
    <row r="63" spans="24:46" x14ac:dyDescent="0.25">
      <c r="X63" s="40" t="s">
        <v>44</v>
      </c>
      <c r="Y63" s="34">
        <f>SUM(Y61:Y62)</f>
        <v>1</v>
      </c>
      <c r="Z63" s="34">
        <f t="shared" ref="Z63:AD63" si="10">SUM(Z61:Z62)</f>
        <v>1</v>
      </c>
      <c r="AA63" s="34">
        <f t="shared" si="10"/>
        <v>1</v>
      </c>
      <c r="AB63" s="34">
        <f t="shared" si="10"/>
        <v>1</v>
      </c>
      <c r="AC63" s="34">
        <f t="shared" si="10"/>
        <v>1</v>
      </c>
      <c r="AD63" s="34">
        <f t="shared" si="10"/>
        <v>1</v>
      </c>
      <c r="AF63" s="49" t="s">
        <v>12</v>
      </c>
      <c r="AG63" s="2">
        <v>2013</v>
      </c>
      <c r="AH63" s="2">
        <v>2014</v>
      </c>
      <c r="AI63" s="2">
        <v>2015</v>
      </c>
      <c r="AJ63" s="2">
        <v>2016</v>
      </c>
      <c r="AK63" s="2">
        <v>2017</v>
      </c>
      <c r="AL63" s="2">
        <v>2018</v>
      </c>
    </row>
    <row r="64" spans="24:46" x14ac:dyDescent="0.25">
      <c r="AF64" s="50" t="s">
        <v>13</v>
      </c>
      <c r="AG64" s="51">
        <f>Y37/Y24</f>
        <v>0.51729454350449122</v>
      </c>
      <c r="AH64" s="51">
        <f>Z37/Z24</f>
        <v>0.43208850568742535</v>
      </c>
      <c r="AI64" s="51">
        <f>AA37/AA24</f>
        <v>0.62576372131231706</v>
      </c>
      <c r="AJ64" s="51">
        <f>AB37/AB24</f>
        <v>0.50301176470588238</v>
      </c>
      <c r="AK64" s="51">
        <f>AC37/AC24</f>
        <v>0.45379310344827584</v>
      </c>
      <c r="AL64" s="51">
        <f>AD37/AD24</f>
        <v>0.31242111653234389</v>
      </c>
    </row>
    <row r="65" spans="32:38" x14ac:dyDescent="0.25">
      <c r="AF65" s="50" t="s">
        <v>14</v>
      </c>
      <c r="AG65" s="51">
        <f>Y38/Y25</f>
        <v>1.6990128124343624</v>
      </c>
      <c r="AH65" s="51">
        <f>Z38/Z25</f>
        <v>1.5603081694932213</v>
      </c>
      <c r="AI65" s="51">
        <f>AA38/AA25</f>
        <v>1.8134975750813997</v>
      </c>
      <c r="AJ65" s="51">
        <f>AB38/AB25</f>
        <v>1.5853403546813289</v>
      </c>
      <c r="AK65" s="51">
        <f>AC38/AC25</f>
        <v>1.5833474107025545</v>
      </c>
      <c r="AL65" s="51">
        <f>AD38/AD25</f>
        <v>1.2132951670950671</v>
      </c>
    </row>
    <row r="66" spans="32:38" x14ac:dyDescent="0.25">
      <c r="AF66" s="13" t="s">
        <v>45</v>
      </c>
      <c r="AG66" s="51">
        <f>Y31/Y26</f>
        <v>0.80834752981260649</v>
      </c>
      <c r="AH66" s="51">
        <f>Z31/Z26</f>
        <v>0.9091684434968017</v>
      </c>
      <c r="AI66" s="51">
        <f>AA31/AA26</f>
        <v>0.51023965141612204</v>
      </c>
      <c r="AJ66" s="51">
        <f>AB31/AB26</f>
        <v>0.50748808713410487</v>
      </c>
      <c r="AK66" s="51">
        <f>AC31/AC26</f>
        <v>0.55220417633410668</v>
      </c>
      <c r="AL66" s="51">
        <f>AD31/AD26</f>
        <v>0.52255406250368674</v>
      </c>
    </row>
    <row r="67" spans="32:38" x14ac:dyDescent="0.25">
      <c r="AF67" s="40" t="s">
        <v>46</v>
      </c>
      <c r="AG67" s="52">
        <f>Y40/Y27</f>
        <v>1.2723696954124089</v>
      </c>
      <c r="AH67" s="52">
        <f t="shared" ref="AH67:AL67" si="11">Z40/Z27</f>
        <v>1.1487430167597765</v>
      </c>
      <c r="AI67" s="52">
        <f t="shared" si="11"/>
        <v>1.3989739842596398</v>
      </c>
      <c r="AJ67" s="52">
        <f t="shared" si="11"/>
        <v>1.2245780590717299</v>
      </c>
      <c r="AK67" s="52">
        <f t="shared" si="11"/>
        <v>1.2227589628430426</v>
      </c>
      <c r="AL67" s="52">
        <f t="shared" si="11"/>
        <v>0.97347687422190921</v>
      </c>
    </row>
    <row r="69" spans="32:38" x14ac:dyDescent="0.25">
      <c r="AF69" s="43" t="s">
        <v>43</v>
      </c>
      <c r="AG69" s="43"/>
      <c r="AH69" s="43"/>
      <c r="AI69" s="43"/>
      <c r="AJ69" s="43"/>
      <c r="AK69" s="43"/>
      <c r="AL69" s="43"/>
    </row>
    <row r="70" spans="32:38" x14ac:dyDescent="0.25">
      <c r="AF70" s="49" t="s">
        <v>12</v>
      </c>
      <c r="AG70" s="2">
        <v>2013</v>
      </c>
      <c r="AH70" s="2">
        <v>2014</v>
      </c>
      <c r="AI70" s="2">
        <v>2015</v>
      </c>
      <c r="AJ70" s="2">
        <v>2016</v>
      </c>
      <c r="AK70" s="2">
        <v>2017</v>
      </c>
      <c r="AL70" s="2">
        <v>2018</v>
      </c>
    </row>
    <row r="71" spans="32:38" x14ac:dyDescent="0.25">
      <c r="AF71" s="50" t="s">
        <v>13</v>
      </c>
      <c r="AG71" s="51">
        <f>Y37/(Y24-Y29)</f>
        <v>1.7248547161376844</v>
      </c>
      <c r="AH71" s="51">
        <f>Z37/(Z24-Z29)</f>
        <v>1.822743207712533</v>
      </c>
      <c r="AI71" s="51">
        <f>AA37/(AA24-AA29)</f>
        <v>3.0041902883904363</v>
      </c>
      <c r="AJ71" s="51">
        <f>AB37/(AB24-AB29)</f>
        <v>1.6399202209266646</v>
      </c>
      <c r="AK71" s="51">
        <f>AC37/(AC24-AC29)</f>
        <v>1.191104215153866</v>
      </c>
      <c r="AL71" s="51">
        <f>AD37/(AD24-AD29)</f>
        <v>0.85587289531262978</v>
      </c>
    </row>
    <row r="72" spans="32:38" x14ac:dyDescent="0.25">
      <c r="AF72" s="50" t="s">
        <v>14</v>
      </c>
      <c r="AG72" s="51">
        <f>Y38/(Y25-Y30)</f>
        <v>2.8024251422915119</v>
      </c>
      <c r="AH72" s="51">
        <f>Z38/(Z25-Z30)</f>
        <v>2.6122534444490975</v>
      </c>
      <c r="AI72" s="51">
        <f>AA38/(AA25-AA30)</f>
        <v>3.0555896570244765</v>
      </c>
      <c r="AJ72" s="51">
        <f>AB38/(AB25-AB30)</f>
        <v>2.2375058064868707</v>
      </c>
      <c r="AK72" s="51">
        <f>AC38/(AC25-AC30)</f>
        <v>2.0435572567164901</v>
      </c>
      <c r="AL72" s="51">
        <f>AD38/(AD25-AD30)</f>
        <v>1.9012057820615973</v>
      </c>
    </row>
    <row r="73" spans="32:38" x14ac:dyDescent="0.25">
      <c r="AF73" s="13" t="s">
        <v>45</v>
      </c>
      <c r="AG73" s="51">
        <f>Y39/(Y26-Y31)</f>
        <v>7.3333333333333334E-2</v>
      </c>
      <c r="AH73" s="51">
        <f>Z39/(Z26-Z31)</f>
        <v>0.17840375586854459</v>
      </c>
      <c r="AI73" s="51">
        <f>AA39/(AA26-AA31)</f>
        <v>5.7829181494661923E-2</v>
      </c>
      <c r="AJ73" s="51">
        <f>AB39/(AB26-AB31)</f>
        <v>0.20525224602626124</v>
      </c>
      <c r="AK73" s="51">
        <f>AC39/(AC26-AC31)</f>
        <v>6.513693560325684E-2</v>
      </c>
      <c r="AL73" s="51">
        <f>AD39/(AD26-AD31)</f>
        <v>2.5624077242878938E-2</v>
      </c>
    </row>
    <row r="74" spans="32:38" x14ac:dyDescent="0.25">
      <c r="AF74" s="40" t="s">
        <v>46</v>
      </c>
      <c r="AG74" s="51">
        <f>Y40/(Y27-Y32)</f>
        <v>2.5617016196426441</v>
      </c>
      <c r="AH74" s="51">
        <f>Z40/(Z27-Z32)</f>
        <v>2.4684184812953656</v>
      </c>
      <c r="AI74" s="51">
        <f>AA40/(AA27-AA32)</f>
        <v>2.9410823439050149</v>
      </c>
      <c r="AJ74" s="51">
        <f>AB40/(AB27-AB32)</f>
        <v>2.0841075355684215</v>
      </c>
      <c r="AK74" s="51">
        <f>AC40/(AC27-AC32)</f>
        <v>1.8595822412834564</v>
      </c>
      <c r="AL74" s="51">
        <f>AD40/(AD27-AD32)</f>
        <v>1.7007996616950434</v>
      </c>
    </row>
  </sheetData>
  <mergeCells count="6">
    <mergeCell ref="AE22:AK22"/>
    <mergeCell ref="AE32:AK32"/>
    <mergeCell ref="AE40:AK40"/>
    <mergeCell ref="AF57:AL57"/>
    <mergeCell ref="AF62:AL62"/>
    <mergeCell ref="AF69:AL69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BIU</dc:creator>
  <cp:lastModifiedBy>BIU</cp:lastModifiedBy>
  <dcterms:created xsi:type="dcterms:W3CDTF">2018-07-07T12:15:14Z</dcterms:created>
  <dcterms:modified xsi:type="dcterms:W3CDTF">2018-07-07T12:15:30Z</dcterms:modified>
</cp:coreProperties>
</file>