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9.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adip Beriwal\Desktop\Create life you love\Reserach @ 2016\Polished\FMCG &amp; Durables\"/>
    </mc:Choice>
  </mc:AlternateContent>
  <bookViews>
    <workbookView xWindow="0" yWindow="0" windowWidth="15360" windowHeight="7650" tabRatio="877" firstSheet="1" activeTab="4"/>
  </bookViews>
  <sheets>
    <sheet name="Valuation_Chart" sheetId="1" r:id="rId1"/>
    <sheet name="Valuation_Table" sheetId="11" r:id="rId2"/>
    <sheet name="|" sheetId="33" r:id="rId3"/>
    <sheet name="Scorecard" sheetId="18" r:id="rId4"/>
    <sheet name="Revenue" sheetId="27" r:id="rId5"/>
    <sheet name="Profit" sheetId="28" r:id="rId6"/>
    <sheet name="Dupont" sheetId="16" r:id="rId7"/>
    <sheet name="Efficiency" sheetId="29" r:id="rId8"/>
    <sheet name="Others" sheetId="30" r:id="rId9"/>
    <sheet name="Piotroski" sheetId="14" r:id="rId10"/>
    <sheet name="Altman" sheetId="15" r:id="rId11"/>
    <sheet name="||" sheetId="32" r:id="rId12"/>
    <sheet name="Analysis" sheetId="19" r:id="rId13"/>
    <sheet name="MICAP" sheetId="17" state="hidden" r:id="rId14"/>
    <sheet name="Screener Output.v0" sheetId="20" r:id="rId15"/>
    <sheet name="Screener Input" sheetId="21" r:id="rId16"/>
    <sheet name="Shareholding input" sheetId="31" r:id="rId17"/>
    <sheet name="Annual Report input" sheetId="24" r:id="rId18"/>
    <sheet name="Phil Fisher" sheetId="25" r:id="rId19"/>
  </sheets>
  <externalReferences>
    <externalReference r:id="rId20"/>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ividend">'Screener Output.v0'!$H$76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UPDATE">'Screener Input'!$E$1</definedName>
  </definedNames>
  <calcPr calcId="152511"/>
</workbook>
</file>

<file path=xl/calcChain.xml><?xml version="1.0" encoding="utf-8"?>
<calcChain xmlns="http://schemas.openxmlformats.org/spreadsheetml/2006/main">
  <c r="K93" i="21" l="1"/>
  <c r="J93" i="21"/>
  <c r="I93" i="21"/>
  <c r="H93" i="21"/>
  <c r="G93" i="21"/>
  <c r="F93" i="21"/>
  <c r="E93" i="21"/>
  <c r="D93" i="21"/>
  <c r="C93" i="21"/>
  <c r="B93" i="21"/>
  <c r="B6" i="21"/>
  <c r="E1" i="21"/>
  <c r="B53" i="11" l="1"/>
  <c r="B54" i="11" l="1"/>
  <c r="B55" i="11"/>
  <c r="C23" i="31" l="1"/>
  <c r="D23" i="31"/>
  <c r="E5" i="31"/>
  <c r="F5" i="31" s="1"/>
  <c r="G5" i="31" s="1"/>
  <c r="H5" i="31" s="1"/>
  <c r="D13" i="31"/>
  <c r="E13" i="31"/>
  <c r="F13" i="31"/>
  <c r="G13" i="31"/>
  <c r="H13" i="31"/>
  <c r="D5" i="24" l="1"/>
  <c r="B8" i="11" s="1"/>
  <c r="E21" i="11" s="1"/>
  <c r="H26" i="31"/>
  <c r="G26" i="31"/>
  <c r="F26" i="31"/>
  <c r="E26" i="31"/>
  <c r="D26" i="31"/>
  <c r="F17" i="31"/>
  <c r="E17" i="31"/>
  <c r="H17" i="31"/>
  <c r="G17" i="31"/>
  <c r="D17" i="31"/>
  <c r="C13" i="31"/>
  <c r="C17" i="31" s="1"/>
  <c r="C26" i="31" l="1"/>
  <c r="M29" i="20"/>
  <c r="M31" i="20" s="1"/>
  <c r="M34" i="20"/>
  <c r="M32" i="20"/>
  <c r="M131" i="20" s="1"/>
  <c r="M30" i="20"/>
  <c r="N29" i="20"/>
  <c r="N25" i="20"/>
  <c r="M25" i="20"/>
  <c r="B41" i="11" s="1"/>
  <c r="M132" i="20" l="1"/>
  <c r="M130" i="20"/>
  <c r="B8" i="1"/>
  <c r="I26" i="18"/>
  <c r="L26" i="18" s="1"/>
  <c r="I25" i="18"/>
  <c r="F4" i="30"/>
  <c r="E4" i="30"/>
  <c r="L16" i="18"/>
  <c r="L17" i="18"/>
  <c r="L18" i="18"/>
  <c r="L19" i="18"/>
  <c r="L21" i="18"/>
  <c r="L22" i="18"/>
  <c r="L23" i="18"/>
  <c r="L24" i="18"/>
  <c r="N26" i="20"/>
  <c r="M26" i="20"/>
  <c r="M126" i="20" l="1"/>
  <c r="C192" i="20"/>
  <c r="C190" i="20"/>
  <c r="K8" i="18" l="1"/>
  <c r="I14" i="18" l="1"/>
  <c r="I13" i="18"/>
  <c r="L4" i="30" l="1"/>
  <c r="L13" i="18" s="1"/>
  <c r="M4" i="30"/>
  <c r="L14" i="18" s="1"/>
  <c r="M35" i="20"/>
  <c r="N74" i="20"/>
  <c r="D196" i="20"/>
  <c r="E196" i="20"/>
  <c r="F196" i="20"/>
  <c r="G196" i="20"/>
  <c r="H196" i="20"/>
  <c r="I196" i="20"/>
  <c r="J196" i="20"/>
  <c r="K196" i="20"/>
  <c r="L196" i="20"/>
  <c r="D197" i="20"/>
  <c r="E197" i="20"/>
  <c r="F197" i="20"/>
  <c r="G197" i="20"/>
  <c r="H197" i="20"/>
  <c r="I197" i="20"/>
  <c r="J197" i="20"/>
  <c r="K197" i="20"/>
  <c r="L197" i="20"/>
  <c r="D198" i="20"/>
  <c r="E198" i="20"/>
  <c r="F198" i="20"/>
  <c r="G198" i="20"/>
  <c r="H198" i="20"/>
  <c r="I198" i="20"/>
  <c r="J198" i="20"/>
  <c r="K198" i="20"/>
  <c r="L198" i="20"/>
  <c r="D199" i="20"/>
  <c r="E199" i="20"/>
  <c r="F199" i="20"/>
  <c r="G199" i="20"/>
  <c r="H199" i="20"/>
  <c r="I199" i="20"/>
  <c r="J199" i="20"/>
  <c r="K199" i="20"/>
  <c r="L199" i="20"/>
  <c r="C199" i="20"/>
  <c r="C198" i="20"/>
  <c r="C197" i="20"/>
  <c r="C196" i="20"/>
  <c r="D179" i="20"/>
  <c r="E179" i="20"/>
  <c r="F179" i="20"/>
  <c r="G179" i="20"/>
  <c r="H179" i="20"/>
  <c r="I179" i="20"/>
  <c r="J179" i="20"/>
  <c r="K179" i="20"/>
  <c r="L179" i="20"/>
  <c r="C179" i="20"/>
  <c r="D178" i="20"/>
  <c r="E178" i="20"/>
  <c r="F178" i="20"/>
  <c r="G178" i="20"/>
  <c r="H178" i="20"/>
  <c r="I178" i="20"/>
  <c r="J178" i="20"/>
  <c r="K178" i="20"/>
  <c r="L178" i="20"/>
  <c r="C178" i="20"/>
  <c r="D177" i="20"/>
  <c r="E177" i="20"/>
  <c r="F177" i="20"/>
  <c r="G177" i="20"/>
  <c r="H177" i="20"/>
  <c r="I177" i="20"/>
  <c r="J177" i="20"/>
  <c r="K177" i="20"/>
  <c r="L177" i="20"/>
  <c r="C177" i="20"/>
  <c r="D176" i="20"/>
  <c r="E176" i="20"/>
  <c r="F176" i="20"/>
  <c r="G176" i="20"/>
  <c r="H176" i="20"/>
  <c r="I176" i="20"/>
  <c r="J176" i="20"/>
  <c r="K176" i="20"/>
  <c r="L176" i="20"/>
  <c r="C176" i="20"/>
  <c r="D175" i="20"/>
  <c r="E175" i="20"/>
  <c r="F175" i="20"/>
  <c r="G175" i="20"/>
  <c r="H175" i="20"/>
  <c r="I175" i="20"/>
  <c r="J175" i="20"/>
  <c r="K175" i="20"/>
  <c r="L175" i="20"/>
  <c r="C175" i="20"/>
  <c r="D174" i="20"/>
  <c r="E174" i="20"/>
  <c r="F174" i="20"/>
  <c r="G174" i="20"/>
  <c r="H174" i="20"/>
  <c r="I174" i="20"/>
  <c r="J174" i="20"/>
  <c r="K174" i="20"/>
  <c r="L174" i="20"/>
  <c r="C174" i="20"/>
  <c r="D173" i="20"/>
  <c r="E173" i="20"/>
  <c r="F173" i="20"/>
  <c r="G173" i="20"/>
  <c r="H173" i="20"/>
  <c r="I173" i="20"/>
  <c r="J173" i="20"/>
  <c r="K173" i="20"/>
  <c r="L173" i="20"/>
  <c r="C173" i="20"/>
  <c r="D172" i="20"/>
  <c r="E172" i="20"/>
  <c r="F172" i="20"/>
  <c r="G172" i="20"/>
  <c r="H172" i="20"/>
  <c r="I172" i="20"/>
  <c r="J172" i="20"/>
  <c r="K172" i="20"/>
  <c r="L172" i="20"/>
  <c r="C172" i="20"/>
  <c r="D171" i="20"/>
  <c r="E171" i="20"/>
  <c r="F171" i="20"/>
  <c r="G171" i="20"/>
  <c r="H171" i="20"/>
  <c r="I171" i="20"/>
  <c r="J171" i="20"/>
  <c r="K171" i="20"/>
  <c r="L171" i="20"/>
  <c r="C171" i="20"/>
  <c r="D4" i="20"/>
  <c r="E4" i="20"/>
  <c r="F4" i="20"/>
  <c r="G4" i="20"/>
  <c r="H4" i="20"/>
  <c r="I4" i="20"/>
  <c r="J4" i="20"/>
  <c r="K4" i="20"/>
  <c r="L4" i="20"/>
  <c r="C4" i="20"/>
  <c r="M127" i="20" l="1"/>
  <c r="F4" i="19"/>
  <c r="M133" i="20"/>
  <c r="M134" i="20" s="1"/>
  <c r="H7" i="16"/>
  <c r="C99" i="20"/>
  <c r="C94" i="20"/>
  <c r="E99" i="20"/>
  <c r="E94" i="20"/>
  <c r="L99" i="20"/>
  <c r="L94" i="20"/>
  <c r="D99" i="20"/>
  <c r="D94" i="20"/>
  <c r="K99" i="20"/>
  <c r="K94" i="20"/>
  <c r="G99" i="20"/>
  <c r="G94" i="20"/>
  <c r="I99" i="20"/>
  <c r="I94" i="20"/>
  <c r="H99" i="20"/>
  <c r="H94" i="20"/>
  <c r="J99" i="20"/>
  <c r="J94" i="20"/>
  <c r="F99" i="20"/>
  <c r="F94" i="20"/>
  <c r="I111" i="20"/>
  <c r="I105" i="20"/>
  <c r="D111" i="20"/>
  <c r="D105" i="20"/>
  <c r="K111" i="20"/>
  <c r="K105" i="20"/>
  <c r="G111" i="20"/>
  <c r="G105" i="20"/>
  <c r="C111" i="20"/>
  <c r="E111" i="20"/>
  <c r="E105" i="20"/>
  <c r="L111" i="20"/>
  <c r="L105" i="20"/>
  <c r="H111" i="20"/>
  <c r="H105" i="20"/>
  <c r="J111" i="20"/>
  <c r="J105" i="20"/>
  <c r="F111" i="20"/>
  <c r="F105" i="20"/>
  <c r="I137" i="20"/>
  <c r="I116" i="20"/>
  <c r="D137" i="20"/>
  <c r="D116" i="20"/>
  <c r="K137" i="20"/>
  <c r="K116" i="20"/>
  <c r="G137" i="20"/>
  <c r="G116" i="20"/>
  <c r="E137" i="20"/>
  <c r="E116" i="20"/>
  <c r="L137" i="20"/>
  <c r="L116" i="20"/>
  <c r="H137" i="20"/>
  <c r="H116" i="20"/>
  <c r="J137" i="20"/>
  <c r="J116" i="20"/>
  <c r="F137" i="20"/>
  <c r="F116" i="20"/>
  <c r="C137" i="20"/>
  <c r="C116" i="20"/>
  <c r="J125" i="20"/>
  <c r="J129" i="20" s="1"/>
  <c r="G125" i="20"/>
  <c r="G129" i="20" s="1"/>
  <c r="K125" i="20"/>
  <c r="K129" i="20" s="1"/>
  <c r="F125" i="20"/>
  <c r="F129" i="20" s="1"/>
  <c r="C125" i="20"/>
  <c r="C129" i="20" s="1"/>
  <c r="I125" i="20"/>
  <c r="I129" i="20" s="1"/>
  <c r="E125" i="20"/>
  <c r="E129" i="20" s="1"/>
  <c r="L125" i="20"/>
  <c r="L129" i="20" s="1"/>
  <c r="H125" i="20"/>
  <c r="H129" i="20" s="1"/>
  <c r="D125" i="20"/>
  <c r="D129" i="20" s="1"/>
  <c r="C180" i="20"/>
  <c r="I180" i="20"/>
  <c r="E180" i="20"/>
  <c r="K180" i="20"/>
  <c r="G180" i="20"/>
  <c r="C200" i="20"/>
  <c r="J200" i="20"/>
  <c r="F200" i="20"/>
  <c r="K200" i="20"/>
  <c r="G200" i="20"/>
  <c r="J180" i="20"/>
  <c r="F180" i="20"/>
  <c r="L180" i="20"/>
  <c r="H180" i="20"/>
  <c r="D180" i="20"/>
  <c r="E5" i="27"/>
  <c r="L200" i="20"/>
  <c r="H200" i="20"/>
  <c r="D200" i="20"/>
  <c r="I200" i="20"/>
  <c r="E200" i="20"/>
  <c r="B42" i="11" l="1"/>
  <c r="E186" i="20"/>
  <c r="F186" i="20"/>
  <c r="G186" i="20"/>
  <c r="H186" i="20"/>
  <c r="I186" i="20"/>
  <c r="J186" i="20"/>
  <c r="K186" i="20"/>
  <c r="L186" i="20"/>
  <c r="D186" i="20"/>
  <c r="E187" i="20"/>
  <c r="F187" i="20"/>
  <c r="G187" i="20"/>
  <c r="H187" i="20"/>
  <c r="I187" i="20"/>
  <c r="J187" i="20"/>
  <c r="K187" i="20"/>
  <c r="L187" i="20"/>
  <c r="D187" i="20"/>
  <c r="E184" i="20"/>
  <c r="F184" i="20"/>
  <c r="G184" i="20"/>
  <c r="H184" i="20"/>
  <c r="I184" i="20"/>
  <c r="J184" i="20"/>
  <c r="K184" i="20"/>
  <c r="L184" i="20"/>
  <c r="D184" i="20"/>
  <c r="E192" i="20"/>
  <c r="F192" i="20"/>
  <c r="G192" i="20"/>
  <c r="G193" i="20" s="1"/>
  <c r="H192" i="20"/>
  <c r="I192" i="20"/>
  <c r="I193" i="20" s="1"/>
  <c r="J192" i="20"/>
  <c r="J193" i="20" s="1"/>
  <c r="K192" i="20"/>
  <c r="K193" i="20" s="1"/>
  <c r="L192" i="20"/>
  <c r="L193" i="20" s="1"/>
  <c r="S5" i="28" s="1"/>
  <c r="D192" i="20"/>
  <c r="E190" i="20"/>
  <c r="F190" i="20"/>
  <c r="G190" i="20"/>
  <c r="G191" i="20" s="1"/>
  <c r="H190" i="20"/>
  <c r="I190" i="20"/>
  <c r="I191" i="20" s="1"/>
  <c r="J190" i="20"/>
  <c r="J191" i="20" s="1"/>
  <c r="K190" i="20"/>
  <c r="K191" i="20" s="1"/>
  <c r="L190" i="20"/>
  <c r="L191" i="20" s="1"/>
  <c r="F5" i="27" s="1"/>
  <c r="D190" i="20"/>
  <c r="C52" i="11" l="1"/>
  <c r="E52" i="11"/>
  <c r="H191" i="20"/>
  <c r="H193" i="20"/>
  <c r="D189" i="20"/>
  <c r="E189" i="20"/>
  <c r="F189" i="20"/>
  <c r="G189" i="20"/>
  <c r="H189" i="20"/>
  <c r="I189" i="20"/>
  <c r="J189" i="20"/>
  <c r="K189" i="20"/>
  <c r="L189" i="20"/>
  <c r="C189" i="20"/>
  <c r="D52" i="11" l="1"/>
  <c r="K43" i="11"/>
  <c r="E185" i="20"/>
  <c r="F185" i="20"/>
  <c r="G185" i="20"/>
  <c r="H185" i="20"/>
  <c r="I185" i="20"/>
  <c r="J185" i="20"/>
  <c r="K185" i="20"/>
  <c r="L185" i="20"/>
  <c r="D185" i="20"/>
  <c r="D195" i="20" l="1"/>
  <c r="E195" i="20"/>
  <c r="F195" i="20"/>
  <c r="G195" i="20"/>
  <c r="H195" i="20"/>
  <c r="I195" i="20"/>
  <c r="J195" i="20"/>
  <c r="K195" i="20"/>
  <c r="L195" i="20"/>
  <c r="C195" i="20"/>
  <c r="B10" i="11" l="1"/>
  <c r="D165" i="20"/>
  <c r="D166" i="20" s="1"/>
  <c r="E165" i="20"/>
  <c r="E166" i="20" s="1"/>
  <c r="F165" i="20"/>
  <c r="F166" i="20" s="1"/>
  <c r="G165" i="20"/>
  <c r="G166" i="20" s="1"/>
  <c r="H165" i="20"/>
  <c r="H166" i="20" s="1"/>
  <c r="I165" i="20"/>
  <c r="I166" i="20" s="1"/>
  <c r="J165" i="20"/>
  <c r="J166" i="20" s="1"/>
  <c r="K165" i="20"/>
  <c r="K166" i="20" s="1"/>
  <c r="L165" i="20"/>
  <c r="L166" i="20" s="1"/>
  <c r="C165" i="20"/>
  <c r="C166" i="20" s="1"/>
  <c r="D162" i="20"/>
  <c r="E162" i="20"/>
  <c r="F162" i="20"/>
  <c r="G162" i="20"/>
  <c r="H162" i="20"/>
  <c r="I162" i="20"/>
  <c r="J162" i="20"/>
  <c r="K162" i="20"/>
  <c r="L162" i="20"/>
  <c r="C162" i="20"/>
  <c r="D161" i="20"/>
  <c r="E161" i="20"/>
  <c r="F161" i="20"/>
  <c r="G161" i="20"/>
  <c r="H161" i="20"/>
  <c r="I161" i="20"/>
  <c r="J161" i="20"/>
  <c r="K161" i="20"/>
  <c r="L161" i="20"/>
  <c r="C161" i="20"/>
  <c r="D160" i="20"/>
  <c r="E160" i="20"/>
  <c r="F160" i="20"/>
  <c r="G160" i="20"/>
  <c r="H160" i="20"/>
  <c r="I160" i="20"/>
  <c r="J160" i="20"/>
  <c r="K160" i="20"/>
  <c r="L160" i="20"/>
  <c r="C160" i="20"/>
  <c r="D159" i="20"/>
  <c r="E159" i="20"/>
  <c r="F159" i="20"/>
  <c r="G159" i="20"/>
  <c r="H159" i="20"/>
  <c r="I159" i="20"/>
  <c r="J159" i="20"/>
  <c r="K159" i="20"/>
  <c r="L159" i="20"/>
  <c r="C159" i="20"/>
  <c r="D156" i="20"/>
  <c r="E156" i="20"/>
  <c r="F156" i="20"/>
  <c r="G156" i="20"/>
  <c r="H156" i="20"/>
  <c r="I156" i="20"/>
  <c r="J156" i="20"/>
  <c r="K156" i="20"/>
  <c r="L156" i="20"/>
  <c r="C156" i="20"/>
  <c r="D158" i="20"/>
  <c r="E158" i="20"/>
  <c r="F158" i="20"/>
  <c r="G158" i="20"/>
  <c r="H158" i="20"/>
  <c r="I158" i="20"/>
  <c r="J158" i="20"/>
  <c r="K158" i="20"/>
  <c r="L158" i="20"/>
  <c r="C158" i="20"/>
  <c r="D157" i="20"/>
  <c r="E157" i="20"/>
  <c r="F157" i="20"/>
  <c r="G157" i="20"/>
  <c r="H157" i="20"/>
  <c r="I157" i="20"/>
  <c r="J157" i="20"/>
  <c r="K157" i="20"/>
  <c r="L157" i="20"/>
  <c r="C157" i="20"/>
  <c r="C181" i="20" l="1"/>
  <c r="I181" i="20"/>
  <c r="K181" i="20"/>
  <c r="L181" i="20"/>
  <c r="D181" i="20"/>
  <c r="F181" i="20"/>
  <c r="E181" i="20"/>
  <c r="G181" i="20"/>
  <c r="H181" i="20"/>
  <c r="J181" i="20"/>
  <c r="M74" i="20" l="1"/>
  <c r="B9" i="11" l="1"/>
  <c r="H5" i="28"/>
  <c r="B46" i="11"/>
  <c r="B13" i="11" l="1"/>
  <c r="B5" i="1"/>
  <c r="A1" i="20"/>
  <c r="B11" i="1"/>
  <c r="B4" i="1"/>
  <c r="B3" i="1"/>
  <c r="L33" i="18"/>
  <c r="L29" i="18"/>
  <c r="L30" i="18"/>
  <c r="L31" i="18"/>
  <c r="L28" i="18"/>
  <c r="B24" i="11"/>
  <c r="L27" i="18" l="1"/>
  <c r="K27" i="18"/>
  <c r="D72" i="20" l="1"/>
  <c r="E72" i="20"/>
  <c r="F72" i="20"/>
  <c r="G72" i="20"/>
  <c r="H72" i="20"/>
  <c r="I72" i="20"/>
  <c r="J72" i="20"/>
  <c r="K72" i="20"/>
  <c r="L72" i="20"/>
  <c r="C72" i="20"/>
  <c r="C25" i="20"/>
  <c r="E12" i="19" s="1"/>
  <c r="D25" i="20"/>
  <c r="E25" i="20"/>
  <c r="F25" i="20"/>
  <c r="G25" i="20"/>
  <c r="H25" i="20"/>
  <c r="G41" i="11" s="1"/>
  <c r="I25" i="20"/>
  <c r="F41" i="11" s="1"/>
  <c r="J25" i="20"/>
  <c r="E41" i="11" s="1"/>
  <c r="K25" i="20"/>
  <c r="D41" i="11" s="1"/>
  <c r="L25" i="20"/>
  <c r="C41" i="11" s="1"/>
  <c r="L73" i="20"/>
  <c r="K73" i="20"/>
  <c r="F12" i="11" s="1"/>
  <c r="J73" i="20"/>
  <c r="G12" i="11" s="1"/>
  <c r="I75" i="20"/>
  <c r="H10" i="11" s="1"/>
  <c r="H73" i="20"/>
  <c r="I12" i="11" s="1"/>
  <c r="G73" i="20"/>
  <c r="J12" i="11" s="1"/>
  <c r="F73" i="20"/>
  <c r="E75" i="20"/>
  <c r="D73" i="20"/>
  <c r="C75" i="20"/>
  <c r="H76" i="20"/>
  <c r="D76" i="20"/>
  <c r="H74" i="20"/>
  <c r="I9" i="11" s="1"/>
  <c r="D74" i="20"/>
  <c r="L65" i="20"/>
  <c r="K65" i="20"/>
  <c r="J65" i="20"/>
  <c r="I65" i="20"/>
  <c r="H65" i="20"/>
  <c r="G65" i="20"/>
  <c r="F65" i="20"/>
  <c r="E65" i="20"/>
  <c r="D65" i="20"/>
  <c r="C65" i="20"/>
  <c r="L64" i="20"/>
  <c r="K64" i="20"/>
  <c r="J64" i="20"/>
  <c r="I64" i="20"/>
  <c r="H64" i="20"/>
  <c r="G64" i="20"/>
  <c r="F64" i="20"/>
  <c r="E64" i="20"/>
  <c r="D64" i="20"/>
  <c r="C64" i="20"/>
  <c r="K62" i="20"/>
  <c r="J62" i="20"/>
  <c r="I62" i="20"/>
  <c r="H62" i="20"/>
  <c r="G62" i="20"/>
  <c r="F62" i="20"/>
  <c r="E62" i="20"/>
  <c r="D62" i="20"/>
  <c r="C62" i="20"/>
  <c r="L60" i="20"/>
  <c r="K60" i="20"/>
  <c r="J60" i="20"/>
  <c r="I60" i="20"/>
  <c r="H60" i="20"/>
  <c r="G60" i="20"/>
  <c r="F60" i="20"/>
  <c r="E60" i="20"/>
  <c r="D60" i="20"/>
  <c r="C60" i="20"/>
  <c r="L59" i="20"/>
  <c r="K59" i="20"/>
  <c r="J59" i="20"/>
  <c r="I59" i="20"/>
  <c r="H59" i="20"/>
  <c r="G59" i="20"/>
  <c r="F59" i="20"/>
  <c r="E59" i="20"/>
  <c r="D59" i="20"/>
  <c r="C59" i="20"/>
  <c r="L55" i="20"/>
  <c r="L8" i="20" s="1"/>
  <c r="C22" i="20" s="1"/>
  <c r="K55" i="20"/>
  <c r="K8" i="20" s="1"/>
  <c r="J55" i="20"/>
  <c r="J8" i="20" s="1"/>
  <c r="I55" i="20"/>
  <c r="I8" i="20" s="1"/>
  <c r="H55" i="20"/>
  <c r="G55" i="20"/>
  <c r="G8" i="20" s="1"/>
  <c r="F55" i="20"/>
  <c r="F8" i="20" s="1"/>
  <c r="E55" i="20"/>
  <c r="E8" i="20" s="1"/>
  <c r="D55" i="20"/>
  <c r="D8" i="20" s="1"/>
  <c r="C55" i="20"/>
  <c r="C8" i="20" s="1"/>
  <c r="L54" i="20"/>
  <c r="L6" i="20" s="1"/>
  <c r="K54" i="20"/>
  <c r="K6" i="20" s="1"/>
  <c r="J54" i="20"/>
  <c r="J6" i="20" s="1"/>
  <c r="J114" i="20" s="1"/>
  <c r="I54" i="20"/>
  <c r="I6" i="20" s="1"/>
  <c r="H54" i="20"/>
  <c r="H6" i="20" s="1"/>
  <c r="G54" i="20"/>
  <c r="G6" i="20" s="1"/>
  <c r="F54" i="20"/>
  <c r="F6" i="20" s="1"/>
  <c r="F114" i="20" s="1"/>
  <c r="E54" i="20"/>
  <c r="E6" i="20" s="1"/>
  <c r="D54" i="20"/>
  <c r="D6" i="20" s="1"/>
  <c r="C54" i="20"/>
  <c r="C6" i="20" s="1"/>
  <c r="L53" i="20"/>
  <c r="L7" i="20" s="1"/>
  <c r="K53" i="20"/>
  <c r="K7" i="20" s="1"/>
  <c r="J53" i="20"/>
  <c r="J7" i="20" s="1"/>
  <c r="I53" i="20"/>
  <c r="I7" i="20" s="1"/>
  <c r="H53" i="20"/>
  <c r="H7" i="20" s="1"/>
  <c r="G53" i="20"/>
  <c r="G7" i="20" s="1"/>
  <c r="F53" i="20"/>
  <c r="F7" i="20" s="1"/>
  <c r="E53" i="20"/>
  <c r="E7" i="20" s="1"/>
  <c r="D53" i="20"/>
  <c r="D7" i="20" s="1"/>
  <c r="C53" i="20"/>
  <c r="C7" i="20" s="1"/>
  <c r="L52" i="20"/>
  <c r="C5" i="15" s="1"/>
  <c r="K52" i="20"/>
  <c r="J52" i="20"/>
  <c r="I52" i="20"/>
  <c r="H52" i="20"/>
  <c r="G52" i="20"/>
  <c r="F52" i="20"/>
  <c r="E52" i="20"/>
  <c r="D52" i="20"/>
  <c r="C52" i="20"/>
  <c r="L51" i="20"/>
  <c r="K51" i="20"/>
  <c r="J51" i="20"/>
  <c r="I51" i="20"/>
  <c r="H51" i="20"/>
  <c r="G51" i="20"/>
  <c r="F51" i="20"/>
  <c r="E51" i="20"/>
  <c r="D51" i="20"/>
  <c r="C51" i="20"/>
  <c r="L50" i="20"/>
  <c r="K50" i="20"/>
  <c r="J50" i="20"/>
  <c r="I50" i="20"/>
  <c r="H50" i="20"/>
  <c r="G50" i="20"/>
  <c r="F50" i="20"/>
  <c r="E50" i="20"/>
  <c r="D50" i="20"/>
  <c r="C50" i="20"/>
  <c r="L49" i="20"/>
  <c r="K49" i="20"/>
  <c r="J49" i="20"/>
  <c r="I49" i="20"/>
  <c r="H49" i="20"/>
  <c r="G49" i="20"/>
  <c r="F49" i="20"/>
  <c r="E49" i="20"/>
  <c r="D49" i="20"/>
  <c r="C49" i="20"/>
  <c r="L48" i="20"/>
  <c r="L10" i="20" s="1"/>
  <c r="K48" i="20"/>
  <c r="K10" i="20" s="1"/>
  <c r="J48" i="20"/>
  <c r="J10" i="20" s="1"/>
  <c r="I48" i="20"/>
  <c r="I10" i="20" s="1"/>
  <c r="H48" i="20"/>
  <c r="H10" i="20" s="1"/>
  <c r="G48" i="20"/>
  <c r="G10" i="20" s="1"/>
  <c r="F48" i="20"/>
  <c r="F10" i="20" s="1"/>
  <c r="E48" i="20"/>
  <c r="E10" i="20" s="1"/>
  <c r="D48" i="20"/>
  <c r="D10" i="20" s="1"/>
  <c r="C48" i="20"/>
  <c r="C10" i="20" s="1"/>
  <c r="L47" i="20"/>
  <c r="L9" i="20" s="1"/>
  <c r="K47" i="20"/>
  <c r="K9" i="20" s="1"/>
  <c r="J47" i="20"/>
  <c r="J9" i="20" s="1"/>
  <c r="I47" i="20"/>
  <c r="I9" i="20" s="1"/>
  <c r="H47" i="20"/>
  <c r="H9" i="20" s="1"/>
  <c r="G47" i="20"/>
  <c r="G9" i="20" s="1"/>
  <c r="F47" i="20"/>
  <c r="F9" i="20" s="1"/>
  <c r="E47" i="20"/>
  <c r="E9" i="20" s="1"/>
  <c r="D47" i="20"/>
  <c r="D9" i="20" s="1"/>
  <c r="C47" i="20"/>
  <c r="C9" i="20" s="1"/>
  <c r="L46" i="20"/>
  <c r="K46" i="20"/>
  <c r="J46" i="20"/>
  <c r="I46" i="20"/>
  <c r="H46" i="20"/>
  <c r="G46" i="20"/>
  <c r="F46" i="20"/>
  <c r="E46" i="20"/>
  <c r="D46" i="20"/>
  <c r="C46" i="20"/>
  <c r="L45" i="20"/>
  <c r="K45" i="20"/>
  <c r="J45" i="20"/>
  <c r="I45" i="20"/>
  <c r="H45" i="20"/>
  <c r="G45" i="20"/>
  <c r="F45" i="20"/>
  <c r="E45" i="20"/>
  <c r="D45" i="20"/>
  <c r="C45" i="20"/>
  <c r="L41" i="20"/>
  <c r="C8" i="15" s="1"/>
  <c r="K41" i="20"/>
  <c r="J41" i="20"/>
  <c r="I41" i="20"/>
  <c r="H41" i="20"/>
  <c r="G41" i="20"/>
  <c r="F41" i="20"/>
  <c r="E41" i="20"/>
  <c r="D41" i="20"/>
  <c r="C41" i="20"/>
  <c r="L40" i="20"/>
  <c r="K40" i="20"/>
  <c r="D10" i="14" s="1"/>
  <c r="J40" i="20"/>
  <c r="E10" i="14" s="1"/>
  <c r="I40" i="20"/>
  <c r="F10" i="14" s="1"/>
  <c r="H40" i="20"/>
  <c r="G10" i="14" s="1"/>
  <c r="G40" i="20"/>
  <c r="F40" i="20"/>
  <c r="E40" i="20"/>
  <c r="D40" i="20"/>
  <c r="C40" i="20"/>
  <c r="B38" i="20"/>
  <c r="L37" i="20"/>
  <c r="H37" i="20"/>
  <c r="D37" i="20"/>
  <c r="L36" i="20"/>
  <c r="K36" i="20"/>
  <c r="J36" i="20"/>
  <c r="I36" i="20"/>
  <c r="H36" i="20"/>
  <c r="G36" i="20"/>
  <c r="F36" i="20"/>
  <c r="E36" i="20"/>
  <c r="D36" i="20"/>
  <c r="C36" i="20"/>
  <c r="L34" i="20"/>
  <c r="L132" i="20" s="1"/>
  <c r="K34" i="20"/>
  <c r="J34" i="20"/>
  <c r="I34" i="20"/>
  <c r="H34" i="20"/>
  <c r="H132" i="20" s="1"/>
  <c r="G34" i="20"/>
  <c r="F34" i="20"/>
  <c r="E34" i="20"/>
  <c r="D34" i="20"/>
  <c r="D132" i="20" s="1"/>
  <c r="C34" i="20"/>
  <c r="L32" i="20"/>
  <c r="K32" i="20"/>
  <c r="J32" i="20"/>
  <c r="I32" i="20"/>
  <c r="H32" i="20"/>
  <c r="G32" i="20"/>
  <c r="F32" i="20"/>
  <c r="E32" i="20"/>
  <c r="D32" i="20"/>
  <c r="C32" i="20"/>
  <c r="L30" i="20"/>
  <c r="L130" i="20" s="1"/>
  <c r="K30" i="20"/>
  <c r="J30" i="20"/>
  <c r="I30" i="20"/>
  <c r="H30" i="20"/>
  <c r="H130" i="20" s="1"/>
  <c r="G30" i="20"/>
  <c r="F30" i="20"/>
  <c r="E30" i="20"/>
  <c r="D30" i="20"/>
  <c r="D130" i="20" s="1"/>
  <c r="C30" i="20"/>
  <c r="L29" i="20"/>
  <c r="K29" i="20"/>
  <c r="J29" i="20"/>
  <c r="I29" i="20"/>
  <c r="H29" i="20"/>
  <c r="G29" i="20"/>
  <c r="F29" i="20"/>
  <c r="E29" i="20"/>
  <c r="D29" i="20"/>
  <c r="C29" i="20"/>
  <c r="A27" i="20"/>
  <c r="L26" i="20"/>
  <c r="K26" i="20"/>
  <c r="K95" i="20" s="1"/>
  <c r="K96" i="20" s="1"/>
  <c r="J26" i="20"/>
  <c r="J95" i="20" s="1"/>
  <c r="J96" i="20" s="1"/>
  <c r="I26" i="20"/>
  <c r="H26" i="20"/>
  <c r="G26" i="20"/>
  <c r="G95" i="20" s="1"/>
  <c r="G96" i="20" s="1"/>
  <c r="F26" i="20"/>
  <c r="F95" i="20" s="1"/>
  <c r="F96" i="20" s="1"/>
  <c r="E26" i="20"/>
  <c r="D26" i="20"/>
  <c r="C26" i="20"/>
  <c r="C95" i="20" s="1"/>
  <c r="C96" i="20" s="1"/>
  <c r="A24" i="20"/>
  <c r="L21" i="20"/>
  <c r="K21" i="20"/>
  <c r="J21" i="20"/>
  <c r="I21" i="20"/>
  <c r="H21" i="20"/>
  <c r="G21" i="20"/>
  <c r="F21" i="20"/>
  <c r="E21" i="20"/>
  <c r="D21" i="20"/>
  <c r="C21" i="20"/>
  <c r="L20" i="20"/>
  <c r="K20" i="20"/>
  <c r="J20" i="20"/>
  <c r="I20" i="20"/>
  <c r="H20" i="20"/>
  <c r="G20" i="20"/>
  <c r="F20" i="20"/>
  <c r="E20" i="20"/>
  <c r="D20" i="20"/>
  <c r="C20" i="20"/>
  <c r="L17" i="20"/>
  <c r="K17" i="20"/>
  <c r="J17" i="20"/>
  <c r="I17" i="20"/>
  <c r="H17" i="20"/>
  <c r="G17" i="20"/>
  <c r="F17" i="20"/>
  <c r="E17" i="20"/>
  <c r="D17" i="20"/>
  <c r="C17" i="20"/>
  <c r="L16" i="20"/>
  <c r="K16" i="20"/>
  <c r="J16" i="20"/>
  <c r="I16" i="20"/>
  <c r="H16" i="20"/>
  <c r="G16" i="20"/>
  <c r="F16" i="20"/>
  <c r="E16" i="20"/>
  <c r="D16" i="20"/>
  <c r="C16" i="20"/>
  <c r="L15" i="20"/>
  <c r="L27" i="20" s="1"/>
  <c r="L113" i="20" s="1"/>
  <c r="K15" i="20"/>
  <c r="K27" i="20" s="1"/>
  <c r="J15" i="20"/>
  <c r="J27" i="20" s="1"/>
  <c r="I15" i="20"/>
  <c r="I27" i="20" s="1"/>
  <c r="I113" i="20" s="1"/>
  <c r="H15" i="20"/>
  <c r="H27" i="20" s="1"/>
  <c r="H113" i="20" s="1"/>
  <c r="G15" i="20"/>
  <c r="G27" i="20" s="1"/>
  <c r="F15" i="20"/>
  <c r="F27" i="20" s="1"/>
  <c r="E15" i="20"/>
  <c r="E27" i="20" s="1"/>
  <c r="E113" i="20" s="1"/>
  <c r="D15" i="20"/>
  <c r="D27" i="20" s="1"/>
  <c r="D113" i="20" s="1"/>
  <c r="C15" i="20"/>
  <c r="C27" i="20" s="1"/>
  <c r="L183" i="20"/>
  <c r="K183" i="20"/>
  <c r="J183" i="20"/>
  <c r="I183" i="20"/>
  <c r="H183" i="20"/>
  <c r="G183" i="20"/>
  <c r="F183" i="20"/>
  <c r="E183" i="20"/>
  <c r="D183" i="20"/>
  <c r="C183" i="20"/>
  <c r="A4" i="20"/>
  <c r="K4" i="19"/>
  <c r="K3" i="19"/>
  <c r="L32" i="18"/>
  <c r="C9" i="18" s="1"/>
  <c r="K32" i="18"/>
  <c r="K20" i="18"/>
  <c r="L15" i="18"/>
  <c r="C6" i="18" s="1"/>
  <c r="K15" i="18"/>
  <c r="C8" i="18"/>
  <c r="K3" i="18"/>
  <c r="B5" i="18" s="1"/>
  <c r="H8" i="16" l="1"/>
  <c r="M93" i="20"/>
  <c r="H11" i="16" s="1"/>
  <c r="E13" i="19"/>
  <c r="H41" i="11"/>
  <c r="F131" i="20"/>
  <c r="E130" i="20"/>
  <c r="I130" i="20"/>
  <c r="C131" i="20"/>
  <c r="G131" i="20"/>
  <c r="K131" i="20"/>
  <c r="E132" i="20"/>
  <c r="I132" i="20"/>
  <c r="C114" i="20"/>
  <c r="G114" i="20"/>
  <c r="K114" i="20"/>
  <c r="J131" i="20"/>
  <c r="F130" i="20"/>
  <c r="J130" i="20"/>
  <c r="D131" i="20"/>
  <c r="H131" i="20"/>
  <c r="L131" i="20"/>
  <c r="F132" i="20"/>
  <c r="J132" i="20"/>
  <c r="L4" i="19"/>
  <c r="C5" i="29"/>
  <c r="C130" i="20"/>
  <c r="G130" i="20"/>
  <c r="K130" i="20"/>
  <c r="E131" i="20"/>
  <c r="I131" i="20"/>
  <c r="C132" i="20"/>
  <c r="G132" i="20"/>
  <c r="K132" i="20"/>
  <c r="D114" i="20"/>
  <c r="H114" i="20"/>
  <c r="L114" i="20"/>
  <c r="E114" i="20"/>
  <c r="I114" i="20"/>
  <c r="L25" i="18"/>
  <c r="L20" i="18" s="1"/>
  <c r="C7" i="18" s="1"/>
  <c r="I120" i="20"/>
  <c r="I95" i="20"/>
  <c r="I96" i="20" s="1"/>
  <c r="E120" i="20"/>
  <c r="E95" i="20"/>
  <c r="E96" i="20" s="1"/>
  <c r="D95" i="20"/>
  <c r="D96" i="20" s="1"/>
  <c r="H95" i="20"/>
  <c r="H96" i="20" s="1"/>
  <c r="L95" i="20"/>
  <c r="L96" i="20" s="1"/>
  <c r="C126" i="20"/>
  <c r="F126" i="20"/>
  <c r="J126" i="20"/>
  <c r="F121" i="20"/>
  <c r="J121" i="20"/>
  <c r="G126" i="20"/>
  <c r="K126" i="20"/>
  <c r="D126" i="20"/>
  <c r="H126" i="20"/>
  <c r="L126" i="20"/>
  <c r="E126" i="20"/>
  <c r="I126" i="20"/>
  <c r="D112" i="20"/>
  <c r="H112" i="20"/>
  <c r="L112" i="20"/>
  <c r="C121" i="20"/>
  <c r="G121" i="20"/>
  <c r="K121" i="20"/>
  <c r="D121" i="20"/>
  <c r="H121" i="20"/>
  <c r="L121" i="20"/>
  <c r="D5" i="29"/>
  <c r="E121" i="20"/>
  <c r="I121" i="20"/>
  <c r="E112" i="20"/>
  <c r="I112" i="20"/>
  <c r="F113" i="20"/>
  <c r="J113" i="20"/>
  <c r="F112" i="20"/>
  <c r="J112" i="20"/>
  <c r="C113" i="20"/>
  <c r="G113" i="20"/>
  <c r="K113" i="20"/>
  <c r="C112" i="20"/>
  <c r="G112" i="20"/>
  <c r="K112" i="20"/>
  <c r="F120" i="20"/>
  <c r="C120" i="20"/>
  <c r="G120" i="20"/>
  <c r="K120" i="20"/>
  <c r="E9" i="14"/>
  <c r="J120" i="20"/>
  <c r="D120" i="20"/>
  <c r="H120" i="20"/>
  <c r="L120" i="20"/>
  <c r="F9" i="14"/>
  <c r="G5" i="14"/>
  <c r="C5" i="14"/>
  <c r="F5" i="14"/>
  <c r="E5" i="14"/>
  <c r="D5" i="14"/>
  <c r="E138" i="20"/>
  <c r="I138" i="20"/>
  <c r="D141" i="20"/>
  <c r="H141" i="20"/>
  <c r="I141" i="20"/>
  <c r="L141" i="20"/>
  <c r="E141" i="20"/>
  <c r="D5" i="27"/>
  <c r="I41" i="11" s="1"/>
  <c r="C5" i="27"/>
  <c r="J41" i="11" s="1"/>
  <c r="F141" i="20"/>
  <c r="J141" i="20"/>
  <c r="C141" i="20"/>
  <c r="G141" i="20"/>
  <c r="K141" i="20"/>
  <c r="F138" i="20"/>
  <c r="C138" i="20"/>
  <c r="G138" i="20"/>
  <c r="K138" i="20"/>
  <c r="J138" i="20"/>
  <c r="D138" i="20"/>
  <c r="H138" i="20"/>
  <c r="L138" i="20"/>
  <c r="K10" i="16"/>
  <c r="G14" i="20"/>
  <c r="G24" i="20" s="1"/>
  <c r="G170" i="20"/>
  <c r="G164" i="20"/>
  <c r="G155" i="20"/>
  <c r="D14" i="20"/>
  <c r="D24" i="20" s="1"/>
  <c r="D170" i="20"/>
  <c r="D155" i="20"/>
  <c r="D164" i="20"/>
  <c r="L14" i="20"/>
  <c r="L24" i="20" s="1"/>
  <c r="L170" i="20"/>
  <c r="L155" i="20"/>
  <c r="L164" i="20"/>
  <c r="E14" i="20"/>
  <c r="E24" i="20" s="1"/>
  <c r="E170" i="20"/>
  <c r="E155" i="20"/>
  <c r="E164" i="20"/>
  <c r="I14" i="20"/>
  <c r="I24" i="20" s="1"/>
  <c r="I164" i="20"/>
  <c r="I170" i="20"/>
  <c r="I155" i="20"/>
  <c r="C14" i="20"/>
  <c r="C24" i="20" s="1"/>
  <c r="C170" i="20"/>
  <c r="C155" i="20"/>
  <c r="C164" i="20"/>
  <c r="K14" i="20"/>
  <c r="K24" i="20" s="1"/>
  <c r="K155" i="20"/>
  <c r="K164" i="20"/>
  <c r="K170" i="20"/>
  <c r="H14" i="20"/>
  <c r="H24" i="20" s="1"/>
  <c r="H170" i="20"/>
  <c r="H155" i="20"/>
  <c r="H164" i="20"/>
  <c r="F14" i="20"/>
  <c r="F24" i="20" s="1"/>
  <c r="F164" i="20"/>
  <c r="F170" i="20"/>
  <c r="F155" i="20"/>
  <c r="J14" i="20"/>
  <c r="J24" i="20" s="1"/>
  <c r="J164" i="20"/>
  <c r="J170" i="20"/>
  <c r="J155" i="20"/>
  <c r="C6" i="15"/>
  <c r="K9" i="16"/>
  <c r="K8" i="16"/>
  <c r="B7" i="1"/>
  <c r="F7" i="15"/>
  <c r="C10" i="15"/>
  <c r="E90" i="20"/>
  <c r="I90" i="20"/>
  <c r="D58" i="20"/>
  <c r="C6" i="14"/>
  <c r="D90" i="20"/>
  <c r="H90" i="20"/>
  <c r="G76" i="20"/>
  <c r="G77" i="20" s="1"/>
  <c r="F8" i="16"/>
  <c r="C9" i="16"/>
  <c r="F90" i="20"/>
  <c r="J90" i="20"/>
  <c r="C8" i="16"/>
  <c r="C37" i="20"/>
  <c r="C83" i="20" s="1"/>
  <c r="K37" i="20"/>
  <c r="K82" i="20" s="1"/>
  <c r="D6" i="14"/>
  <c r="D9" i="16"/>
  <c r="C74" i="20"/>
  <c r="K74" i="20"/>
  <c r="F9" i="11" s="1"/>
  <c r="G9" i="16"/>
  <c r="H10" i="16" s="1"/>
  <c r="G6" i="14"/>
  <c r="E9" i="16"/>
  <c r="C76" i="20"/>
  <c r="K76" i="20"/>
  <c r="K77" i="20" s="1"/>
  <c r="H75" i="20"/>
  <c r="I10" i="11" s="1"/>
  <c r="E11" i="14"/>
  <c r="C7" i="15"/>
  <c r="G8" i="16"/>
  <c r="G37" i="20"/>
  <c r="G81" i="20" s="1"/>
  <c r="F9" i="16"/>
  <c r="G74" i="20"/>
  <c r="I13" i="19" s="1"/>
  <c r="D77" i="20"/>
  <c r="D8" i="16"/>
  <c r="F11" i="14"/>
  <c r="B6" i="1"/>
  <c r="F6" i="14"/>
  <c r="E6" i="14"/>
  <c r="J23" i="20"/>
  <c r="J63" i="20" s="1"/>
  <c r="C10" i="14"/>
  <c r="C20" i="14" s="1"/>
  <c r="G21" i="16"/>
  <c r="E8" i="16"/>
  <c r="E74" i="20"/>
  <c r="I37" i="20"/>
  <c r="I83" i="20" s="1"/>
  <c r="E37" i="20"/>
  <c r="E83" i="20" s="1"/>
  <c r="I76" i="20"/>
  <c r="I77" i="20" s="1"/>
  <c r="I74" i="20"/>
  <c r="H9" i="11" s="1"/>
  <c r="E76" i="20"/>
  <c r="E77" i="20" s="1"/>
  <c r="D75" i="20"/>
  <c r="C73" i="20"/>
  <c r="J12" i="19" s="1"/>
  <c r="F37" i="20"/>
  <c r="F83" i="20" s="1"/>
  <c r="J37" i="20"/>
  <c r="J81" i="20" s="1"/>
  <c r="F74" i="20"/>
  <c r="J74" i="20"/>
  <c r="G9" i="11" s="1"/>
  <c r="I73" i="20"/>
  <c r="H12" i="11" s="1"/>
  <c r="L75" i="20"/>
  <c r="E73" i="20"/>
  <c r="E12" i="11"/>
  <c r="K12" i="11" s="1"/>
  <c r="J13" i="19"/>
  <c r="F76" i="20"/>
  <c r="F77" i="20" s="1"/>
  <c r="J76" i="20"/>
  <c r="K75" i="20"/>
  <c r="F10" i="11" s="1"/>
  <c r="G75" i="20"/>
  <c r="J10" i="11" s="1"/>
  <c r="J75" i="20"/>
  <c r="G10" i="11" s="1"/>
  <c r="F75" i="20"/>
  <c r="H77" i="20"/>
  <c r="I8" i="11"/>
  <c r="B4" i="18"/>
  <c r="G7" i="14"/>
  <c r="C7" i="14"/>
  <c r="B11" i="11"/>
  <c r="B16" i="11" s="1"/>
  <c r="G11" i="14"/>
  <c r="F23" i="20"/>
  <c r="F63" i="20" s="1"/>
  <c r="C11" i="14"/>
  <c r="E42" i="20"/>
  <c r="I42" i="20"/>
  <c r="I100" i="20" s="1"/>
  <c r="F58" i="20"/>
  <c r="J58" i="20"/>
  <c r="D11" i="14"/>
  <c r="H4" i="19"/>
  <c r="G13" i="19"/>
  <c r="E4" i="19"/>
  <c r="I31" i="20"/>
  <c r="D86" i="20"/>
  <c r="C11" i="15"/>
  <c r="G4" i="19"/>
  <c r="F31" i="20"/>
  <c r="J31" i="20"/>
  <c r="D89" i="20"/>
  <c r="H89" i="20"/>
  <c r="L89" i="20"/>
  <c r="D11" i="20"/>
  <c r="L11" i="20"/>
  <c r="E11" i="20"/>
  <c r="D23" i="20"/>
  <c r="D63" i="20" s="1"/>
  <c r="D80" i="20" s="1"/>
  <c r="H23" i="20"/>
  <c r="H63" i="20" s="1"/>
  <c r="L23" i="20"/>
  <c r="E23" i="20"/>
  <c r="E63" i="20" s="1"/>
  <c r="I23" i="20"/>
  <c r="I63" i="20" s="1"/>
  <c r="E86" i="20"/>
  <c r="I86" i="20"/>
  <c r="H3" i="19"/>
  <c r="I3" i="19"/>
  <c r="C9" i="15"/>
  <c r="E31" i="20"/>
  <c r="H86" i="20"/>
  <c r="D7" i="14"/>
  <c r="H11" i="20"/>
  <c r="J3" i="19"/>
  <c r="F13" i="19"/>
  <c r="E3" i="19"/>
  <c r="G12" i="19"/>
  <c r="C11" i="20"/>
  <c r="G11" i="20"/>
  <c r="K11" i="20"/>
  <c r="F42" i="20"/>
  <c r="F102" i="20" s="1"/>
  <c r="J42" i="20"/>
  <c r="J101" i="20" s="1"/>
  <c r="C58" i="20"/>
  <c r="G58" i="20"/>
  <c r="K58" i="20"/>
  <c r="F12" i="19"/>
  <c r="G3" i="19"/>
  <c r="H58" i="20"/>
  <c r="E7" i="14"/>
  <c r="I11" i="20"/>
  <c r="F7" i="14"/>
  <c r="I4" i="19"/>
  <c r="H8" i="20"/>
  <c r="H82" i="20" s="1"/>
  <c r="G23" i="20"/>
  <c r="G63" i="20" s="1"/>
  <c r="K23" i="20"/>
  <c r="K63" i="20" s="1"/>
  <c r="C28" i="20"/>
  <c r="G28" i="20"/>
  <c r="K28" i="20"/>
  <c r="C31" i="20"/>
  <c r="G31" i="20"/>
  <c r="K31" i="20"/>
  <c r="F86" i="20"/>
  <c r="J86" i="20"/>
  <c r="J4" i="19"/>
  <c r="F11" i="20"/>
  <c r="J11" i="20"/>
  <c r="J106" i="20" s="1"/>
  <c r="D31" i="20"/>
  <c r="H31" i="20"/>
  <c r="L31" i="20"/>
  <c r="D83" i="20"/>
  <c r="H83" i="20"/>
  <c r="L83" i="20"/>
  <c r="C42" i="20"/>
  <c r="C101" i="20" s="1"/>
  <c r="G42" i="20"/>
  <c r="K42" i="20"/>
  <c r="L58" i="20"/>
  <c r="C86" i="20"/>
  <c r="G86" i="20"/>
  <c r="K86" i="20"/>
  <c r="G9" i="14"/>
  <c r="D42" i="20"/>
  <c r="D101" i="20" s="1"/>
  <c r="H42" i="20"/>
  <c r="H101" i="20" s="1"/>
  <c r="L42" i="20"/>
  <c r="E58" i="20"/>
  <c r="I58" i="20"/>
  <c r="D9" i="14"/>
  <c r="L28" i="20"/>
  <c r="L76" i="20"/>
  <c r="L74" i="20"/>
  <c r="E9" i="11" s="1"/>
  <c r="D28" i="20"/>
  <c r="H28" i="20"/>
  <c r="D69" i="20"/>
  <c r="H69" i="20"/>
  <c r="L69" i="20"/>
  <c r="D79" i="20"/>
  <c r="H79" i="20"/>
  <c r="D81" i="20"/>
  <c r="H81" i="20"/>
  <c r="L81" i="20"/>
  <c r="C90" i="20"/>
  <c r="G90" i="20"/>
  <c r="K90" i="20"/>
  <c r="L62" i="20"/>
  <c r="E28" i="20"/>
  <c r="I28" i="20"/>
  <c r="F28" i="20"/>
  <c r="J28" i="20"/>
  <c r="D82" i="20"/>
  <c r="L82" i="20"/>
  <c r="D84" i="20"/>
  <c r="L84" i="20"/>
  <c r="L33" i="20" l="1"/>
  <c r="L35" i="20" s="1"/>
  <c r="L133" i="20" s="1"/>
  <c r="L93" i="20"/>
  <c r="G11" i="16" s="1"/>
  <c r="K33" i="20"/>
  <c r="K35" i="20" s="1"/>
  <c r="K133" i="20" s="1"/>
  <c r="K93" i="20"/>
  <c r="F11" i="16" s="1"/>
  <c r="H88" i="20"/>
  <c r="H93" i="20"/>
  <c r="C11" i="16" s="1"/>
  <c r="G33" i="20"/>
  <c r="G35" i="20" s="1"/>
  <c r="H13" i="19" s="1"/>
  <c r="I18" i="18" s="1"/>
  <c r="G93" i="20"/>
  <c r="F88" i="20"/>
  <c r="F93" i="20"/>
  <c r="I88" i="20"/>
  <c r="I93" i="20"/>
  <c r="D11" i="16" s="1"/>
  <c r="J33" i="20"/>
  <c r="J35" i="20" s="1"/>
  <c r="J133" i="20" s="1"/>
  <c r="J93" i="20"/>
  <c r="E11" i="16" s="1"/>
  <c r="D33" i="20"/>
  <c r="D66" i="20" s="1"/>
  <c r="D67" i="20" s="1"/>
  <c r="D93" i="20"/>
  <c r="C88" i="20"/>
  <c r="C93" i="20"/>
  <c r="E88" i="20"/>
  <c r="E93" i="20"/>
  <c r="L134" i="20"/>
  <c r="M41" i="11"/>
  <c r="K134" i="20"/>
  <c r="J134" i="20"/>
  <c r="M4" i="19"/>
  <c r="B12" i="11" s="1"/>
  <c r="F5" i="28"/>
  <c r="L5" i="28" s="1"/>
  <c r="L5" i="18" s="1"/>
  <c r="I12" i="19"/>
  <c r="G133" i="20"/>
  <c r="G134" i="20" s="1"/>
  <c r="I101" i="20"/>
  <c r="C102" i="20"/>
  <c r="F101" i="20"/>
  <c r="I102" i="20"/>
  <c r="L57" i="20"/>
  <c r="L100" i="20"/>
  <c r="K57" i="20"/>
  <c r="K100" i="20"/>
  <c r="H57" i="20"/>
  <c r="H100" i="20"/>
  <c r="L101" i="20"/>
  <c r="K102" i="20"/>
  <c r="J102" i="20"/>
  <c r="L102" i="20"/>
  <c r="E57" i="20"/>
  <c r="E100" i="20"/>
  <c r="E102" i="20"/>
  <c r="G57" i="20"/>
  <c r="G100" i="20"/>
  <c r="J57" i="20"/>
  <c r="J100" i="20"/>
  <c r="E101" i="20"/>
  <c r="D57" i="20"/>
  <c r="D100" i="20"/>
  <c r="C57" i="20"/>
  <c r="C100" i="20"/>
  <c r="F57" i="20"/>
  <c r="F100" i="20"/>
  <c r="G102" i="20"/>
  <c r="G101" i="20"/>
  <c r="D102" i="20"/>
  <c r="K101" i="20"/>
  <c r="H102" i="20"/>
  <c r="K106" i="20"/>
  <c r="L5" i="29"/>
  <c r="L12" i="18" s="1"/>
  <c r="I12" i="18"/>
  <c r="H107" i="20"/>
  <c r="L5" i="27"/>
  <c r="L4" i="18" s="1"/>
  <c r="I4" i="18"/>
  <c r="J118" i="20"/>
  <c r="K107" i="20"/>
  <c r="F106" i="20"/>
  <c r="H106" i="20"/>
  <c r="D106" i="20"/>
  <c r="G106" i="20"/>
  <c r="E106" i="20"/>
  <c r="I106" i="20"/>
  <c r="L106" i="20"/>
  <c r="C9" i="14"/>
  <c r="F5" i="29"/>
  <c r="L118" i="20"/>
  <c r="C18" i="14"/>
  <c r="J117" i="20"/>
  <c r="G119" i="20"/>
  <c r="L119" i="20"/>
  <c r="J119" i="20"/>
  <c r="G117" i="20"/>
  <c r="L117" i="20"/>
  <c r="L127" i="20"/>
  <c r="C42" i="11" s="1"/>
  <c r="J9" i="11"/>
  <c r="G5" i="28"/>
  <c r="G139" i="20"/>
  <c r="J139" i="20"/>
  <c r="J127" i="20"/>
  <c r="E42" i="11" s="1"/>
  <c r="L139" i="20"/>
  <c r="L38" i="20"/>
  <c r="L140" i="20"/>
  <c r="K80" i="20"/>
  <c r="G140" i="20"/>
  <c r="J140" i="20"/>
  <c r="E10" i="11"/>
  <c r="K10" i="11" s="1"/>
  <c r="B15" i="11"/>
  <c r="G70" i="20"/>
  <c r="G87" i="20" s="1"/>
  <c r="G92" i="20"/>
  <c r="E7" i="16"/>
  <c r="J92" i="20"/>
  <c r="L92" i="20"/>
  <c r="K7" i="16"/>
  <c r="C82" i="20"/>
  <c r="G80" i="20"/>
  <c r="G84" i="20"/>
  <c r="C79" i="20"/>
  <c r="G82" i="20"/>
  <c r="C81" i="20"/>
  <c r="E69" i="20"/>
  <c r="C19" i="14"/>
  <c r="F33" i="20"/>
  <c r="F35" i="20" s="1"/>
  <c r="F133" i="20" s="1"/>
  <c r="F134" i="20" s="1"/>
  <c r="K84" i="20"/>
  <c r="I79" i="20"/>
  <c r="L78" i="20"/>
  <c r="E11" i="11" s="1"/>
  <c r="E82" i="20"/>
  <c r="E81" i="20"/>
  <c r="G88" i="20"/>
  <c r="H84" i="20"/>
  <c r="E33" i="20"/>
  <c r="E35" i="20" s="1"/>
  <c r="E133" i="20" s="1"/>
  <c r="E134" i="20" s="1"/>
  <c r="E84" i="20"/>
  <c r="E78" i="20"/>
  <c r="E79" i="20"/>
  <c r="E89" i="20"/>
  <c r="E80" i="20"/>
  <c r="K89" i="20"/>
  <c r="K79" i="20"/>
  <c r="K69" i="20"/>
  <c r="G89" i="20"/>
  <c r="C84" i="20"/>
  <c r="K81" i="20"/>
  <c r="G83" i="20"/>
  <c r="K83" i="20"/>
  <c r="G79" i="20"/>
  <c r="G69" i="20"/>
  <c r="C89" i="20"/>
  <c r="F8" i="11"/>
  <c r="J84" i="20"/>
  <c r="I84" i="20"/>
  <c r="I80" i="20"/>
  <c r="J83" i="20"/>
  <c r="H33" i="20"/>
  <c r="H35" i="20" s="1"/>
  <c r="I81" i="20"/>
  <c r="I69" i="20"/>
  <c r="I89" i="20"/>
  <c r="I82" i="20"/>
  <c r="J89" i="20"/>
  <c r="B5" i="19"/>
  <c r="C33" i="20"/>
  <c r="C35" i="20" s="1"/>
  <c r="I78" i="20"/>
  <c r="H11" i="11" s="1"/>
  <c r="F69" i="20"/>
  <c r="F80" i="20"/>
  <c r="H80" i="20"/>
  <c r="F82" i="20"/>
  <c r="H8" i="11"/>
  <c r="F78" i="20"/>
  <c r="F79" i="20"/>
  <c r="F89" i="20"/>
  <c r="F84" i="20"/>
  <c r="F81" i="20"/>
  <c r="J69" i="20"/>
  <c r="J82" i="20"/>
  <c r="J80" i="20"/>
  <c r="B3" i="19"/>
  <c r="J79" i="20"/>
  <c r="E8" i="11"/>
  <c r="B4" i="19"/>
  <c r="J77" i="20"/>
  <c r="G8" i="11"/>
  <c r="C21" i="14"/>
  <c r="L66" i="20"/>
  <c r="L67" i="20" s="1"/>
  <c r="K78" i="20"/>
  <c r="F11" i="11" s="1"/>
  <c r="J88" i="20"/>
  <c r="C22" i="14"/>
  <c r="I57" i="20"/>
  <c r="H78" i="20"/>
  <c r="D78" i="20"/>
  <c r="I33" i="20"/>
  <c r="I35" i="20" s="1"/>
  <c r="I133" i="20" s="1"/>
  <c r="I134" i="20" s="1"/>
  <c r="K88" i="20"/>
  <c r="J78" i="20"/>
  <c r="G11" i="11" s="1"/>
  <c r="G7" i="16"/>
  <c r="G78" i="20"/>
  <c r="M12" i="19"/>
  <c r="C4" i="14"/>
  <c r="C8" i="14"/>
  <c r="C14" i="14" s="1"/>
  <c r="J70" i="20"/>
  <c r="J87" i="20" s="1"/>
  <c r="E8" i="14"/>
  <c r="E4" i="14"/>
  <c r="M13" i="19"/>
  <c r="D35" i="20"/>
  <c r="D133" i="20" s="1"/>
  <c r="D134" i="20" s="1"/>
  <c r="L77" i="20"/>
  <c r="D88" i="20"/>
  <c r="C78" i="20"/>
  <c r="K13" i="19"/>
  <c r="L63" i="20"/>
  <c r="M9" i="19" s="1"/>
  <c r="K12" i="19"/>
  <c r="J9" i="19"/>
  <c r="F9" i="19"/>
  <c r="L8" i="19"/>
  <c r="K9" i="19"/>
  <c r="G9" i="19"/>
  <c r="E8" i="19"/>
  <c r="I9" i="19"/>
  <c r="E9" i="19"/>
  <c r="K8" i="19"/>
  <c r="G8" i="19"/>
  <c r="I8" i="19"/>
  <c r="L9" i="19"/>
  <c r="H9" i="19"/>
  <c r="J8" i="19"/>
  <c r="F8" i="19"/>
  <c r="L70" i="20"/>
  <c r="N4" i="19"/>
  <c r="O4" i="19"/>
  <c r="J66" i="20"/>
  <c r="J67" i="20" s="1"/>
  <c r="L79" i="20"/>
  <c r="K140" i="20" l="1"/>
  <c r="K66" i="20"/>
  <c r="K67" i="20" s="1"/>
  <c r="G66" i="20"/>
  <c r="G67" i="20" s="1"/>
  <c r="D4" i="14"/>
  <c r="C16" i="14" s="1"/>
  <c r="K92" i="20"/>
  <c r="K118" i="20"/>
  <c r="G118" i="20"/>
  <c r="K70" i="20"/>
  <c r="K87" i="20" s="1"/>
  <c r="K139" i="20"/>
  <c r="L107" i="20"/>
  <c r="D8" i="14"/>
  <c r="F7" i="16"/>
  <c r="K127" i="20"/>
  <c r="D42" i="11" s="1"/>
  <c r="G127" i="20"/>
  <c r="K117" i="20"/>
  <c r="K119" i="20"/>
  <c r="B22" i="11"/>
  <c r="B21" i="11"/>
  <c r="I44" i="11"/>
  <c r="H42" i="11"/>
  <c r="I42" i="11"/>
  <c r="I5" i="18"/>
  <c r="F3" i="19"/>
  <c r="H133" i="20"/>
  <c r="H134" i="20" s="1"/>
  <c r="C133" i="20"/>
  <c r="C134" i="20" s="1"/>
  <c r="H12" i="19"/>
  <c r="I118" i="20"/>
  <c r="J107" i="20"/>
  <c r="H118" i="20"/>
  <c r="I107" i="20"/>
  <c r="E118" i="20"/>
  <c r="F107" i="20"/>
  <c r="F118" i="20"/>
  <c r="G107" i="20"/>
  <c r="M5" i="28"/>
  <c r="L6" i="18" s="1"/>
  <c r="I6" i="18"/>
  <c r="D118" i="20"/>
  <c r="E107" i="20"/>
  <c r="C118" i="20"/>
  <c r="D107" i="20"/>
  <c r="G5" i="29"/>
  <c r="N5" i="29"/>
  <c r="L11" i="18" s="1"/>
  <c r="I11" i="18"/>
  <c r="K5" i="29"/>
  <c r="L9" i="18" s="1"/>
  <c r="I9" i="18"/>
  <c r="E5" i="29"/>
  <c r="I119" i="20"/>
  <c r="I117" i="20"/>
  <c r="H119" i="20"/>
  <c r="H117" i="20"/>
  <c r="E119" i="20"/>
  <c r="E117" i="20"/>
  <c r="F119" i="20"/>
  <c r="F117" i="20"/>
  <c r="D119" i="20"/>
  <c r="D117" i="20"/>
  <c r="C119" i="20"/>
  <c r="C117" i="20"/>
  <c r="I127" i="20"/>
  <c r="F42" i="11" s="1"/>
  <c r="H127" i="20"/>
  <c r="G42" i="11" s="1"/>
  <c r="C5" i="28"/>
  <c r="P5" i="28" s="1"/>
  <c r="D127" i="20"/>
  <c r="C127" i="20"/>
  <c r="J42" i="11" s="1"/>
  <c r="E127" i="20"/>
  <c r="F127" i="20"/>
  <c r="L142" i="20"/>
  <c r="G5" i="27" s="1"/>
  <c r="D139" i="20"/>
  <c r="D140" i="20"/>
  <c r="I139" i="20"/>
  <c r="I140" i="20"/>
  <c r="G4" i="14"/>
  <c r="H139" i="20"/>
  <c r="H140" i="20"/>
  <c r="C139" i="20"/>
  <c r="C140" i="20"/>
  <c r="E139" i="20"/>
  <c r="E140" i="20"/>
  <c r="F139" i="20"/>
  <c r="F140" i="20"/>
  <c r="H70" i="20"/>
  <c r="H87" i="20" s="1"/>
  <c r="C7" i="16"/>
  <c r="H92" i="20"/>
  <c r="C70" i="20"/>
  <c r="C87" i="20" s="1"/>
  <c r="C92" i="20"/>
  <c r="D70" i="20"/>
  <c r="D87" i="20" s="1"/>
  <c r="D92" i="20"/>
  <c r="D7" i="16"/>
  <c r="I92" i="20"/>
  <c r="E70" i="20"/>
  <c r="E87" i="20" s="1"/>
  <c r="E92" i="20"/>
  <c r="F70" i="20"/>
  <c r="F87" i="20" s="1"/>
  <c r="F92" i="20"/>
  <c r="C4" i="19"/>
  <c r="H66" i="20"/>
  <c r="H67" i="20" s="1"/>
  <c r="I70" i="20"/>
  <c r="I87" i="20" s="1"/>
  <c r="G8" i="14"/>
  <c r="M3" i="19"/>
  <c r="G19" i="16"/>
  <c r="F66" i="20"/>
  <c r="F67" i="20" s="1"/>
  <c r="L3" i="19"/>
  <c r="E66" i="20"/>
  <c r="E67" i="20" s="1"/>
  <c r="H8" i="19"/>
  <c r="I66" i="20"/>
  <c r="I67" i="20" s="1"/>
  <c r="N3" i="19"/>
  <c r="O3" i="19"/>
  <c r="F8" i="14"/>
  <c r="C66" i="20"/>
  <c r="C67" i="20" s="1"/>
  <c r="M8" i="19"/>
  <c r="I33" i="18" s="1"/>
  <c r="F4" i="14"/>
  <c r="I11" i="11"/>
  <c r="C5" i="19"/>
  <c r="C3" i="19"/>
  <c r="K9" i="11"/>
  <c r="C17" i="14"/>
  <c r="L12" i="19"/>
  <c r="L13" i="19"/>
  <c r="N9" i="19"/>
  <c r="N8" i="19"/>
  <c r="L80" i="20"/>
  <c r="K44" i="11" l="1"/>
  <c r="M42" i="11"/>
  <c r="M43" i="11" s="1"/>
  <c r="L7" i="18"/>
  <c r="I7" i="18"/>
  <c r="M5" i="29"/>
  <c r="L10" i="18" s="1"/>
  <c r="I10" i="18"/>
  <c r="G142" i="20"/>
  <c r="K142" i="20"/>
  <c r="J142" i="20"/>
  <c r="I142" i="20"/>
  <c r="F142" i="20"/>
  <c r="H142" i="20"/>
  <c r="E142" i="20"/>
  <c r="B25" i="11"/>
  <c r="B17" i="11"/>
  <c r="N7" i="1" s="1"/>
  <c r="B19" i="11"/>
  <c r="C15" i="14"/>
  <c r="C23" i="14" s="1"/>
  <c r="J19" i="16"/>
  <c r="M45" i="11" l="1"/>
  <c r="J17" i="11"/>
  <c r="E20" i="11" s="1"/>
  <c r="E23" i="11" s="1"/>
  <c r="E53" i="11"/>
  <c r="C53" i="11"/>
  <c r="K8" i="1" s="1"/>
  <c r="D53" i="11"/>
  <c r="E55" i="11"/>
  <c r="L8" i="1" s="1"/>
  <c r="D54" i="11"/>
  <c r="C54" i="11"/>
  <c r="C55" i="11"/>
  <c r="E54" i="11"/>
  <c r="D55" i="11"/>
  <c r="M47" i="11"/>
  <c r="M46" i="11"/>
  <c r="K6" i="1"/>
  <c r="B16" i="17"/>
  <c r="B15" i="17"/>
  <c r="B17" i="17" l="1"/>
  <c r="B18" i="17" s="1"/>
  <c r="B4" i="17" l="1"/>
  <c r="U7" i="17" l="1"/>
  <c r="E2" i="17"/>
  <c r="F2" i="17" s="1"/>
  <c r="G2" i="17" s="1"/>
  <c r="H2" i="17" s="1"/>
  <c r="I2" i="17" s="1"/>
  <c r="J2" i="17" s="1"/>
  <c r="D4" i="17"/>
  <c r="E4" i="17" s="1"/>
  <c r="F4" i="17" s="1"/>
  <c r="G4" i="17" s="1"/>
  <c r="H4" i="17" s="1"/>
  <c r="I4" i="17" s="1"/>
  <c r="J4" i="17" s="1"/>
  <c r="K4" i="17" s="1"/>
  <c r="L4" i="17" s="1"/>
  <c r="M4" i="17" s="1"/>
  <c r="N4" i="17" s="1"/>
  <c r="O4" i="17" s="1"/>
  <c r="P4" i="17" s="1"/>
  <c r="Q4" i="17" s="1"/>
  <c r="R4" i="17" s="1"/>
  <c r="S4" i="17" s="1"/>
  <c r="T4" i="17" s="1"/>
  <c r="U4" i="17" s="1"/>
  <c r="V4" i="17" s="1"/>
  <c r="W4" i="17" s="1"/>
  <c r="X4" i="17" s="1"/>
  <c r="G7" i="17" l="1"/>
  <c r="K7" i="17"/>
  <c r="O7" i="17"/>
  <c r="S7" i="17"/>
  <c r="W7" i="17"/>
  <c r="F7" i="17"/>
  <c r="J7" i="17"/>
  <c r="N7" i="17"/>
  <c r="R7" i="17"/>
  <c r="V7" i="17"/>
  <c r="D7" i="17"/>
  <c r="H7" i="17"/>
  <c r="L7" i="17"/>
  <c r="P7" i="17"/>
  <c r="T7" i="17"/>
  <c r="X7" i="17"/>
  <c r="D3" i="17"/>
  <c r="D5" i="17" s="1"/>
  <c r="D6" i="17" s="1"/>
  <c r="E7" i="17"/>
  <c r="I7" i="17"/>
  <c r="M7" i="17"/>
  <c r="Q7" i="17"/>
  <c r="K2" i="17"/>
  <c r="L2" i="17" s="1"/>
  <c r="M2" i="17" s="1"/>
  <c r="N2" i="17" s="1"/>
  <c r="D8" i="17" l="1"/>
  <c r="D9" i="17" s="1"/>
  <c r="E3" i="17"/>
  <c r="E5" i="17" s="1"/>
  <c r="O2" i="17"/>
  <c r="P2" i="17" s="1"/>
  <c r="Q2" i="17" s="1"/>
  <c r="R2" i="17" s="1"/>
  <c r="S2" i="17" s="1"/>
  <c r="T2" i="17" s="1"/>
  <c r="U2" i="17" s="1"/>
  <c r="V2" i="17" s="1"/>
  <c r="W2" i="17" s="1"/>
  <c r="X2" i="17" s="1"/>
  <c r="E10" i="16"/>
  <c r="C10" i="16"/>
  <c r="D10" i="16"/>
  <c r="G10" i="16"/>
  <c r="D4" i="16" s="1"/>
  <c r="F10" i="16"/>
  <c r="K4" i="16" l="1"/>
  <c r="L8" i="18" s="1"/>
  <c r="L3" i="18" s="1"/>
  <c r="C5" i="18" s="1"/>
  <c r="C4" i="18" s="1"/>
  <c r="I8" i="18"/>
  <c r="F3" i="17"/>
  <c r="G3" i="17" s="1"/>
  <c r="E6" i="17"/>
  <c r="E8" i="17" s="1"/>
  <c r="E9" i="17" s="1"/>
  <c r="F5" i="17" l="1"/>
  <c r="F6" i="17" s="1"/>
  <c r="F8" i="17" s="1"/>
  <c r="F9" i="17" s="1"/>
  <c r="G5" i="17"/>
  <c r="H3" i="17"/>
  <c r="H5" i="17" l="1"/>
  <c r="H6" i="17" s="1"/>
  <c r="H8" i="17" s="1"/>
  <c r="H9" i="17" s="1"/>
  <c r="I3" i="17"/>
  <c r="G6" i="17"/>
  <c r="G8" i="17" s="1"/>
  <c r="G9" i="17" s="1"/>
  <c r="J3" i="17" l="1"/>
  <c r="I5" i="17"/>
  <c r="I6" i="17" s="1"/>
  <c r="I8" i="17" s="1"/>
  <c r="I9" i="17" s="1"/>
  <c r="J5" i="17" l="1"/>
  <c r="K3" i="17"/>
  <c r="L3" i="17" l="1"/>
  <c r="K5" i="17"/>
  <c r="K6" i="17" s="1"/>
  <c r="K8" i="17" s="1"/>
  <c r="K9" i="17" s="1"/>
  <c r="J6" i="17"/>
  <c r="J8" i="17" s="1"/>
  <c r="J9" i="17" s="1"/>
  <c r="G10" i="15"/>
  <c r="L5" i="17" l="1"/>
  <c r="L6" i="17" s="1"/>
  <c r="L8" i="17" s="1"/>
  <c r="L9" i="17" s="1"/>
  <c r="M3" i="17"/>
  <c r="B12" i="17"/>
  <c r="M5" i="17" l="1"/>
  <c r="M6" i="17" s="1"/>
  <c r="M8" i="17" s="1"/>
  <c r="M9" i="17" s="1"/>
  <c r="N3" i="17"/>
  <c r="O3" i="17" l="1"/>
  <c r="N5" i="17"/>
  <c r="N6" i="17" s="1"/>
  <c r="N8" i="17" s="1"/>
  <c r="N9" i="17" s="1"/>
  <c r="F8" i="15"/>
  <c r="F5" i="15"/>
  <c r="F6" i="15"/>
  <c r="F4" i="15"/>
  <c r="C14" i="15" l="1"/>
  <c r="P3" i="17"/>
  <c r="O5" i="17"/>
  <c r="O6" i="17" s="1"/>
  <c r="O8" i="17" s="1"/>
  <c r="O9" i="17" s="1"/>
  <c r="K12" i="14"/>
  <c r="K14" i="14" s="1"/>
  <c r="F14" i="11"/>
  <c r="E14" i="11"/>
  <c r="B14" i="11"/>
  <c r="H14" i="11"/>
  <c r="I14" i="11"/>
  <c r="P5" i="17" l="1"/>
  <c r="P6" i="17" s="1"/>
  <c r="P8" i="17" s="1"/>
  <c r="P9" i="17" s="1"/>
  <c r="Q3" i="17"/>
  <c r="E27" i="11"/>
  <c r="E28" i="11" s="1"/>
  <c r="G14" i="11"/>
  <c r="B20" i="11" s="1"/>
  <c r="E22" i="11" s="1"/>
  <c r="E24" i="11" s="1"/>
  <c r="K7" i="1" s="1"/>
  <c r="E29" i="11" l="1"/>
  <c r="Q5" i="17"/>
  <c r="Q6" i="17" s="1"/>
  <c r="Q8" i="17" s="1"/>
  <c r="Q9" i="17" s="1"/>
  <c r="R3" i="17"/>
  <c r="R5" i="17" l="1"/>
  <c r="R6" i="17" s="1"/>
  <c r="R8" i="17" s="1"/>
  <c r="R9" i="17" s="1"/>
  <c r="S3" i="17"/>
  <c r="F27" i="11"/>
  <c r="F28" i="11" s="1"/>
  <c r="F29" i="11" l="1"/>
  <c r="S5" i="17"/>
  <c r="S6" i="17" s="1"/>
  <c r="S8" i="17" s="1"/>
  <c r="S9" i="17" s="1"/>
  <c r="T3" i="17"/>
  <c r="G27" i="11" l="1"/>
  <c r="G28" i="11" s="1"/>
  <c r="T5" i="17"/>
  <c r="T6" i="17" s="1"/>
  <c r="T8" i="17" s="1"/>
  <c r="T9" i="17" s="1"/>
  <c r="U3" i="17"/>
  <c r="G29" i="11" l="1"/>
  <c r="U5" i="17"/>
  <c r="U6" i="17" s="1"/>
  <c r="U8" i="17" s="1"/>
  <c r="U9" i="17" s="1"/>
  <c r="V3" i="17"/>
  <c r="H27" i="11" l="1"/>
  <c r="V5" i="17"/>
  <c r="V6" i="17" s="1"/>
  <c r="V8" i="17" s="1"/>
  <c r="V9" i="17" s="1"/>
  <c r="W3" i="17"/>
  <c r="B26" i="11" l="1"/>
  <c r="H28" i="11"/>
  <c r="H29" i="11" s="1"/>
  <c r="X3" i="17"/>
  <c r="X5" i="17" s="1"/>
  <c r="W5" i="17"/>
  <c r="W6" i="17" s="1"/>
  <c r="W8" i="17" s="1"/>
  <c r="W9" i="17" s="1"/>
  <c r="I27" i="11" l="1"/>
  <c r="I28" i="11" s="1"/>
  <c r="I29" i="11" s="1"/>
  <c r="X6" i="17"/>
  <c r="X8" i="17" s="1"/>
  <c r="X9" i="17" s="1"/>
  <c r="B6" i="17" s="1"/>
  <c r="J27" i="11" l="1"/>
  <c r="J28" i="11" s="1"/>
  <c r="J29" i="11" l="1"/>
  <c r="E31" i="11" s="1"/>
  <c r="E30" i="11" l="1"/>
  <c r="E32" i="11" s="1"/>
  <c r="B27" i="11" s="1"/>
  <c r="E33" i="11" l="1"/>
  <c r="J5" i="15"/>
  <c r="J7" i="15" s="1"/>
</calcChain>
</file>

<file path=xl/comments1.xml><?xml version="1.0" encoding="utf-8"?>
<comments xmlns="http://schemas.openxmlformats.org/spreadsheetml/2006/main">
  <authors>
    <author>HP</author>
  </authors>
  <commentList>
    <comment ref="I6" authorId="0" shapeId="0">
      <text>
        <r>
          <rPr>
            <sz val="9"/>
            <color indexed="81"/>
            <rFont val="Tahoma"/>
            <family val="2"/>
          </rPr>
          <t xml:space="preserve">How much CMP higher than P E/B Valuation
</t>
        </r>
      </text>
    </comment>
    <comment ref="I7" authorId="0" shapeId="0">
      <text>
        <r>
          <rPr>
            <sz val="9"/>
            <color indexed="81"/>
            <rFont val="Tahoma"/>
            <family val="2"/>
          </rPr>
          <t xml:space="preserve">If next yr EPS to grow same as how it grew from last yr to current yr, what will be the share price on historical PE/PB
</t>
        </r>
      </text>
    </comment>
    <comment ref="I8" authorId="0" shapeId="0">
      <text>
        <r>
          <rPr>
            <sz val="9"/>
            <color indexed="81"/>
            <rFont val="Tahoma"/>
            <family val="2"/>
          </rPr>
          <t xml:space="preserve">CAGR b/n CMP and future price based on historical valuation
</t>
        </r>
      </text>
    </comment>
  </commentList>
</comments>
</file>

<file path=xl/comments2.xml><?xml version="1.0" encoding="utf-8"?>
<comments xmlns="http://schemas.openxmlformats.org/spreadsheetml/2006/main">
  <authors>
    <author>HP</author>
  </authors>
  <commentList>
    <comment ref="L41" authorId="0" shapeId="0">
      <text>
        <r>
          <rPr>
            <sz val="9"/>
            <color indexed="81"/>
            <rFont val="Tahoma"/>
            <family val="2"/>
          </rPr>
          <t xml:space="preserve">Sales growth capped at 25%
</t>
        </r>
      </text>
    </comment>
    <comment ref="M41" authorId="0" shapeId="0">
      <text>
        <r>
          <rPr>
            <sz val="9"/>
            <color indexed="81"/>
            <rFont val="Tahoma"/>
            <family val="2"/>
          </rPr>
          <t xml:space="preserve">Sales growth capped at 25%
</t>
        </r>
      </text>
    </comment>
    <comment ref="I42" authorId="0" shapeId="0">
      <text>
        <r>
          <rPr>
            <sz val="9"/>
            <color indexed="81"/>
            <rFont val="Tahoma"/>
            <family val="2"/>
          </rPr>
          <t xml:space="preserve">Lower Cap at 0%
</t>
        </r>
      </text>
    </comment>
    <comment ref="J42" authorId="0" shapeId="0">
      <text>
        <r>
          <rPr>
            <b/>
            <sz val="9"/>
            <color indexed="81"/>
            <rFont val="Tahoma"/>
            <family val="2"/>
          </rPr>
          <t>Lower Cap at 0%</t>
        </r>
      </text>
    </comment>
    <comment ref="L42" authorId="0" shapeId="0">
      <text>
        <r>
          <rPr>
            <sz val="9"/>
            <color indexed="81"/>
            <rFont val="Tahoma"/>
            <family val="2"/>
          </rPr>
          <t xml:space="preserve">Capped at 15%
</t>
        </r>
      </text>
    </comment>
    <comment ref="M42" authorId="0" shapeId="0">
      <text>
        <r>
          <rPr>
            <sz val="9"/>
            <color indexed="81"/>
            <rFont val="Tahoma"/>
            <family val="2"/>
          </rPr>
          <t xml:space="preserve">Capped at 15%
</t>
        </r>
      </text>
    </comment>
  </commentList>
</comments>
</file>

<file path=xl/comments3.xml><?xml version="1.0" encoding="utf-8"?>
<comments xmlns="http://schemas.openxmlformats.org/spreadsheetml/2006/main">
  <authors>
    <author>HP</author>
  </authors>
  <commentList>
    <comment ref="E2" authorId="0" shapeId="0">
      <text>
        <r>
          <rPr>
            <sz val="9"/>
            <color indexed="81"/>
            <rFont val="Tahoma"/>
            <family val="2"/>
          </rPr>
          <t xml:space="preserve">Gross margins suggest pricing power. Higher = Better, but also invites competition. So watch out for consistency.
</t>
        </r>
      </text>
    </comment>
    <comment ref="I7" authorId="0" shapeId="0">
      <text>
        <r>
          <rPr>
            <sz val="9"/>
            <color indexed="81"/>
            <rFont val="Tahoma"/>
            <family val="2"/>
          </rPr>
          <t xml:space="preserve">Accruals method of accounting -
Revenue is booked when sales transaction takes place, not when the actual cash is collected.
Low number would mean that company is able to report higher revenue without realizing the cash benefit from the transactions.
Fluctuating trend reflects operational weakness
</t>
        </r>
      </text>
    </comment>
    <comment ref="J7" authorId="0" shapeId="0">
      <text>
        <r>
          <rPr>
            <sz val="9"/>
            <color indexed="81"/>
            <rFont val="Tahoma"/>
            <family val="2"/>
          </rPr>
          <t xml:space="preserve">How efficiently company's assets are used
</t>
        </r>
      </text>
    </comment>
    <comment ref="K7" authorId="0" shapeId="0">
      <text>
        <r>
          <rPr>
            <sz val="9"/>
            <color indexed="81"/>
            <rFont val="Tahoma"/>
            <family val="2"/>
          </rPr>
          <t xml:space="preserve">Abilty to pay short term loan
</t>
        </r>
      </text>
    </comment>
    <comment ref="L7" authorId="0" shapeId="0">
      <text>
        <r>
          <rPr>
            <sz val="9"/>
            <color indexed="81"/>
            <rFont val="Tahoma"/>
            <family val="2"/>
          </rPr>
          <t xml:space="preserve">Abilty to pay borrowings
</t>
        </r>
      </text>
    </comment>
  </commentList>
</comments>
</file>

<file path=xl/comments4.xml><?xml version="1.0" encoding="utf-8"?>
<comments xmlns="http://schemas.openxmlformats.org/spreadsheetml/2006/main">
  <authors>
    <author>Kumar Saurabh</author>
    <author>HP</author>
  </authors>
  <commentList>
    <comment ref="A53" authorId="0" shapeId="0">
      <text>
        <r>
          <rPr>
            <b/>
            <sz val="9"/>
            <color indexed="81"/>
            <rFont val="Tahoma"/>
            <family val="2"/>
          </rPr>
          <t>Kumar Saurabh:</t>
        </r>
        <r>
          <rPr>
            <sz val="9"/>
            <color indexed="81"/>
            <rFont val="Tahoma"/>
            <family val="2"/>
          </rPr>
          <t xml:space="preserve">
Trades Receiavbles</t>
        </r>
      </text>
    </comment>
    <comment ref="A58" authorId="0" shapeId="0">
      <text>
        <r>
          <rPr>
            <b/>
            <sz val="9"/>
            <color indexed="81"/>
            <rFont val="Tahoma"/>
            <family val="2"/>
          </rPr>
          <t>Kumar Saurabh:</t>
        </r>
        <r>
          <rPr>
            <sz val="9"/>
            <color indexed="81"/>
            <rFont val="Tahoma"/>
            <family val="2"/>
          </rPr>
          <t xml:space="preserve">
EBIT/Capital Employed where capital employed = total asset - current liability</t>
        </r>
      </text>
    </comment>
    <comment ref="A93" authorId="1" shapeId="0">
      <text>
        <r>
          <rPr>
            <sz val="9"/>
            <color indexed="81"/>
            <rFont val="Tahoma"/>
            <family val="2"/>
          </rPr>
          <t xml:space="preserve">EBIT/(total assets less current liabilities)
</t>
        </r>
      </text>
    </comment>
  </commentList>
</comments>
</file>

<file path=xl/sharedStrings.xml><?xml version="1.0" encoding="utf-8"?>
<sst xmlns="http://schemas.openxmlformats.org/spreadsheetml/2006/main" count="781" uniqueCount="558">
  <si>
    <t>Company</t>
  </si>
  <si>
    <t>Sector</t>
  </si>
  <si>
    <t>No of shares outstanding</t>
  </si>
  <si>
    <t>Market Cap</t>
  </si>
  <si>
    <t>Promoter Shareholding</t>
  </si>
  <si>
    <t>Business Summary</t>
  </si>
  <si>
    <t>Networth</t>
  </si>
  <si>
    <t>Secured Loans</t>
  </si>
  <si>
    <t>Unsecured Loans</t>
  </si>
  <si>
    <t>Total Liabilities</t>
  </si>
  <si>
    <t>Capital Work in Progress</t>
  </si>
  <si>
    <t>Current Liabilities</t>
  </si>
  <si>
    <t>Total Assets</t>
  </si>
  <si>
    <t>Net Sales</t>
  </si>
  <si>
    <t>Total Income</t>
  </si>
  <si>
    <t>Raw Materials</t>
  </si>
  <si>
    <t>Employee Cost</t>
  </si>
  <si>
    <t>Interest</t>
  </si>
  <si>
    <t>Depreciation</t>
  </si>
  <si>
    <t>Tax</t>
  </si>
  <si>
    <t>Current Assets</t>
  </si>
  <si>
    <t>Year</t>
  </si>
  <si>
    <t>Free Cash Flow</t>
  </si>
  <si>
    <t>Shares Outstanding</t>
  </si>
  <si>
    <t>CAGR</t>
  </si>
  <si>
    <t>FCF</t>
  </si>
  <si>
    <t>DPS</t>
  </si>
  <si>
    <t>Input</t>
  </si>
  <si>
    <t>EPS</t>
  </si>
  <si>
    <t>CMP</t>
  </si>
  <si>
    <t>BVPS</t>
  </si>
  <si>
    <t>P/E</t>
  </si>
  <si>
    <t>Earnings Yeild</t>
  </si>
  <si>
    <t>Dividend Yeild</t>
  </si>
  <si>
    <t>Discount rate</t>
  </si>
  <si>
    <t>ROE</t>
  </si>
  <si>
    <t>Payout Ratio</t>
  </si>
  <si>
    <t>Current Data</t>
  </si>
  <si>
    <t>Average Data</t>
  </si>
  <si>
    <t>Payout</t>
  </si>
  <si>
    <t>Projections Historical</t>
  </si>
  <si>
    <t>Earnings after 5 years</t>
  </si>
  <si>
    <t>Sum Of dividend paid</t>
  </si>
  <si>
    <t>Projected Price</t>
  </si>
  <si>
    <t>Total Gain</t>
  </si>
  <si>
    <t>Projections Growth</t>
  </si>
  <si>
    <t>Historical Earnings Growth</t>
  </si>
  <si>
    <t>Sustainable Earnings Growth</t>
  </si>
  <si>
    <t>Year Ending</t>
  </si>
  <si>
    <t>Piotroski F Score</t>
  </si>
  <si>
    <t>ROA</t>
  </si>
  <si>
    <t>Current Ratio</t>
  </si>
  <si>
    <t>Gross Margin</t>
  </si>
  <si>
    <t>Net Income</t>
  </si>
  <si>
    <t>Operating Cash Flow</t>
  </si>
  <si>
    <t>Asset Turnover</t>
  </si>
  <si>
    <t>Working Capital</t>
  </si>
  <si>
    <t>EBITDA</t>
  </si>
  <si>
    <t>Market Value of Equity</t>
  </si>
  <si>
    <t>Score</t>
  </si>
  <si>
    <t>T1 = Working Capital/Total Assets</t>
  </si>
  <si>
    <t>T3 = EBITDA/Total Assets</t>
  </si>
  <si>
    <t>T5 = Net Sales/Total Assets</t>
  </si>
  <si>
    <r>
      <t>Stock Price</t>
    </r>
    <r>
      <rPr>
        <sz val="10"/>
        <color theme="0"/>
        <rFont val="Arial"/>
        <family val="2"/>
      </rPr>
      <t>#</t>
    </r>
  </si>
  <si>
    <t>Snapshot</t>
  </si>
  <si>
    <t>Value</t>
  </si>
  <si>
    <t>Altman Zscore = 1.2T1 + 1.4T2 + 3.3T3 + 0.6T4 + 0.999T5.</t>
  </si>
  <si>
    <t>Value of stock based on</t>
  </si>
  <si>
    <t>Value of Stock</t>
  </si>
  <si>
    <t>Year 0</t>
  </si>
  <si>
    <t>Start</t>
  </si>
  <si>
    <t>Intial</t>
  </si>
  <si>
    <t>Middle</t>
  </si>
  <si>
    <t>End</t>
  </si>
  <si>
    <t>Max</t>
  </si>
  <si>
    <t>Pointer</t>
  </si>
  <si>
    <t>Altman Score</t>
  </si>
  <si>
    <t>0 to 1.8</t>
  </si>
  <si>
    <t>1.8 to 3</t>
  </si>
  <si>
    <t>Less Chances of Bankruptcy</t>
  </si>
  <si>
    <t>3+</t>
  </si>
  <si>
    <t>How to read score</t>
  </si>
  <si>
    <t>Not likely to be Bankrupt</t>
  </si>
  <si>
    <t>Likely to be Bankrupt</t>
  </si>
  <si>
    <t>Piotroski F Score data</t>
  </si>
  <si>
    <t>Weak</t>
  </si>
  <si>
    <t>Stable</t>
  </si>
  <si>
    <t>Strong</t>
  </si>
  <si>
    <t>Piotrosoki Score</t>
  </si>
  <si>
    <t>Altman Zscore</t>
  </si>
  <si>
    <t>CY</t>
  </si>
  <si>
    <t>CY-1</t>
  </si>
  <si>
    <t>CY-2</t>
  </si>
  <si>
    <t>CY-3</t>
  </si>
  <si>
    <t>CY-4</t>
  </si>
  <si>
    <t>CFO</t>
  </si>
  <si>
    <t>NPM</t>
  </si>
  <si>
    <t>Equity Multiplier</t>
  </si>
  <si>
    <t>DU Pont Analysis</t>
  </si>
  <si>
    <t>DuPont analysis is an extended analysis of a company's return on equity. It concludes that a company can earn a high return on equity if:</t>
  </si>
  <si>
    <t>3. It has a high financial leverage</t>
  </si>
  <si>
    <r>
      <t>2. It uses its assets effectively to generate more sales; and/or -</t>
    </r>
    <r>
      <rPr>
        <b/>
        <sz val="11"/>
        <color rgb="FF00B050"/>
        <rFont val="Calibri"/>
        <family val="2"/>
        <scheme val="minor"/>
      </rPr>
      <t xml:space="preserve"> Preferred</t>
    </r>
  </si>
  <si>
    <r>
      <t xml:space="preserve">1. It earns a high net profit margin - </t>
    </r>
    <r>
      <rPr>
        <b/>
        <sz val="11"/>
        <color rgb="FF00B050"/>
        <rFont val="Calibri"/>
        <family val="2"/>
        <scheme val="minor"/>
      </rPr>
      <t>Preferred</t>
    </r>
  </si>
  <si>
    <t>Multiple</t>
  </si>
  <si>
    <t>PV</t>
  </si>
  <si>
    <t>MICAP</t>
  </si>
  <si>
    <t>Cumulative FCF Sum of PV</t>
  </si>
  <si>
    <t>PV of Terminal Value</t>
  </si>
  <si>
    <t>Discounted Value Today</t>
  </si>
  <si>
    <t xml:space="preserve">FCF growth </t>
  </si>
  <si>
    <t>FCF (per Share)</t>
  </si>
  <si>
    <t>* The module will pick FCF / Share, You can change Input cells</t>
  </si>
  <si>
    <t>Model FCF / Share</t>
  </si>
  <si>
    <t>Capex</t>
  </si>
  <si>
    <t>Owner's Earnings</t>
  </si>
  <si>
    <r>
      <rPr>
        <sz val="11"/>
        <color rgb="FF00B050"/>
        <rFont val="Calibri"/>
        <family val="2"/>
        <scheme val="minor"/>
      </rPr>
      <t>Add</t>
    </r>
    <r>
      <rPr>
        <sz val="11"/>
        <color theme="1"/>
        <rFont val="Calibri"/>
        <family val="2"/>
        <scheme val="minor"/>
      </rPr>
      <t xml:space="preserve"> Depreciation</t>
    </r>
  </si>
  <si>
    <r>
      <rPr>
        <sz val="11"/>
        <color rgb="FFFF0000"/>
        <rFont val="Calibri"/>
        <family val="2"/>
        <scheme val="minor"/>
      </rPr>
      <t>Minus</t>
    </r>
    <r>
      <rPr>
        <sz val="11"/>
        <color theme="1"/>
        <rFont val="Calibri"/>
        <family val="2"/>
        <scheme val="minor"/>
      </rPr>
      <t xml:space="preserve"> Average Capex</t>
    </r>
  </si>
  <si>
    <t>Note - If MICAP is more than twenty it will shown as Zero</t>
  </si>
  <si>
    <t>Owner's Earnings (in INR Cr)</t>
  </si>
  <si>
    <t>This is based on whatever you have input on FCF sheet</t>
  </si>
  <si>
    <t>꓿</t>
  </si>
  <si>
    <r>
      <t>NP</t>
    </r>
    <r>
      <rPr>
        <vertAlign val="subscript"/>
        <sz val="11"/>
        <color theme="1"/>
        <rFont val="Calibri"/>
        <family val="2"/>
        <scheme val="minor"/>
      </rPr>
      <t>CY</t>
    </r>
    <r>
      <rPr>
        <sz val="11"/>
        <color theme="1"/>
        <rFont val="Calibri"/>
        <family val="2"/>
        <scheme val="minor"/>
      </rPr>
      <t xml:space="preserve"> - NP</t>
    </r>
    <r>
      <rPr>
        <vertAlign val="subscript"/>
        <sz val="11"/>
        <color theme="1"/>
        <rFont val="Calibri"/>
        <family val="2"/>
        <scheme val="minor"/>
      </rPr>
      <t>CY-4</t>
    </r>
  </si>
  <si>
    <r>
      <t>NW</t>
    </r>
    <r>
      <rPr>
        <vertAlign val="subscript"/>
        <sz val="11"/>
        <color theme="1"/>
        <rFont val="Calibri"/>
        <family val="2"/>
        <scheme val="minor"/>
      </rPr>
      <t>CY</t>
    </r>
    <r>
      <rPr>
        <sz val="11"/>
        <color theme="1"/>
        <rFont val="Calibri"/>
        <family val="2"/>
        <scheme val="minor"/>
      </rPr>
      <t xml:space="preserve"> - NW</t>
    </r>
    <r>
      <rPr>
        <vertAlign val="subscript"/>
        <sz val="11"/>
        <color theme="1"/>
        <rFont val="Calibri"/>
        <family val="2"/>
        <scheme val="minor"/>
      </rPr>
      <t>CY-4</t>
    </r>
  </si>
  <si>
    <t>Piotroski 2: Operating Cash Flow &gt;0</t>
  </si>
  <si>
    <t>Piotroski 3: Return on Assets higher than last Yr.</t>
  </si>
  <si>
    <t>Piotroski 7: Shares Outstanding not higher than last Yr.</t>
  </si>
  <si>
    <t>Piotroski 8: Gross Margin higher than last Yr.</t>
  </si>
  <si>
    <t>Piotroski 9: Total Income/Total Assets higher than last Yr.</t>
  </si>
  <si>
    <t>Discount Rate</t>
  </si>
  <si>
    <t>RESEARCH FRAMEWORK</t>
  </si>
  <si>
    <t>S.No</t>
  </si>
  <si>
    <t>Criteria</t>
  </si>
  <si>
    <t>Goal</t>
  </si>
  <si>
    <t>Actual</t>
  </si>
  <si>
    <t>Description</t>
  </si>
  <si>
    <t>Weight</t>
  </si>
  <si>
    <t>PARAMETER</t>
  </si>
  <si>
    <t>Max WEIGHT</t>
  </si>
  <si>
    <t>Actual Weight</t>
  </si>
  <si>
    <t>FINANCIAL ANALYSIS</t>
  </si>
  <si>
    <t>TOTAL</t>
  </si>
  <si>
    <t>Financial Anlaysis</t>
  </si>
  <si>
    <t>ROE/ROA 5 Yr.</t>
  </si>
  <si>
    <t>Industry Analysis</t>
  </si>
  <si>
    <t>EPS growth 5 Yr.</t>
  </si>
  <si>
    <t>&gt;20%</t>
  </si>
  <si>
    <t>Management Analysis</t>
  </si>
  <si>
    <t>Promoter Pledged Holding</t>
  </si>
  <si>
    <t>Other Parameters</t>
  </si>
  <si>
    <t>EPS growth 10 Yr.</t>
  </si>
  <si>
    <t>Margin of Safety</t>
  </si>
  <si>
    <t>Growth should be consistent year on year. Ignore companies where a sudden spurt of sales in one year is confounding the 10 years performance.
Very high growth rates of &gt;50% are unsustainable.</t>
  </si>
  <si>
    <t>Avg. NP margin 5 Yr.</t>
  </si>
  <si>
    <t xml:space="preserve"> &gt;8%</t>
  </si>
  <si>
    <t>Look for companies with sustained operating &amp; net profit margins over the years - See more at: http://www.drvijaymalik.com/2015/01/selecting-top-stocks-to-buy-part-10.html#sthash.swZnrKBv.dpuf</t>
  </si>
  <si>
    <t>CFO/PAT 5 Yr.</t>
  </si>
  <si>
    <t>&gt;1</t>
  </si>
  <si>
    <t>Cumulative PAT and CFO are similar for last 10 years</t>
  </si>
  <si>
    <t>Promoter Holding 5 Yr.</t>
  </si>
  <si>
    <t>Debt/Net Profit</t>
  </si>
  <si>
    <t>&lt;=5</t>
  </si>
  <si>
    <t>&gt;1.25</t>
  </si>
  <si>
    <t>Current Cash flow</t>
  </si>
  <si>
    <t>CFO &gt; 0</t>
  </si>
  <si>
    <t>Positive CFO is necessary. It’s great if CFO meets the outflow for CFI and CFF</t>
  </si>
  <si>
    <t>BUSINESS &amp; INDUSTRY ANALYSIS</t>
  </si>
  <si>
    <t>Comparison with industry peers</t>
  </si>
  <si>
    <t>Sales growth &gt; peers</t>
  </si>
  <si>
    <t>The Company must show sales growth higher than peers. If its sales growth is similar to peers, then there is no Moat</t>
  </si>
  <si>
    <t>Increase in production capacity and sales volume</t>
  </si>
  <si>
    <t>Production capacity &amp; sales volume CAGR ~ Sales CAGR</t>
  </si>
  <si>
    <t>Company must have shown increased market penetration by selling higher volumes of its product/service</t>
  </si>
  <si>
    <t>Conversion of sales growth into profits</t>
  </si>
  <si>
    <t>Profit CAGR 5 Yr.~ Sales CAGR 5 Yr.</t>
  </si>
  <si>
    <t>A Moat would result in increasing profits with increasing sales. Otherwise, sales growth is only a result of unnecessary expansion or aggressive marketing push, which would erode value in long term.</t>
  </si>
  <si>
    <t>Creation of value for shareholders from the profits retained</t>
  </si>
  <si>
    <t>The increase in MCap in last 10 yrs. &gt; Retained profits in last 10 yrs.</t>
  </si>
  <si>
    <t>Otherwise, company is destroying wealth of shareholders</t>
  </si>
  <si>
    <t>MANAGEMENT ANALYSIS</t>
  </si>
  <si>
    <t>Background check of promoters &amp; directors</t>
  </si>
  <si>
    <t>Web Search</t>
  </si>
  <si>
    <t>There should not be any information questioning the integrity of promoters &amp; directors</t>
  </si>
  <si>
    <t>Management succession plans</t>
  </si>
  <si>
    <t>Good succession plan should be in place</t>
  </si>
  <si>
    <t>Salary being paid to potential successors should be in line with their experience</t>
  </si>
  <si>
    <t>Salary of promoters vs. net profits</t>
  </si>
  <si>
    <t>No salary increase with declining profits/losses</t>
  </si>
  <si>
    <t>promoter should not have a history of seeking increase in remuneration when the profits of the company declined in past</t>
  </si>
  <si>
    <t>Project execution skills</t>
  </si>
  <si>
    <t>Green/brownfield project execution</t>
  </si>
  <si>
    <t>The company should have shown good project execution skills with cost and time overruns.Exclude capacity increase by mergers &amp; acquisitions.</t>
  </si>
  <si>
    <t>Promoter shareholding</t>
  </si>
  <si>
    <t>&gt; 51%</t>
  </si>
  <si>
    <t>Higher the better</t>
  </si>
  <si>
    <t>FII shareholding</t>
  </si>
  <si>
    <t>the lower the better</t>
  </si>
  <si>
    <t>OTHER BUSINESS PARAMETERS</t>
  </si>
  <si>
    <t>Product diversification</t>
  </si>
  <si>
    <t>Pure play</t>
  </si>
  <si>
    <t>The company should be either a pure play (only one business segment) or related products. Pure play model ensures that the management is specialized in what they are doing. Entirely different unrelated products/services are a strict NO. An investor should rather buy stocks of different companies if she wants such diversification.</t>
  </si>
  <si>
    <t>Govt. influence</t>
  </si>
  <si>
    <t>No govt. interference in profit making</t>
  </si>
  <si>
    <t>No cap on profit returns or pricing of the product.No compulsion to supply to certain clients.</t>
  </si>
  <si>
    <t>Labor Problems</t>
  </si>
  <si>
    <t>Free Cash Flow (FCF)</t>
  </si>
  <si>
    <t>FCF/CFO &gt;&gt; 0</t>
  </si>
  <si>
    <t>CASH FLOW</t>
  </si>
  <si>
    <t xml:space="preserve"> CFF/CFO</t>
  </si>
  <si>
    <t>Capex/CFO</t>
  </si>
  <si>
    <t>CFO/PAT</t>
  </si>
  <si>
    <t>CFO/Sales</t>
  </si>
  <si>
    <t>CFO/Assets</t>
  </si>
  <si>
    <t>CFO/Current Liabilty</t>
  </si>
  <si>
    <t>CFO/Total Debt</t>
  </si>
  <si>
    <t>CAPEX/FCF</t>
  </si>
  <si>
    <t>5 Yr. Average</t>
  </si>
  <si>
    <t>Current</t>
  </si>
  <si>
    <t>OTHERS</t>
  </si>
  <si>
    <t>Gross Profit Margin</t>
  </si>
  <si>
    <t>Net Profit Margin</t>
  </si>
  <si>
    <t>Inventory/Sales</t>
  </si>
  <si>
    <t>Current Cash/Assets</t>
  </si>
  <si>
    <t>Current Assets/Current Liabilities</t>
  </si>
  <si>
    <t>Leverage</t>
  </si>
  <si>
    <t>ROCE</t>
  </si>
  <si>
    <t>GROWTH</t>
  </si>
  <si>
    <t>Sales</t>
  </si>
  <si>
    <t xml:space="preserve">Inventory </t>
  </si>
  <si>
    <t xml:space="preserve">Receivables </t>
  </si>
  <si>
    <t>PAT</t>
  </si>
  <si>
    <t>10 YR CAGR</t>
  </si>
  <si>
    <t>5 YR CAGR</t>
  </si>
  <si>
    <t>COPY PASTE DATA FROM ANY FINANCIAL WEBSITE: ONLY FOR THE FIELDS MARKED GREEN BELOW</t>
  </si>
  <si>
    <t>CONSOLIDATED</t>
  </si>
  <si>
    <t>Inventory</t>
  </si>
  <si>
    <t>Debtors</t>
  </si>
  <si>
    <t>Working Capital (check)</t>
  </si>
  <si>
    <t>COPY PASTE DATA FROM ANNUAL REPORTS: ONLY FOR THE FIELDS MARKED ORANGE BELOW</t>
  </si>
  <si>
    <t>Operating Expenses/Capex</t>
  </si>
  <si>
    <t>Employee cost</t>
  </si>
  <si>
    <t>Advertising and sales promotion</t>
  </si>
  <si>
    <t>Freight, transport and distribution</t>
  </si>
  <si>
    <t>Royalty</t>
  </si>
  <si>
    <t>Power and fuel</t>
  </si>
  <si>
    <t>Miscellaneous expenses</t>
  </si>
  <si>
    <t>R&amp;D Cost</t>
  </si>
  <si>
    <t>Gross Profit</t>
  </si>
  <si>
    <t>Depreciation &amp; Amortisation</t>
  </si>
  <si>
    <t>EBIT</t>
  </si>
  <si>
    <t>PBT</t>
  </si>
  <si>
    <t>Dividends</t>
  </si>
  <si>
    <t>Current Market Cap</t>
  </si>
  <si>
    <t>Equity</t>
  </si>
  <si>
    <t>Reserves &amp; Surplus</t>
  </si>
  <si>
    <t>Borrowings</t>
  </si>
  <si>
    <t>Other Liabilities</t>
  </si>
  <si>
    <t>Current Asset</t>
  </si>
  <si>
    <t>Net Fixed Assets</t>
  </si>
  <si>
    <t>Cash</t>
  </si>
  <si>
    <t>Net Other Assets</t>
  </si>
  <si>
    <t>Invested Capital</t>
  </si>
  <si>
    <t>Capital Employed</t>
  </si>
  <si>
    <t>Total Liability</t>
  </si>
  <si>
    <t>Cash from Investing Activity</t>
  </si>
  <si>
    <t>Cash from Financing Activity</t>
  </si>
  <si>
    <t>Tax Rate</t>
  </si>
  <si>
    <t>NOPAT</t>
  </si>
  <si>
    <t>MktCap+Dividend</t>
  </si>
  <si>
    <t>Retained Profit</t>
  </si>
  <si>
    <t>PEG</t>
  </si>
  <si>
    <t>Price/Book</t>
  </si>
  <si>
    <t>Price/operating CashFlow</t>
  </si>
  <si>
    <t>Price/Free Cashflow</t>
  </si>
  <si>
    <t>Price/Sales</t>
  </si>
  <si>
    <t>EV/EBITDA</t>
  </si>
  <si>
    <t>Dividend Yield</t>
  </si>
  <si>
    <t>Enterprise Value</t>
  </si>
  <si>
    <t>Z-Weights</t>
  </si>
  <si>
    <t>Working Capital/Total Assets</t>
  </si>
  <si>
    <t>Retained Profits/Total Assets</t>
  </si>
  <si>
    <t>EBIT/Total Assets</t>
  </si>
  <si>
    <t>Market Cap/Total Liabilities</t>
  </si>
  <si>
    <t>Sales/Total Assets</t>
  </si>
  <si>
    <t>Current Price</t>
  </si>
  <si>
    <t>Power and Fuel</t>
  </si>
  <si>
    <t>Other Mfr. Exp</t>
  </si>
  <si>
    <t>Selling and admin</t>
  </si>
  <si>
    <t>Other Expenses</t>
  </si>
  <si>
    <t>Net profit</t>
  </si>
  <si>
    <t>Expenses</t>
  </si>
  <si>
    <t>Piotroski 1: PAT &gt;0</t>
  </si>
  <si>
    <t>Piotroski 4: Operating Cash Flow higher than PAT</t>
  </si>
  <si>
    <t>T2 = Reserves &amp; Surplus/Total Assets</t>
  </si>
  <si>
    <t>Borrowings / Total Assets</t>
  </si>
  <si>
    <t>Piotroski 5: Borrowings/Assets lower than last Yr.</t>
  </si>
  <si>
    <t>Piotroski 6: Current Ratio than last Yr.</t>
  </si>
  <si>
    <t>T4 = Market Value of Equity/Total Assets</t>
  </si>
  <si>
    <t>Price</t>
  </si>
  <si>
    <t>CY-5</t>
  </si>
  <si>
    <t>P E/B Valuation</t>
  </si>
  <si>
    <t>Avg P/E Ratio</t>
  </si>
  <si>
    <t>Avg P/B Ratio</t>
  </si>
  <si>
    <t>EPS/BV  after 5 years</t>
  </si>
  <si>
    <t xml:space="preserve">EPS/BV </t>
  </si>
  <si>
    <t>5 Yr. Max</t>
  </si>
  <si>
    <t xml:space="preserve"> </t>
  </si>
  <si>
    <t>Receivables/
Sales</t>
  </si>
  <si>
    <t>PE</t>
  </si>
  <si>
    <t>PB</t>
  </si>
  <si>
    <t>Buffett prefers that firms reinvest their earnings within the company, provided that profitable opportunities exist. When companies have excess cash flow, Buffett favours shareholder-enhancing maneuvers such as share buybacks. While we do not screen for this factor, a follow-up examination of a company would reveal if it has a share buyback plan in place.</t>
  </si>
  <si>
    <t>FCF/CFO</t>
  </si>
  <si>
    <t>Pricing Power</t>
  </si>
  <si>
    <t>That's what is called "pricing power". Companies with moat (as seen from other screening metrics as suggested above (like high ROE, high grow margins, low debt etc.) are able to adjust prices to inflation without the risk of losing significant volume sales.</t>
  </si>
  <si>
    <t>Companies that consistently need capital to grow their sales and profits are like bank savings account, and thus bad for an investor's long term portfolio. Seek companies that don't need high capital investments consistently. Retained earnings must first go toward maintaining current operations at competitive levels, so the lower the amount needed to maintain current operations, the better. Here, more than just an absolute assessment, a comparison against competitors will help a lot. Seek companies that consistently generate positive and rising free cash flows.</t>
  </si>
  <si>
    <t>Rising earnings serve as a good catalyst for stock prices. So seek companies with strong, consistent, and expanding earnings (profits). Seek companies with 5/10 year earnings per share growth greater than 25% (alongwith safe balance sheets). To help indicate that earnings growth is still strong, look for companies where the last 3-years earnings growth rate is higher than the last 10-years growth rate. More important than the rate of growth is the consistency in such growth. So exclude companies with volatile earnings growth in the past, even if the "average" growth has been high.</t>
  </si>
  <si>
    <t>Seeks out companies with conservative financing, which equates to a simple, safe balance sheet. Such companies tend to have strong cash flows, with little need for long-term debt. Look for low debt to equity or low debt-burden ratios. Also seek companies that have history of consistently generating positive free cash flows.</t>
  </si>
  <si>
    <t>Current Ratio measures the liquidity of a company, or its ability to pay short-term obligations. 
Current Ratio = Current Assets / Current Liabilities
The ratio is mainly used to give an idea of the company's ability to pay back its short-term liabilities (debt and payables) with its short-term assets (cash, inventory, receivables). The higher the current ratio, the more capable the company is of paying its obligations. A ratio under 1 suggests that the company would be unable to pay off its obligations if they came due at that point.
While this shows the company is not in good financial health, it does not necessarily mean that it will go bankrupt - as there are many ways to access financing - but it is definitely not a good sign.
The current ratio can give a sense of the efficiency of a company's operating cycle or its ability to turn its product into cash. Companies that have trouble getting paid on their receivables or have long inventory turnover can run into liquidity problems because they are unable to alleviate their obligations.</t>
  </si>
  <si>
    <t>Seek companies where earnings have risen as retained earnings (earnings after paying dividends) have been employed profitably. A great way to screen for such companies is by looking at those that have had consistent earnings and strong return on equity in the past.
  What counts in the long run is the increase in "per share value", not overall growth or size of a business.</t>
  </si>
  <si>
    <t>ROE = Efficiency in allocating capital, which is a CEO's #1 job. Higher = Better. Look for consistency. 
Consider it a positive sign when a company is able to earn above-average (better than competitors) returns on equity without employing much debt. Average return on equity for Indian companies over the last 10 years is approximately 16%. Thus, seek companies that earn atleast this much (16%) or more than this. Again, consistency is the key here.</t>
  </si>
  <si>
    <t>Final Price</t>
  </si>
  <si>
    <t>Conservative furture growth in EPS/BVPS</t>
  </si>
  <si>
    <t>ROE 5 Yr.</t>
  </si>
  <si>
    <t>Assumptions</t>
  </si>
  <si>
    <t>PE Ratio</t>
  </si>
  <si>
    <t>PB Ratio</t>
  </si>
  <si>
    <t>Bank Interest 1 Yr</t>
  </si>
  <si>
    <t>Current EPS</t>
  </si>
  <si>
    <t>&gt;=-3%</t>
  </si>
  <si>
    <t>Debt/PAT</t>
  </si>
  <si>
    <t>Distance Covered</t>
  </si>
  <si>
    <t>Assets</t>
  </si>
  <si>
    <t xml:space="preserve">Shareholder funds </t>
  </si>
  <si>
    <t>List of mistakes made in the market made over and over again -</t>
  </si>
  <si>
    <t>Do not be taken in by the new highs. Once the past peak of the index has been crossed, every new level is a new high &amp; there is nothing extraordinary about it.</t>
  </si>
  <si>
    <t>These are journeys of an index which will go up as the market prices of stocks go up. They are not urgent reminders that tell you about loss opportunities.</t>
  </si>
  <si>
    <t>Do not treat them like immediate calls for actions. Do not check the index everyday, and do not make generalizations based on the index.</t>
  </si>
  <si>
    <t xml:space="preserve">Explanations about why the market is up or down is equally useless. Discount them. How you will do is a function of what you are buying, holding and selling. </t>
  </si>
  <si>
    <t>Stay focussed on that micro reality, not on the macro nartatives floating around.</t>
  </si>
  <si>
    <t>Do not sacrifice quality for anything. The rising tide allows lightweights to also soar. Do not use price as an indicator of how good the stock is.</t>
  </si>
  <si>
    <t>What you see as the rise in the price of the stock in the past is history. What will matter to you is how the stock stock will behave in the future.</t>
  </si>
  <si>
    <t>Make sure your holdings are worth your hard earned money. Do not take chances with unknown stocks and overhyped IPO when there are enough of others with well established track record &amp; performance numbers</t>
  </si>
  <si>
    <t>Your money deserves better</t>
  </si>
  <si>
    <t>Do not benchmark your returns with what you may have gained in the short-term by participating in the equity markets. It is a good feeling to see the value of investments go up.</t>
  </si>
  <si>
    <t xml:space="preserve">A bull market attracts investors as their confidence moves up when what they have invested in begins to do well, or exceed their expectations </t>
  </si>
  <si>
    <t>Investors who see a 10% return as fantastic will begin to believe that a 40% return is to be normally expected.</t>
  </si>
  <si>
    <t>It does not matter when that would happen, not is it necessary to predict the next fall. Returns will eventually average out overtime and these abnormal gains will bufer you again.</t>
  </si>
  <si>
    <t>Do not quit in great haste. The desire to be right about timing the market is very high with investors. Coming off from a flat into a boom creates anxities.</t>
  </si>
  <si>
    <t xml:space="preserve">Stories about how someone did not make all the money because of not getting out at the right time remain in memory. </t>
  </si>
  <si>
    <t>Tentativeness about how far the markets will run up will increase as naysayers point to the end of the bull market with every rise.</t>
  </si>
  <si>
    <t>Remember that a bull market is not defined by its highs, but by its lows. No one knows how far your stock will run and you may regret quitting too soon.</t>
  </si>
  <si>
    <t>Allow your gains to run. What you have to be hawk-eyed is the loss.</t>
  </si>
  <si>
    <t>Do not hesitate to throw out the bad apples. There is no way you will get each one of the stock picks right - even if you did the best research and analysis.</t>
  </si>
  <si>
    <t>There are too many unknowns and a stock you picked might end up doing worse that you expected. Your portfolio will do well if you focus on selling off what is losing money for you, rather than selling what is making money.</t>
  </si>
  <si>
    <t>If you are unable to see at a loss and move on, you may still not be ready for equity investing.If you do not cut your loss, your profits may get wiped off.</t>
  </si>
  <si>
    <t>Do not indulge in day trading if you not mastered the art of managing your capital. Trading is very different from investing &amp; calls for a different set of skills.</t>
  </si>
  <si>
    <t>Riding the momentum in a stock and booking some quick gains can make you mistakenly believe that it is all easy. Its just that you got lukcy in a gamble ans you may not be able to replicate your gains.</t>
  </si>
  <si>
    <t>Traders are tested when the bets move against them and a good one will bow out and take the loss on the chin. The amateur will hold the position &amp; wish for the markets to oblige &amp; get caught up in steep loss.</t>
  </si>
  <si>
    <t>Trading is about moving the capital quickly across positions, evaluating them as you go along. If you merely buy &amp; sell without that agility it is your broker who will make the money, not you.</t>
  </si>
  <si>
    <t>Particpate in the market with the power of information and preparedness. There are sensible approaches for discerning investor to participate in the value that businesses create</t>
  </si>
  <si>
    <t>RoE</t>
  </si>
  <si>
    <t>NP</t>
  </si>
  <si>
    <t>Tangible assets (Non-current)</t>
  </si>
  <si>
    <t>Investments (Current)</t>
  </si>
  <si>
    <t>Rest</t>
  </si>
  <si>
    <t>Raw Mat + Invt change</t>
  </si>
  <si>
    <t>Inventories (Current)</t>
  </si>
  <si>
    <t>Receivables (Current)</t>
  </si>
  <si>
    <t>Cash (Current)</t>
  </si>
  <si>
    <t>Liabilities</t>
  </si>
  <si>
    <t>Shareholder Funds</t>
  </si>
  <si>
    <r>
      <t>EPS</t>
    </r>
    <r>
      <rPr>
        <vertAlign val="subscript"/>
        <sz val="10"/>
        <color theme="1"/>
        <rFont val="Arial"/>
        <family val="2"/>
      </rPr>
      <t>i</t>
    </r>
  </si>
  <si>
    <r>
      <t>EPS</t>
    </r>
    <r>
      <rPr>
        <vertAlign val="subscript"/>
        <sz val="10"/>
        <color theme="1"/>
        <rFont val="Arial"/>
        <family val="2"/>
      </rPr>
      <t>i-1</t>
    </r>
  </si>
  <si>
    <t>P/L - Annual</t>
  </si>
  <si>
    <t>P/L - Quaterly</t>
  </si>
  <si>
    <t>While it is not possible to predict the future with any degee of certainity, you need to have an investment thesis or a basic set of reasons why you bought the stock. Write down your reasons.</t>
  </si>
  <si>
    <t>Do not be taken in by recent  experiences of appreciation in the value of your investments. Learn to see these as the buffer for the inevitable correction that will come in the future.</t>
  </si>
  <si>
    <t xml:space="preserve">Do not hope to recover your loss from the stock you wrongly picked. You can make it in a another stock.By letting your losses to persist, you are allowing your capital to bleed. </t>
  </si>
  <si>
    <t>http://www.bseindia.com/corporates/Sharehold_Searchnew.aspx?expandable=3</t>
  </si>
  <si>
    <t>P/L - Annual - YoY change</t>
  </si>
  <si>
    <t>Philip Fisher on What to Buy</t>
  </si>
  <si>
    <t>1.Does the company have products or services with sufficient market potential to make possible a sizeable increase in sales for atleast several years</t>
  </si>
  <si>
    <t>2.Does the management has determination to continue to develop products or processes that will further increase total sales potential when the growth potential of currently attractive product lines have largely been exploited</t>
  </si>
  <si>
    <t>3.How effective are the company's research and development efforts in relation to its size</t>
  </si>
  <si>
    <t>4.Does the company have an above average sales organization</t>
  </si>
  <si>
    <t>5.Does the company have a worthwhile profit margin</t>
  </si>
  <si>
    <t>6.What is the company doing to maintain or improve its profit margin</t>
  </si>
  <si>
    <t>7.Does the company have outstanding labor and personel relations</t>
  </si>
  <si>
    <t>8.Does the company have outstanding executive relations</t>
  </si>
  <si>
    <t>9.Does the company have depth to its management</t>
  </si>
  <si>
    <t>10.How good are the company's cost analysis and accounting controls</t>
  </si>
  <si>
    <t>11.Are there other aspects of the business, somewhat peculiar to the industry involved, which will give the investor important clues as to how outstanding the company maybe in relation to its competitors</t>
  </si>
  <si>
    <t>12.Does the company have a short-range or a long-range outlook in regard to its profits</t>
  </si>
  <si>
    <t>13.In the foreseeable future will the growth of the company require sufficient equity financing so that the large number of shares then outstanding will largely cancel the existing share holder's benefit from this anticipated growth</t>
  </si>
  <si>
    <t>14.Does the management talk freely to investors about its affairs when things are going well but calm up when trouble and disappointments happen</t>
  </si>
  <si>
    <t>15. Dies the company has management of unquestionable integrity</t>
  </si>
  <si>
    <t>P/L - QoQ - change</t>
  </si>
  <si>
    <t xml:space="preserve">Sales </t>
  </si>
  <si>
    <t>Sales QoQ</t>
  </si>
  <si>
    <t>NP QoQ</t>
  </si>
  <si>
    <t>Sales YoY</t>
  </si>
  <si>
    <t>EPS YoY</t>
  </si>
  <si>
    <r>
      <t xml:space="preserve">EPS - </t>
    </r>
    <r>
      <rPr>
        <b/>
        <i/>
        <sz val="10"/>
        <color theme="1"/>
        <rFont val="Arial"/>
        <family val="2"/>
      </rPr>
      <t>Annl</t>
    </r>
  </si>
  <si>
    <r>
      <t xml:space="preserve">Total Income - </t>
    </r>
    <r>
      <rPr>
        <b/>
        <i/>
        <sz val="12"/>
        <color theme="1"/>
        <rFont val="Calibri"/>
        <family val="2"/>
        <scheme val="minor"/>
      </rPr>
      <t>Annl</t>
    </r>
  </si>
  <si>
    <r>
      <t xml:space="preserve">Income Dist - </t>
    </r>
    <r>
      <rPr>
        <b/>
        <i/>
        <sz val="10"/>
        <color theme="1"/>
        <rFont val="Arial"/>
        <family val="2"/>
      </rPr>
      <t>Annl</t>
    </r>
  </si>
  <si>
    <r>
      <t xml:space="preserve">Income Dist - </t>
    </r>
    <r>
      <rPr>
        <b/>
        <i/>
        <sz val="10"/>
        <color theme="1"/>
        <rFont val="Arial"/>
        <family val="2"/>
      </rPr>
      <t>Qtrly</t>
    </r>
  </si>
  <si>
    <r>
      <t xml:space="preserve">Total Income - </t>
    </r>
    <r>
      <rPr>
        <b/>
        <i/>
        <sz val="12"/>
        <color theme="1"/>
        <rFont val="Calibri"/>
        <family val="2"/>
        <scheme val="minor"/>
      </rPr>
      <t>Qtrly</t>
    </r>
  </si>
  <si>
    <t>YOY</t>
  </si>
  <si>
    <r>
      <t>TTM</t>
    </r>
    <r>
      <rPr>
        <b/>
        <vertAlign val="subscript"/>
        <sz val="11"/>
        <color indexed="9"/>
        <rFont val="Calibri"/>
        <family val="2"/>
      </rPr>
      <t>I</t>
    </r>
  </si>
  <si>
    <r>
      <t>TTM</t>
    </r>
    <r>
      <rPr>
        <b/>
        <vertAlign val="subscript"/>
        <sz val="11"/>
        <color indexed="9"/>
        <rFont val="Calibri"/>
        <family val="2"/>
      </rPr>
      <t>I-1</t>
    </r>
  </si>
  <si>
    <t>Expected Gth</t>
  </si>
  <si>
    <t>Actual Gth</t>
  </si>
  <si>
    <t>Revenue</t>
  </si>
  <si>
    <t>Expected Score</t>
  </si>
  <si>
    <t>Actual Score</t>
  </si>
  <si>
    <t>SSGR</t>
  </si>
  <si>
    <t>Net fixed asset turnover (Sales/average net fixed assets over the year)</t>
  </si>
  <si>
    <t>Net profit margin as % of sales</t>
  </si>
  <si>
    <t>Dividend paid as % of net profit after tax</t>
  </si>
  <si>
    <t>Depreciation rate as a % of net fixed assets</t>
  </si>
  <si>
    <t>Net Profit - Qtr</t>
  </si>
  <si>
    <t>NP Margin</t>
  </si>
  <si>
    <t>Taxes</t>
  </si>
  <si>
    <t>Net Profit</t>
  </si>
  <si>
    <t>Profit Margin</t>
  </si>
  <si>
    <t>5 YR NP 
margin</t>
  </si>
  <si>
    <t>Expected</t>
  </si>
  <si>
    <t>PAT/WC</t>
  </si>
  <si>
    <t>Sales/NFAT</t>
  </si>
  <si>
    <t>Expected Value</t>
  </si>
  <si>
    <t>Actual Value</t>
  </si>
  <si>
    <t>Debt/NP</t>
  </si>
  <si>
    <t>&gt;=1</t>
  </si>
  <si>
    <t xml:space="preserve">5 Yr. CFO/PAT </t>
  </si>
  <si>
    <t>&gt;20%  / &gt;2%</t>
  </si>
  <si>
    <t>&gt;0</t>
  </si>
  <si>
    <t>&gt;=1.25</t>
  </si>
  <si>
    <t>Receivable Days</t>
  </si>
  <si>
    <t>Inventory Turnover ratio</t>
  </si>
  <si>
    <t>SSGR and FCF determine the margin of safety</t>
  </si>
  <si>
    <t>Indicator of asset light business model</t>
  </si>
  <si>
    <t>Accounts receivable days is the number of days that a customer invoice is outstanding before it is collected - indicator of credit terms offered by the company to its customers and subsequent collection practices</t>
  </si>
  <si>
    <t>How effectively inventory is managed by comparing cost of goods sold with average inventory for a period. This measures how many times average inventory is “turned” or sold during a period</t>
  </si>
  <si>
    <r>
      <rPr>
        <sz val="10"/>
        <rFont val="Calibri"/>
        <family val="2"/>
      </rPr>
      <t>∆</t>
    </r>
    <r>
      <rPr>
        <sz val="10"/>
        <rFont val="Calibri"/>
        <family val="2"/>
        <charset val="1"/>
      </rPr>
      <t xml:space="preserve"> WC</t>
    </r>
  </si>
  <si>
    <t>C Liability/C Asset</t>
  </si>
  <si>
    <t>CFO to be higher than PAT. Excess CFO helps to fund its business expansion attempts over and above the SSGR levels.</t>
  </si>
  <si>
    <t>C Liabilty/ C Asset</t>
  </si>
  <si>
    <t>Revenue growth 5 Yr.</t>
  </si>
  <si>
    <t>Profit</t>
  </si>
  <si>
    <t>Efficiency</t>
  </si>
  <si>
    <t>Promoter</t>
  </si>
  <si>
    <t>RoE/RoA</t>
  </si>
  <si>
    <t>C Liabillity/ C Asset</t>
  </si>
  <si>
    <t>Change WC and NP</t>
  </si>
  <si>
    <t xml:space="preserve">Receivable Days
</t>
  </si>
  <si>
    <t xml:space="preserve">Inventory Days
</t>
  </si>
  <si>
    <t>Shareholding Dist.</t>
  </si>
  <si>
    <t>WC if managed well growth funded by profit allows the company to have SSGR &gt;= Sales gth rate. If sales is debt funded then SSGR &lt; Sales gth rate</t>
  </si>
  <si>
    <t>QoQ</t>
  </si>
  <si>
    <t>QoQ NP</t>
  </si>
  <si>
    <t>Fluctuations in Operating Profit margin indicative of lack of pricing power - company not able to pass in higher raw material price to the customer</t>
  </si>
  <si>
    <t>OP Margin</t>
  </si>
  <si>
    <t>5 YR cFCF</t>
  </si>
  <si>
    <t>Are current liabilties able to fund the current asset. Current Liabilities is also called Float (other people's money)</t>
  </si>
  <si>
    <t>Float</t>
  </si>
  <si>
    <t>Debt</t>
  </si>
  <si>
    <t xml:space="preserve">Asset Dist. </t>
  </si>
  <si>
    <t>Liabilty Dist.</t>
  </si>
  <si>
    <t>Liability Dist.</t>
  </si>
  <si>
    <t xml:space="preserve">Indicator in internal accruals are getting tied to WC and that is causing company to borrow money for capex. </t>
  </si>
  <si>
    <t>Source of Cash</t>
  </si>
  <si>
    <t>TTM</t>
  </si>
  <si>
    <t>Cash Sales</t>
  </si>
  <si>
    <t>Credit Sales</t>
  </si>
  <si>
    <t>Sales Type</t>
  </si>
  <si>
    <t>Sales in Cash/Credit</t>
  </si>
  <si>
    <t xml:space="preserve">Inventory/Sales
</t>
  </si>
  <si>
    <t>Qualitative Scorecard</t>
  </si>
  <si>
    <t>&gt;5%</t>
  </si>
  <si>
    <t>Operating Profit Components</t>
  </si>
  <si>
    <t>CY0</t>
  </si>
  <si>
    <t>CY+1</t>
  </si>
  <si>
    <t>COMPANY NAME</t>
  </si>
  <si>
    <t>RELAXO FOOTWEARS LTD</t>
  </si>
  <si>
    <t>LATEST VERSION</t>
  </si>
  <si>
    <t>PLEASE DO NOT MAKE ANY CHANGES TO THIS SHEET</t>
  </si>
  <si>
    <t>CURRENT VERSION</t>
  </si>
  <si>
    <t>META</t>
  </si>
  <si>
    <t>Number of shares</t>
  </si>
  <si>
    <t>Face Value</t>
  </si>
  <si>
    <t>Market Capitalization</t>
  </si>
  <si>
    <t>PROFIT &amp; LOSS</t>
  </si>
  <si>
    <t>Report Date</t>
  </si>
  <si>
    <t>Raw Material Cost</t>
  </si>
  <si>
    <t>Change in Inventory</t>
  </si>
  <si>
    <t>Other Income</t>
  </si>
  <si>
    <t>Profit before tax</t>
  </si>
  <si>
    <t>Dividend Amount</t>
  </si>
  <si>
    <t>Quarters</t>
  </si>
  <si>
    <t>Operating Profit</t>
  </si>
  <si>
    <t>BALANCE SHEET</t>
  </si>
  <si>
    <t>Equity Share Capital</t>
  </si>
  <si>
    <t>Reserves</t>
  </si>
  <si>
    <t>Total</t>
  </si>
  <si>
    <t>Net Block</t>
  </si>
  <si>
    <t>Investments</t>
  </si>
  <si>
    <t>Other Assets</t>
  </si>
  <si>
    <t>Receivables</t>
  </si>
  <si>
    <t>Cash &amp; Bank</t>
  </si>
  <si>
    <t>No. of Equity Shares</t>
  </si>
  <si>
    <t>New Bonus Shares</t>
  </si>
  <si>
    <t>Face value</t>
  </si>
  <si>
    <t>CASH FLOW:</t>
  </si>
  <si>
    <t>Cash from Operating Activity</t>
  </si>
  <si>
    <t>Net Cash Flow</t>
  </si>
  <si>
    <t>PRICE:</t>
  </si>
  <si>
    <t>DERIVED:</t>
  </si>
  <si>
    <t>Adjusted Equity Shares in Cr</t>
  </si>
  <si>
    <t>Promoters &amp; FII buying from retail investors</t>
  </si>
  <si>
    <t>Promoter unpledged</t>
  </si>
  <si>
    <t>Promoter pledged</t>
  </si>
  <si>
    <t>FII</t>
  </si>
  <si>
    <t>Mutual funds</t>
  </si>
  <si>
    <t>Bodies corporate</t>
  </si>
  <si>
    <t>Individuals &lt;= 2 lakh</t>
  </si>
  <si>
    <t>Individuals &gt; 2 lakh</t>
  </si>
  <si>
    <t>Others</t>
  </si>
  <si>
    <t>Promoters</t>
  </si>
  <si>
    <t>MUKAND LAL DUA</t>
  </si>
  <si>
    <t>RAMESH KUMAR DUA</t>
  </si>
  <si>
    <t>Lalita, Nikhil, Nitin, Gaurav, Ritesh, Rahul</t>
  </si>
  <si>
    <t>Relaxo Footwear</t>
  </si>
  <si>
    <r>
      <rPr>
        <b/>
        <sz val="10"/>
        <color theme="1"/>
        <rFont val="Calibri"/>
        <family val="2"/>
        <scheme val="minor"/>
      </rPr>
      <t>Adjusted Equity Shares in Cr in "Quantitative" tab adjusted manually</t>
    </r>
    <r>
      <rPr>
        <sz val="10"/>
        <color theme="1"/>
        <rFont val="Calibri"/>
        <family val="2"/>
        <scheme val="minor"/>
      </rPr>
      <t xml:space="preserve">
Notes from Coffee Can portfolio 2016-
1.New brands created overtime (Sparx, Flite, Bahamas, Schoolmate). RoE improved from 7% in FY06 to 28% in FY16.
2.Able to premiumize its products. Avg. realization/pair increased from Rs36 in FY05 to Rs.132 FY16. 
3.Inventory days deteriorated from 67 days in FY10 to 138 days in FY16.
4.Debtor days = 3 weeks (industry = 3 weeks). Distributors pay in time. Creditor days =52.
5.There is a large opportunity at the bottom of the pyramid that Relaxo can taper to.
6.In FY13-16, brandex =8% of sales and 100% of capital expenditure.
7.The company does not provide any guidance on future estimates.
</t>
    </r>
  </si>
  <si>
    <t>FMCG</t>
  </si>
  <si>
    <r>
      <t xml:space="preserve">Numbers look very consistent. Valuation formulas manually adjusted.
Quantitative tab - equity manually inserted
</t>
    </r>
    <r>
      <rPr>
        <b/>
        <sz val="10"/>
        <color rgb="FFFF0000"/>
        <rFont val="Calibri"/>
        <family val="2"/>
        <scheme val="minor"/>
      </rPr>
      <t>Check - NP margin &lt;10%</t>
    </r>
  </si>
  <si>
    <t>Fundo Prof Concept</t>
  </si>
  <si>
    <t>Future in 5 Yrs</t>
  </si>
  <si>
    <t>Future in 10 Yrs</t>
  </si>
  <si>
    <t>Volume/share</t>
  </si>
  <si>
    <t>Avg. Realization</t>
  </si>
  <si>
    <t>Sales/share</t>
  </si>
  <si>
    <t>Net Profit margin</t>
  </si>
  <si>
    <t>Net Profit/share (EPS)</t>
  </si>
  <si>
    <t>Exit PE</t>
  </si>
  <si>
    <t>Price/share</t>
  </si>
  <si>
    <t>Price/revenue</t>
  </si>
  <si>
    <t>Wealth compounding</t>
  </si>
  <si>
    <t>10 Yr estimate</t>
  </si>
  <si>
    <t>TTM+1%</t>
  </si>
  <si>
    <t>TTM+1.5%</t>
  </si>
  <si>
    <t>Revenue Growth</t>
  </si>
  <si>
    <t>Conservative</t>
  </si>
  <si>
    <t>Conservative +2%</t>
  </si>
  <si>
    <t>Conservative +3%</t>
  </si>
  <si>
    <t>Conservative 10Yr</t>
  </si>
  <si>
    <t>Distance Left (Fundoo)</t>
  </si>
  <si>
    <t>Distance Left (Mine)</t>
  </si>
  <si>
    <t>My Concept</t>
  </si>
  <si>
    <t>RoCE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</si>
</sst>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gt;9999999]##\,##\,##\,##0.00;[&gt;99999]##\,##\,##0.00;##,##0.00"/>
    <numFmt numFmtId="165" formatCode="_ &quot;₹&quot;\ * #,##0_ ;_ &quot;₹&quot;\ * \-#,##0_ ;_ &quot;₹&quot;\ * &quot;-&quot;??_ ;_ @_ "/>
    <numFmt numFmtId="166" formatCode="_(* #,##0_);_(* \(#,##0\);_(* &quot;-&quot;??_);_(@_)"/>
    <numFmt numFmtId="167" formatCode="0.0"/>
    <numFmt numFmtId="168" formatCode="0.0%"/>
    <numFmt numFmtId="169" formatCode="_(* #,##0.0_);_(* \(#,##0.0\);_(* &quot;-&quot;??_);_(@_)"/>
    <numFmt numFmtId="170" formatCode="_ * #,##0.00_ ;_ * \-#,##0.00_ ;_ * &quot;-&quot;??_ ;_ @_ "/>
    <numFmt numFmtId="171" formatCode="[$-409]mmm\-yy;@"/>
  </numFmts>
  <fonts count="72">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b/>
      <sz val="11"/>
      <color theme="1"/>
      <name val="Arial"/>
      <family val="2"/>
    </font>
    <font>
      <sz val="11"/>
      <color theme="1"/>
      <name val="Arial"/>
      <family val="2"/>
    </font>
    <font>
      <sz val="11"/>
      <color theme="0"/>
      <name val="Arial"/>
      <family val="2"/>
    </font>
    <font>
      <sz val="10"/>
      <color theme="0"/>
      <name val="Arial"/>
      <family val="2"/>
    </font>
    <font>
      <u/>
      <sz val="11"/>
      <color theme="10"/>
      <name val="Arial"/>
      <family val="2"/>
    </font>
    <font>
      <b/>
      <sz val="12"/>
      <color theme="3" tint="-0.249977111117893"/>
      <name val="Georgia"/>
      <family val="1"/>
    </font>
    <font>
      <u/>
      <sz val="10"/>
      <color theme="10"/>
      <name val="Arial"/>
      <family val="2"/>
    </font>
    <font>
      <sz val="10"/>
      <color theme="1"/>
      <name val="Arial"/>
      <family val="2"/>
    </font>
    <font>
      <sz val="10"/>
      <color theme="0"/>
      <name val="Calibri"/>
      <family val="2"/>
      <scheme val="minor"/>
    </font>
    <font>
      <b/>
      <sz val="10"/>
      <color theme="1"/>
      <name val="Arial"/>
      <family val="2"/>
    </font>
    <font>
      <b/>
      <sz val="10"/>
      <color theme="0"/>
      <name val="Calibri"/>
      <family val="2"/>
      <scheme val="minor"/>
    </font>
    <font>
      <sz val="11"/>
      <name val="Arial"/>
      <family val="2"/>
    </font>
    <font>
      <sz val="11"/>
      <color rgb="FF3F3F76"/>
      <name val="Calibri"/>
      <family val="2"/>
      <scheme val="minor"/>
    </font>
    <font>
      <sz val="11"/>
      <color rgb="FFFF0000"/>
      <name val="Calibri"/>
      <family val="2"/>
      <scheme val="minor"/>
    </font>
    <font>
      <sz val="10"/>
      <name val="Arial"/>
      <family val="2"/>
    </font>
    <font>
      <sz val="11"/>
      <color theme="1"/>
      <name val="Calibri"/>
      <family val="2"/>
      <scheme val="minor"/>
    </font>
    <font>
      <b/>
      <sz val="11"/>
      <color rgb="FF7030A0"/>
      <name val="Calibri"/>
      <family val="2"/>
      <scheme val="minor"/>
    </font>
    <font>
      <b/>
      <sz val="11"/>
      <color rgb="FF00B050"/>
      <name val="Calibri"/>
      <family val="2"/>
      <scheme val="minor"/>
    </font>
    <font>
      <sz val="9"/>
      <color theme="1"/>
      <name val="Arial"/>
      <family val="2"/>
    </font>
    <font>
      <sz val="9"/>
      <color rgb="FF3F3F76"/>
      <name val="Calibri"/>
      <family val="2"/>
      <scheme val="minor"/>
    </font>
    <font>
      <b/>
      <sz val="11"/>
      <color theme="0"/>
      <name val="Calibri"/>
      <family val="2"/>
      <scheme val="minor"/>
    </font>
    <font>
      <b/>
      <sz val="11"/>
      <color rgb="FFFF0000"/>
      <name val="Calibri"/>
      <family val="2"/>
      <scheme val="minor"/>
    </font>
    <font>
      <sz val="11"/>
      <color rgb="FF00B050"/>
      <name val="Calibri"/>
      <family val="2"/>
      <scheme val="minor"/>
    </font>
    <font>
      <u/>
      <sz val="11"/>
      <color rgb="FF555555"/>
      <name val="Inherit"/>
    </font>
    <font>
      <sz val="26"/>
      <color theme="1"/>
      <name val="Calibri"/>
      <family val="2"/>
    </font>
    <font>
      <vertAlign val="subscript"/>
      <sz val="11"/>
      <color theme="1"/>
      <name val="Calibri"/>
      <family val="2"/>
      <scheme val="minor"/>
    </font>
    <font>
      <sz val="9"/>
      <color theme="1"/>
      <name val="Cambria"/>
      <family val="1"/>
      <scheme val="major"/>
    </font>
    <font>
      <b/>
      <sz val="9"/>
      <color theme="1"/>
      <name val="Cambria"/>
      <family val="1"/>
      <scheme val="major"/>
    </font>
    <font>
      <sz val="9"/>
      <color rgb="FF444444"/>
      <name val="Cambria"/>
      <family val="1"/>
      <scheme val="major"/>
    </font>
    <font>
      <b/>
      <sz val="9"/>
      <color rgb="FF444444"/>
      <name val="Cambria"/>
      <family val="1"/>
      <scheme val="major"/>
    </font>
    <font>
      <b/>
      <sz val="9"/>
      <color theme="1"/>
      <name val="Calibri"/>
      <family val="2"/>
    </font>
    <font>
      <sz val="9"/>
      <color theme="1"/>
      <name val="Calibri"/>
      <family val="2"/>
      <charset val="1"/>
    </font>
    <font>
      <sz val="11"/>
      <color theme="1"/>
      <name val="Calibri"/>
      <family val="2"/>
      <charset val="1"/>
    </font>
    <font>
      <sz val="9"/>
      <color indexed="81"/>
      <name val="Tahoma"/>
      <family val="2"/>
    </font>
    <font>
      <b/>
      <sz val="11"/>
      <name val="Calibri"/>
      <family val="2"/>
      <charset val="1"/>
    </font>
    <font>
      <sz val="11"/>
      <name val="Calibri"/>
      <family val="2"/>
      <charset val="1"/>
    </font>
    <font>
      <b/>
      <sz val="11"/>
      <color indexed="9"/>
      <name val="Calibri"/>
      <family val="2"/>
      <charset val="1"/>
    </font>
    <font>
      <sz val="10"/>
      <name val="Calibri"/>
      <family val="2"/>
      <charset val="1"/>
    </font>
    <font>
      <b/>
      <sz val="10"/>
      <name val="Calibri"/>
      <family val="2"/>
      <charset val="1"/>
    </font>
    <font>
      <sz val="10"/>
      <color indexed="59"/>
      <name val="Calibri"/>
      <family val="2"/>
      <charset val="1"/>
    </font>
    <font>
      <sz val="9"/>
      <name val="Arial"/>
      <family val="2"/>
      <charset val="1"/>
    </font>
    <font>
      <sz val="10"/>
      <color indexed="8"/>
      <name val="Calibri"/>
      <family val="2"/>
      <charset val="1"/>
    </font>
    <font>
      <b/>
      <sz val="9"/>
      <color indexed="81"/>
      <name val="Tahoma"/>
      <family val="2"/>
    </font>
    <font>
      <u/>
      <sz val="11"/>
      <color theme="10"/>
      <name val="Calibri"/>
      <family val="2"/>
    </font>
    <font>
      <sz val="8"/>
      <color theme="1"/>
      <name val="Arial"/>
      <family val="2"/>
    </font>
    <font>
      <sz val="10"/>
      <color theme="1"/>
      <name val="Calibri"/>
      <family val="2"/>
      <scheme val="minor"/>
    </font>
    <font>
      <sz val="9"/>
      <color theme="1"/>
      <name val="Calibri"/>
      <family val="2"/>
      <scheme val="minor"/>
    </font>
    <font>
      <sz val="8"/>
      <color rgb="FF000000"/>
      <name val="Segoe UI"/>
      <family val="2"/>
    </font>
    <font>
      <vertAlign val="subscript"/>
      <sz val="10"/>
      <color theme="1"/>
      <name val="Arial"/>
      <family val="2"/>
    </font>
    <font>
      <b/>
      <i/>
      <sz val="10"/>
      <color theme="1"/>
      <name val="Arial"/>
      <family val="2"/>
    </font>
    <font>
      <b/>
      <sz val="12"/>
      <color theme="1"/>
      <name val="Calibri"/>
      <family val="2"/>
      <scheme val="minor"/>
    </font>
    <font>
      <b/>
      <i/>
      <sz val="12"/>
      <color theme="1"/>
      <name val="Calibri"/>
      <family val="2"/>
      <scheme val="minor"/>
    </font>
    <font>
      <b/>
      <vertAlign val="subscript"/>
      <sz val="11"/>
      <color indexed="9"/>
      <name val="Calibri"/>
      <family val="2"/>
    </font>
    <font>
      <b/>
      <sz val="10"/>
      <name val="Calibri"/>
      <family val="2"/>
    </font>
    <font>
      <sz val="10"/>
      <color rgb="FF000000"/>
      <name val="Arial"/>
      <family val="2"/>
    </font>
    <font>
      <b/>
      <sz val="10"/>
      <color theme="1"/>
      <name val="Calibri"/>
      <family val="2"/>
    </font>
    <font>
      <sz val="8"/>
      <color theme="1"/>
      <name val="Calibri"/>
      <family val="2"/>
      <scheme val="minor"/>
    </font>
    <font>
      <b/>
      <sz val="8"/>
      <color theme="1"/>
      <name val="Calibri"/>
      <family val="2"/>
      <scheme val="minor"/>
    </font>
    <font>
      <sz val="10"/>
      <name val="Calibri"/>
      <family val="2"/>
    </font>
    <font>
      <b/>
      <sz val="10"/>
      <color rgb="FF7030A0"/>
      <name val="Calibri"/>
      <family val="2"/>
      <scheme val="minor"/>
    </font>
    <font>
      <sz val="8"/>
      <color rgb="FF444444"/>
      <name val="Cambria"/>
      <family val="1"/>
      <scheme val="major"/>
    </font>
    <font>
      <b/>
      <sz val="10"/>
      <color theme="1"/>
      <name val="Calibri"/>
      <family val="2"/>
      <scheme val="minor"/>
    </font>
    <font>
      <i/>
      <sz val="9"/>
      <color theme="1"/>
      <name val="Calibri"/>
      <family val="2"/>
      <scheme val="minor"/>
    </font>
    <font>
      <i/>
      <sz val="9"/>
      <color rgb="FF444444"/>
      <name val="Calibri"/>
      <family val="2"/>
      <scheme val="minor"/>
    </font>
    <font>
      <i/>
      <sz val="11"/>
      <color theme="1"/>
      <name val="Calibri"/>
      <family val="2"/>
      <scheme val="minor"/>
    </font>
    <font>
      <b/>
      <sz val="10"/>
      <color rgb="FFFF0000"/>
      <name val="Calibri"/>
      <family val="2"/>
      <scheme val="minor"/>
    </font>
    <font>
      <sz val="10"/>
      <color theme="0" tint="-0.499984740745262"/>
      <name val="Arial"/>
      <family val="2"/>
    </font>
  </fonts>
  <fills count="31">
    <fill>
      <patternFill patternType="none"/>
    </fill>
    <fill>
      <patternFill patternType="gray125"/>
    </fill>
    <fill>
      <patternFill patternType="solid">
        <fgColor theme="4"/>
      </patternFill>
    </fill>
    <fill>
      <patternFill patternType="solid">
        <fgColor theme="7"/>
      </patternFill>
    </fill>
    <fill>
      <patternFill patternType="solid">
        <fgColor theme="1"/>
        <bgColor indexed="64"/>
      </patternFill>
    </fill>
    <fill>
      <patternFill patternType="solid">
        <fgColor rgb="FFFFFFFF"/>
        <bgColor indexed="64"/>
      </patternFill>
    </fill>
    <fill>
      <patternFill patternType="solid">
        <fgColor rgb="FFFFFF00"/>
        <bgColor indexed="64"/>
      </patternFill>
    </fill>
    <fill>
      <patternFill patternType="solid">
        <fgColor theme="6"/>
      </patternFill>
    </fill>
    <fill>
      <patternFill patternType="solid">
        <fgColor theme="3" tint="0.79998168889431442"/>
        <bgColor indexed="64"/>
      </patternFill>
    </fill>
    <fill>
      <patternFill patternType="solid">
        <fgColor theme="5"/>
        <bgColor indexed="64"/>
      </patternFill>
    </fill>
    <fill>
      <patternFill patternType="solid">
        <fgColor rgb="FF92D050"/>
        <bgColor indexed="64"/>
      </patternFill>
    </fill>
    <fill>
      <patternFill patternType="solid">
        <fgColor theme="7"/>
        <bgColor indexed="64"/>
      </patternFill>
    </fill>
    <fill>
      <patternFill patternType="solid">
        <fgColor rgb="FFFFCC99"/>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7" tint="-0.249977111117893"/>
        <bgColor indexed="64"/>
      </patternFill>
    </fill>
    <fill>
      <patternFill patternType="solid">
        <fgColor theme="9"/>
      </patternFill>
    </fill>
    <fill>
      <patternFill patternType="solid">
        <fgColor theme="0" tint="-4.9989318521683403E-2"/>
        <bgColor indexed="64"/>
      </patternFill>
    </fill>
    <fill>
      <patternFill patternType="solid">
        <fgColor rgb="FFC7E6A4"/>
        <bgColor indexed="64"/>
      </patternFill>
    </fill>
    <fill>
      <patternFill patternType="solid">
        <fgColor rgb="FFF2F2F2"/>
        <bgColor indexed="64"/>
      </patternFill>
    </fill>
    <fill>
      <patternFill patternType="solid">
        <fgColor indexed="16"/>
        <bgColor indexed="37"/>
      </patternFill>
    </fill>
    <fill>
      <patternFill patternType="solid">
        <fgColor indexed="50"/>
        <bgColor indexed="55"/>
      </patternFill>
    </fill>
    <fill>
      <patternFill patternType="solid">
        <fgColor indexed="30"/>
        <bgColor indexed="40"/>
      </patternFill>
    </fill>
    <fill>
      <patternFill patternType="solid">
        <fgColor indexed="41"/>
        <bgColor indexed="31"/>
      </patternFill>
    </fill>
    <fill>
      <patternFill patternType="solid">
        <fgColor indexed="51"/>
        <bgColor indexed="52"/>
      </patternFill>
    </fill>
    <fill>
      <patternFill patternType="solid">
        <fgColor indexed="40"/>
        <bgColor indexed="30"/>
      </patternFill>
    </fill>
    <fill>
      <patternFill patternType="solid">
        <fgColor rgb="FF0275D8"/>
        <bgColor indexed="64"/>
      </patternFill>
    </fill>
    <fill>
      <patternFill patternType="solid">
        <fgColor theme="0" tint="-0.34998626667073579"/>
        <bgColor indexed="64"/>
      </patternFill>
    </fill>
    <fill>
      <patternFill patternType="solid">
        <fgColor rgb="FFFF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top style="thin">
        <color rgb="FF7F7F7F"/>
      </top>
      <bottom/>
      <diagonal/>
    </border>
    <border>
      <left/>
      <right style="thin">
        <color indexed="64"/>
      </right>
      <top style="thin">
        <color rgb="FF7F7F7F"/>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double">
        <color auto="1"/>
      </top>
      <bottom/>
      <diagonal/>
    </border>
    <border>
      <left/>
      <right/>
      <top/>
      <bottom style="double">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bottom/>
      <diagonal/>
    </border>
    <border>
      <left style="thin">
        <color indexed="64"/>
      </left>
      <right/>
      <top style="thin">
        <color indexed="64"/>
      </top>
      <bottom/>
      <diagonal/>
    </border>
    <border>
      <left/>
      <right/>
      <top style="double">
        <color theme="0" tint="-0.499984740745262"/>
      </top>
      <bottom/>
      <diagonal/>
    </border>
    <border>
      <left/>
      <right/>
      <top/>
      <bottom style="double">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s>
  <cellStyleXfs count="12">
    <xf numFmtId="0" fontId="0" fillId="0" borderId="0"/>
    <xf numFmtId="0" fontId="2" fillId="2" borderId="0" applyNumberFormat="0" applyBorder="0" applyAlignment="0" applyProtection="0"/>
    <xf numFmtId="0" fontId="2" fillId="3" borderId="0" applyNumberFormat="0" applyBorder="0" applyAlignment="0" applyProtection="0"/>
    <xf numFmtId="0" fontId="4" fillId="0" borderId="0" applyNumberFormat="0" applyFill="0" applyBorder="0" applyAlignment="0" applyProtection="0"/>
    <xf numFmtId="0" fontId="2" fillId="7" borderId="0" applyNumberFormat="0" applyBorder="0" applyAlignment="0" applyProtection="0"/>
    <xf numFmtId="0" fontId="17" fillId="12" borderId="8" applyNumberFormat="0" applyAlignment="0" applyProtection="0"/>
    <xf numFmtId="9" fontId="20" fillId="0" borderId="0" applyFont="0" applyFill="0" applyBorder="0" applyAlignment="0" applyProtection="0"/>
    <xf numFmtId="43" fontId="20" fillId="0" borderId="0" applyFont="0" applyFill="0" applyBorder="0" applyAlignment="0" applyProtection="0"/>
    <xf numFmtId="0" fontId="2" fillId="18" borderId="0" applyNumberFormat="0" applyBorder="0" applyAlignment="0" applyProtection="0"/>
    <xf numFmtId="0" fontId="19" fillId="0" borderId="0"/>
    <xf numFmtId="170" fontId="20" fillId="0" borderId="0" applyFont="0" applyFill="0" applyBorder="0" applyAlignment="0" applyProtection="0"/>
    <xf numFmtId="0" fontId="48" fillId="0" borderId="0" applyNumberFormat="0" applyFill="0" applyBorder="0" applyAlignment="0" applyProtection="0">
      <alignment vertical="top"/>
      <protection locked="0"/>
    </xf>
  </cellStyleXfs>
  <cellXfs count="442">
    <xf numFmtId="0" fontId="0" fillId="0" borderId="0" xfId="0"/>
    <xf numFmtId="164" fontId="7" fillId="2" borderId="1" xfId="1" applyNumberFormat="1" applyFont="1" applyBorder="1" applyAlignment="1" applyProtection="1">
      <alignment horizontal="center" vertical="center" wrapText="1"/>
      <protection hidden="1"/>
    </xf>
    <xf numFmtId="0" fontId="0" fillId="0" borderId="0" xfId="0" applyProtection="1">
      <protection locked="0"/>
    </xf>
    <xf numFmtId="0" fontId="7" fillId="2" borderId="1" xfId="1" applyFont="1" applyBorder="1" applyAlignment="1" applyProtection="1">
      <alignment horizontal="center" vertical="center"/>
      <protection locked="0"/>
    </xf>
    <xf numFmtId="0" fontId="7" fillId="9" borderId="0" xfId="0" applyFont="1" applyFill="1" applyProtection="1">
      <protection locked="0"/>
    </xf>
    <xf numFmtId="0" fontId="0" fillId="0" borderId="0" xfId="0" applyAlignment="1" applyProtection="1">
      <alignment wrapText="1"/>
      <protection locked="0"/>
    </xf>
    <xf numFmtId="0" fontId="16" fillId="10" borderId="0" xfId="0" applyFont="1" applyFill="1" applyProtection="1">
      <protection locked="0"/>
    </xf>
    <xf numFmtId="0" fontId="7" fillId="11" borderId="0" xfId="0" applyFont="1" applyFill="1" applyProtection="1">
      <protection locked="0"/>
    </xf>
    <xf numFmtId="0" fontId="12" fillId="0" borderId="0" xfId="0" applyFont="1" applyProtection="1">
      <protection hidden="1"/>
    </xf>
    <xf numFmtId="0" fontId="12" fillId="0" borderId="1" xfId="0" applyFont="1" applyBorder="1" applyProtection="1">
      <protection hidden="1"/>
    </xf>
    <xf numFmtId="2" fontId="12" fillId="0" borderId="1" xfId="0" applyNumberFormat="1" applyFont="1" applyBorder="1" applyProtection="1">
      <protection hidden="1"/>
    </xf>
    <xf numFmtId="10" fontId="12" fillId="0" borderId="1" xfId="0" applyNumberFormat="1" applyFont="1" applyBorder="1" applyProtection="1">
      <protection hidden="1"/>
    </xf>
    <xf numFmtId="0" fontId="12" fillId="0" borderId="2" xfId="0" applyFont="1" applyBorder="1" applyProtection="1">
      <protection hidden="1"/>
    </xf>
    <xf numFmtId="0" fontId="12" fillId="0" borderId="0" xfId="0" applyFont="1" applyBorder="1" applyProtection="1">
      <protection hidden="1"/>
    </xf>
    <xf numFmtId="10" fontId="12" fillId="6" borderId="2" xfId="0" applyNumberFormat="1" applyFont="1" applyFill="1" applyBorder="1" applyProtection="1">
      <protection hidden="1"/>
    </xf>
    <xf numFmtId="1" fontId="12" fillId="0" borderId="1" xfId="0" applyNumberFormat="1" applyFont="1" applyBorder="1" applyAlignment="1" applyProtection="1">
      <alignment horizontal="right"/>
      <protection hidden="1"/>
    </xf>
    <xf numFmtId="2" fontId="12" fillId="0" borderId="2" xfId="0" applyNumberFormat="1" applyFont="1" applyBorder="1" applyProtection="1">
      <protection hidden="1"/>
    </xf>
    <xf numFmtId="0" fontId="17" fillId="12" borderId="8" xfId="5" applyAlignment="1" applyProtection="1">
      <alignment horizontal="center" vertical="center" wrapText="1"/>
      <protection locked="0"/>
    </xf>
    <xf numFmtId="10" fontId="17" fillId="12" borderId="8" xfId="5" applyNumberFormat="1" applyAlignment="1" applyProtection="1">
      <alignment horizontal="center" vertical="center" wrapText="1"/>
      <protection locked="0"/>
    </xf>
    <xf numFmtId="0" fontId="17" fillId="12" borderId="8" xfId="5" applyAlignment="1" applyProtection="1">
      <alignment horizontal="left" vertical="center" wrapText="1"/>
      <protection locked="0"/>
    </xf>
    <xf numFmtId="0" fontId="15" fillId="7" borderId="1" xfId="4" applyFont="1" applyBorder="1" applyProtection="1">
      <protection hidden="1"/>
    </xf>
    <xf numFmtId="14" fontId="15" fillId="7" borderId="1" xfId="4" applyNumberFormat="1" applyFont="1" applyBorder="1" applyAlignment="1" applyProtection="1">
      <alignment horizontal="right" vertical="center" wrapText="1"/>
      <protection hidden="1"/>
    </xf>
    <xf numFmtId="0" fontId="6" fillId="0" borderId="1" xfId="0" applyFont="1" applyBorder="1" applyProtection="1">
      <protection hidden="1"/>
    </xf>
    <xf numFmtId="2" fontId="6" fillId="0" borderId="1" xfId="0" applyNumberFormat="1" applyFont="1" applyBorder="1" applyProtection="1">
      <protection hidden="1"/>
    </xf>
    <xf numFmtId="0" fontId="6" fillId="0" borderId="1" xfId="0" applyFont="1" applyFill="1" applyBorder="1" applyProtection="1">
      <protection hidden="1"/>
    </xf>
    <xf numFmtId="10" fontId="6" fillId="0" borderId="1" xfId="0" applyNumberFormat="1" applyFont="1" applyBorder="1" applyProtection="1">
      <protection hidden="1"/>
    </xf>
    <xf numFmtId="0" fontId="6" fillId="6" borderId="1" xfId="0" applyFont="1" applyFill="1" applyBorder="1" applyProtection="1">
      <protection hidden="1"/>
    </xf>
    <xf numFmtId="3" fontId="6" fillId="0" borderId="1" xfId="0" applyNumberFormat="1" applyFont="1" applyBorder="1" applyProtection="1">
      <protection hidden="1"/>
    </xf>
    <xf numFmtId="0" fontId="6" fillId="0" borderId="0" xfId="0" applyFont="1" applyBorder="1" applyProtection="1">
      <protection hidden="1"/>
    </xf>
    <xf numFmtId="0" fontId="6" fillId="0" borderId="0" xfId="0" applyFont="1" applyProtection="1">
      <protection hidden="1"/>
    </xf>
    <xf numFmtId="0" fontId="7" fillId="7" borderId="1" xfId="4" applyFont="1" applyBorder="1" applyProtection="1">
      <protection hidden="1"/>
    </xf>
    <xf numFmtId="14" fontId="7" fillId="7" borderId="1" xfId="4" applyNumberFormat="1" applyFont="1" applyBorder="1" applyAlignment="1" applyProtection="1">
      <alignment horizontal="center" vertical="center" wrapText="1"/>
      <protection hidden="1"/>
    </xf>
    <xf numFmtId="0" fontId="7" fillId="0" borderId="0" xfId="0" applyFont="1" applyProtection="1">
      <protection hidden="1"/>
    </xf>
    <xf numFmtId="0" fontId="6" fillId="0" borderId="2" xfId="0" applyFont="1" applyBorder="1" applyProtection="1">
      <protection hidden="1"/>
    </xf>
    <xf numFmtId="1" fontId="7" fillId="0" borderId="0" xfId="0" applyNumberFormat="1" applyFont="1" applyProtection="1">
      <protection hidden="1"/>
    </xf>
    <xf numFmtId="0" fontId="6" fillId="0" borderId="1" xfId="0" applyNumberFormat="1" applyFont="1" applyFill="1" applyBorder="1" applyAlignment="1" applyProtection="1">
      <alignment horizontal="right"/>
      <protection hidden="1"/>
    </xf>
    <xf numFmtId="0" fontId="6" fillId="0" borderId="0" xfId="0" applyNumberFormat="1" applyFont="1" applyFill="1" applyBorder="1" applyAlignment="1" applyProtection="1">
      <alignment horizontal="right"/>
      <protection hidden="1"/>
    </xf>
    <xf numFmtId="0" fontId="6" fillId="0" borderId="1" xfId="0" applyNumberFormat="1" applyFont="1" applyBorder="1" applyAlignment="1" applyProtection="1">
      <alignment horizontal="right"/>
      <protection hidden="1"/>
    </xf>
    <xf numFmtId="0" fontId="6" fillId="0" borderId="0" xfId="0" applyNumberFormat="1" applyFont="1" applyBorder="1" applyAlignment="1" applyProtection="1">
      <alignment horizontal="right"/>
      <protection hidden="1"/>
    </xf>
    <xf numFmtId="0" fontId="5" fillId="6" borderId="1" xfId="0" applyFont="1" applyFill="1" applyBorder="1" applyAlignment="1" applyProtection="1">
      <alignment wrapText="1"/>
      <protection hidden="1"/>
    </xf>
    <xf numFmtId="0" fontId="5" fillId="6" borderId="1" xfId="0" applyNumberFormat="1" applyFont="1" applyFill="1" applyBorder="1" applyAlignment="1" applyProtection="1">
      <alignment horizontal="right"/>
      <protection hidden="1"/>
    </xf>
    <xf numFmtId="0" fontId="5" fillId="0" borderId="0" xfId="0" applyNumberFormat="1" applyFont="1" applyBorder="1" applyAlignment="1" applyProtection="1">
      <alignment horizontal="right"/>
      <protection hidden="1"/>
    </xf>
    <xf numFmtId="0" fontId="5" fillId="0" borderId="1" xfId="0" applyFont="1" applyBorder="1" applyAlignment="1" applyProtection="1">
      <alignment horizontal="center"/>
      <protection hidden="1"/>
    </xf>
    <xf numFmtId="0" fontId="16" fillId="0" borderId="0" xfId="0" applyFont="1" applyProtection="1">
      <protection hidden="1"/>
    </xf>
    <xf numFmtId="2" fontId="6" fillId="6" borderId="1" xfId="0" applyNumberFormat="1" applyFont="1" applyFill="1" applyBorder="1" applyProtection="1">
      <protection hidden="1"/>
    </xf>
    <xf numFmtId="0" fontId="2" fillId="7" borderId="0" xfId="4" applyProtection="1">
      <protection hidden="1"/>
    </xf>
    <xf numFmtId="0" fontId="0" fillId="0" borderId="0" xfId="0" applyAlignment="1">
      <alignment horizontal="left" vertical="center" indent="1"/>
    </xf>
    <xf numFmtId="0" fontId="0" fillId="13" borderId="1" xfId="0" applyFill="1" applyBorder="1" applyAlignment="1" applyProtection="1">
      <alignment horizontal="center"/>
      <protection hidden="1"/>
    </xf>
    <xf numFmtId="0" fontId="1" fillId="13" borderId="1" xfId="0" applyFont="1" applyFill="1" applyBorder="1" applyAlignment="1" applyProtection="1">
      <alignment horizontal="center" vertical="center" wrapText="1"/>
      <protection hidden="1"/>
    </xf>
    <xf numFmtId="0" fontId="0" fillId="14" borderId="1" xfId="0" applyFill="1" applyBorder="1" applyAlignment="1" applyProtection="1">
      <alignment horizontal="center"/>
      <protection hidden="1"/>
    </xf>
    <xf numFmtId="9" fontId="0" fillId="14" borderId="1" xfId="6" applyFont="1" applyFill="1" applyBorder="1" applyAlignment="1" applyProtection="1">
      <alignment horizontal="center"/>
      <protection hidden="1"/>
    </xf>
    <xf numFmtId="2" fontId="0" fillId="14" borderId="1" xfId="0" applyNumberFormat="1" applyFill="1" applyBorder="1" applyAlignment="1" applyProtection="1">
      <alignment horizontal="center"/>
      <protection hidden="1"/>
    </xf>
    <xf numFmtId="0" fontId="1" fillId="14" borderId="1" xfId="0" applyFont="1" applyFill="1" applyBorder="1" applyAlignment="1" applyProtection="1">
      <alignment horizontal="center"/>
      <protection hidden="1"/>
    </xf>
    <xf numFmtId="9" fontId="1" fillId="14" borderId="1" xfId="6" applyFont="1" applyFill="1" applyBorder="1" applyAlignment="1" applyProtection="1">
      <alignment horizontal="center"/>
      <protection hidden="1"/>
    </xf>
    <xf numFmtId="165" fontId="0" fillId="0" borderId="0" xfId="0" applyNumberFormat="1"/>
    <xf numFmtId="0" fontId="2" fillId="3" borderId="0" xfId="2" applyAlignment="1">
      <alignment wrapText="1"/>
    </xf>
    <xf numFmtId="0" fontId="24" fillId="12" borderId="8" xfId="5" applyFont="1" applyAlignment="1">
      <alignment wrapText="1"/>
    </xf>
    <xf numFmtId="0" fontId="23" fillId="0" borderId="1" xfId="0" applyFont="1" applyBorder="1" applyAlignment="1" applyProtection="1">
      <alignment wrapText="1"/>
      <protection hidden="1"/>
    </xf>
    <xf numFmtId="1" fontId="23" fillId="0" borderId="1" xfId="0" applyNumberFormat="1" applyFont="1" applyBorder="1" applyAlignment="1" applyProtection="1">
      <alignment wrapText="1"/>
      <protection hidden="1"/>
    </xf>
    <xf numFmtId="2" fontId="23" fillId="0" borderId="1" xfId="0" applyNumberFormat="1" applyFont="1" applyBorder="1" applyAlignment="1" applyProtection="1">
      <alignment wrapText="1"/>
      <protection hidden="1"/>
    </xf>
    <xf numFmtId="0" fontId="23" fillId="0" borderId="1" xfId="0" applyFont="1" applyBorder="1" applyProtection="1">
      <protection hidden="1"/>
    </xf>
    <xf numFmtId="0" fontId="23" fillId="0" borderId="6" xfId="0" applyFont="1" applyBorder="1" applyAlignment="1">
      <alignment wrapText="1"/>
    </xf>
    <xf numFmtId="0" fontId="23" fillId="0" borderId="7" xfId="0" applyFont="1" applyBorder="1" applyAlignment="1">
      <alignment wrapText="1"/>
    </xf>
    <xf numFmtId="0" fontId="24" fillId="15" borderId="8" xfId="5" applyFont="1" applyFill="1" applyAlignment="1" applyProtection="1">
      <alignment wrapText="1"/>
      <protection hidden="1"/>
    </xf>
    <xf numFmtId="0" fontId="17" fillId="15" borderId="8" xfId="5" applyFill="1" applyAlignment="1" applyProtection="1">
      <alignment wrapText="1"/>
      <protection hidden="1"/>
    </xf>
    <xf numFmtId="9" fontId="17" fillId="12" borderId="8" xfId="5" applyNumberFormat="1" applyAlignment="1" applyProtection="1">
      <alignment wrapText="1"/>
      <protection locked="0"/>
    </xf>
    <xf numFmtId="0" fontId="0" fillId="16" borderId="0" xfId="0" applyFill="1"/>
    <xf numFmtId="1" fontId="17" fillId="12" borderId="8" xfId="5" applyNumberFormat="1" applyAlignment="1" applyProtection="1">
      <alignment wrapText="1"/>
      <protection locked="0"/>
    </xf>
    <xf numFmtId="1" fontId="0" fillId="16" borderId="0" xfId="0" applyNumberFormat="1" applyFill="1" applyProtection="1">
      <protection hidden="1"/>
    </xf>
    <xf numFmtId="3" fontId="17" fillId="12" borderId="8" xfId="5" applyNumberFormat="1" applyAlignment="1" applyProtection="1">
      <alignment horizontal="center" vertical="center" wrapText="1"/>
      <protection locked="0"/>
    </xf>
    <xf numFmtId="0" fontId="26" fillId="0" borderId="0" xfId="0" applyFont="1"/>
    <xf numFmtId="0" fontId="0" fillId="0" borderId="0" xfId="0" applyBorder="1"/>
    <xf numFmtId="0" fontId="0" fillId="0" borderId="15" xfId="0" applyBorder="1"/>
    <xf numFmtId="0" fontId="0" fillId="0" borderId="16" xfId="0" applyBorder="1"/>
    <xf numFmtId="0" fontId="0" fillId="0" borderId="17" xfId="0" applyBorder="1"/>
    <xf numFmtId="1" fontId="24" fillId="15" borderId="8" xfId="5" applyNumberFormat="1" applyFont="1" applyFill="1" applyAlignment="1" applyProtection="1">
      <alignment wrapText="1"/>
      <protection hidden="1"/>
    </xf>
    <xf numFmtId="0" fontId="28" fillId="0" borderId="0" xfId="0" applyFont="1"/>
    <xf numFmtId="0" fontId="3" fillId="0" borderId="0" xfId="1" applyFont="1" applyFill="1" applyBorder="1" applyAlignment="1" applyProtection="1">
      <alignment horizontal="left" vertical="top"/>
      <protection locked="0"/>
    </xf>
    <xf numFmtId="0" fontId="15" fillId="3" borderId="2" xfId="2" applyFont="1" applyBorder="1" applyAlignment="1" applyProtection="1">
      <alignment horizontal="center"/>
      <protection hidden="1"/>
    </xf>
    <xf numFmtId="0" fontId="31" fillId="0" borderId="0" xfId="0" applyFont="1" applyAlignment="1">
      <alignment wrapText="1"/>
    </xf>
    <xf numFmtId="0" fontId="31" fillId="0" borderId="0" xfId="0" applyFont="1" applyAlignment="1">
      <alignment horizontal="center" wrapText="1"/>
    </xf>
    <xf numFmtId="0" fontId="33" fillId="15" borderId="1" xfId="0" applyFont="1" applyFill="1" applyBorder="1" applyAlignment="1">
      <alignment horizontal="center" vertical="center" wrapText="1"/>
    </xf>
    <xf numFmtId="0" fontId="34" fillId="15" borderId="1" xfId="0" applyFont="1" applyFill="1" applyBorder="1" applyAlignment="1">
      <alignment vertical="center" wrapText="1"/>
    </xf>
    <xf numFmtId="0" fontId="34" fillId="15" borderId="1" xfId="0" applyFont="1" applyFill="1" applyBorder="1" applyAlignment="1">
      <alignment horizontal="center" vertical="center" wrapText="1"/>
    </xf>
    <xf numFmtId="0" fontId="32" fillId="19" borderId="22" xfId="0" applyFont="1" applyFill="1" applyBorder="1" applyAlignment="1">
      <alignment horizontal="center" vertical="center" wrapText="1"/>
    </xf>
    <xf numFmtId="0" fontId="33" fillId="6" borderId="1" xfId="0" applyFont="1" applyFill="1" applyBorder="1" applyAlignment="1">
      <alignment horizontal="center" wrapText="1"/>
    </xf>
    <xf numFmtId="0" fontId="33" fillId="5" borderId="1" xfId="0" applyFont="1" applyFill="1" applyBorder="1" applyAlignment="1">
      <alignment horizontal="center" wrapText="1"/>
    </xf>
    <xf numFmtId="0" fontId="32" fillId="20" borderId="1" xfId="0" applyFont="1" applyFill="1" applyBorder="1" applyAlignment="1">
      <alignment horizontal="left" vertical="center" wrapText="1"/>
    </xf>
    <xf numFmtId="0" fontId="33" fillId="5" borderId="1" xfId="0" applyFont="1" applyFill="1" applyBorder="1" applyAlignment="1">
      <alignment horizontal="center" vertical="center" wrapText="1"/>
    </xf>
    <xf numFmtId="0" fontId="33" fillId="5" borderId="1" xfId="0" applyFont="1" applyFill="1" applyBorder="1" applyAlignment="1">
      <alignment vertical="center" wrapText="1"/>
    </xf>
    <xf numFmtId="9" fontId="33" fillId="5" borderId="1" xfId="6" applyFont="1" applyFill="1" applyBorder="1" applyAlignment="1">
      <alignment horizontal="center" vertical="center" wrapText="1"/>
    </xf>
    <xf numFmtId="0" fontId="33" fillId="5" borderId="1" xfId="0" applyFont="1" applyFill="1" applyBorder="1" applyAlignment="1">
      <alignment horizontal="left" vertical="center" wrapText="1"/>
    </xf>
    <xf numFmtId="9" fontId="33" fillId="5" borderId="1" xfId="0" applyNumberFormat="1" applyFont="1" applyFill="1" applyBorder="1" applyAlignment="1">
      <alignment horizontal="center" vertical="center" wrapText="1"/>
    </xf>
    <xf numFmtId="167" fontId="33" fillId="5" borderId="1" xfId="6" applyNumberFormat="1" applyFont="1" applyFill="1" applyBorder="1" applyAlignment="1">
      <alignment horizontal="center" vertical="center" wrapText="1"/>
    </xf>
    <xf numFmtId="2" fontId="33" fillId="5" borderId="1" xfId="0" applyNumberFormat="1" applyFont="1" applyFill="1" applyBorder="1" applyAlignment="1">
      <alignment horizontal="center" vertical="center" wrapText="1"/>
    </xf>
    <xf numFmtId="1" fontId="33" fillId="5" borderId="1" xfId="0" applyNumberFormat="1" applyFont="1" applyFill="1" applyBorder="1" applyAlignment="1">
      <alignment horizontal="center" vertical="center" wrapText="1"/>
    </xf>
    <xf numFmtId="9" fontId="33" fillId="6" borderId="1" xfId="0" applyNumberFormat="1" applyFont="1" applyFill="1" applyBorder="1" applyAlignment="1">
      <alignment horizontal="center" vertical="center" wrapText="1"/>
    </xf>
    <xf numFmtId="0" fontId="33" fillId="6" borderId="1" xfId="0" applyFont="1" applyFill="1" applyBorder="1" applyAlignment="1">
      <alignment horizontal="center" vertical="center" wrapText="1"/>
    </xf>
    <xf numFmtId="167"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top" wrapText="1"/>
    </xf>
    <xf numFmtId="0" fontId="35" fillId="6" borderId="23" xfId="9" applyFont="1" applyFill="1" applyBorder="1" applyAlignment="1">
      <alignment horizontal="center" vertical="center" wrapText="1"/>
    </xf>
    <xf numFmtId="0" fontId="35" fillId="21" borderId="23" xfId="9" applyFont="1" applyFill="1" applyBorder="1" applyAlignment="1">
      <alignment horizontal="center" vertical="center" wrapText="1"/>
    </xf>
    <xf numFmtId="0" fontId="36" fillId="0" borderId="0" xfId="9" applyFont="1" applyFill="1" applyBorder="1" applyAlignment="1">
      <alignment horizontal="center" vertical="center" wrapText="1"/>
    </xf>
    <xf numFmtId="167" fontId="36" fillId="0" borderId="23" xfId="9" applyNumberFormat="1" applyFont="1" applyFill="1" applyBorder="1" applyAlignment="1">
      <alignment horizontal="center" vertical="center" wrapText="1"/>
    </xf>
    <xf numFmtId="9" fontId="36" fillId="0" borderId="23" xfId="6" applyFont="1" applyFill="1" applyBorder="1" applyAlignment="1">
      <alignment horizontal="center" vertical="center" wrapText="1"/>
    </xf>
    <xf numFmtId="9" fontId="36" fillId="0" borderId="23" xfId="9" applyNumberFormat="1" applyFont="1" applyFill="1" applyBorder="1" applyAlignment="1">
      <alignment horizontal="center" vertical="center" wrapText="1"/>
    </xf>
    <xf numFmtId="10" fontId="36" fillId="0" borderId="23" xfId="9" applyNumberFormat="1" applyFont="1" applyFill="1" applyBorder="1" applyAlignment="1">
      <alignment horizontal="center" vertical="center" wrapText="1"/>
    </xf>
    <xf numFmtId="168" fontId="36" fillId="0" borderId="23" xfId="9" applyNumberFormat="1" applyFont="1" applyFill="1" applyBorder="1" applyAlignment="1">
      <alignment horizontal="center" vertical="center" wrapText="1"/>
    </xf>
    <xf numFmtId="168" fontId="35" fillId="0" borderId="23" xfId="9" applyNumberFormat="1" applyFont="1" applyFill="1" applyBorder="1" applyAlignment="1">
      <alignment horizontal="center" vertical="center" wrapText="1"/>
    </xf>
    <xf numFmtId="168" fontId="36" fillId="0" borderId="23" xfId="6" applyNumberFormat="1" applyFont="1" applyFill="1" applyBorder="1" applyAlignment="1">
      <alignment horizontal="center" vertical="center" wrapText="1"/>
    </xf>
    <xf numFmtId="9" fontId="35" fillId="0" borderId="23" xfId="6" applyFont="1" applyFill="1" applyBorder="1" applyAlignment="1">
      <alignment horizontal="center" vertical="center" wrapText="1"/>
    </xf>
    <xf numFmtId="0" fontId="35" fillId="0" borderId="0" xfId="9" applyFont="1" applyFill="1" applyBorder="1" applyAlignment="1">
      <alignment horizontal="center" vertical="center" wrapText="1"/>
    </xf>
    <xf numFmtId="167" fontId="36" fillId="0" borderId="0" xfId="9" applyNumberFormat="1" applyFont="1" applyFill="1" applyBorder="1" applyAlignment="1">
      <alignment horizontal="center" vertical="center" wrapText="1"/>
    </xf>
    <xf numFmtId="9" fontId="36" fillId="0" borderId="0" xfId="6" applyFont="1" applyFill="1" applyBorder="1" applyAlignment="1">
      <alignment horizontal="center" vertical="center" wrapText="1"/>
    </xf>
    <xf numFmtId="168" fontId="36" fillId="0" borderId="0" xfId="6" applyNumberFormat="1" applyFont="1" applyFill="1" applyBorder="1" applyAlignment="1">
      <alignment horizontal="center" vertical="center" wrapText="1"/>
    </xf>
    <xf numFmtId="0" fontId="36" fillId="0" borderId="0" xfId="9" applyFont="1" applyFill="1" applyBorder="1" applyAlignment="1">
      <alignment horizontal="center" vertical="center" wrapText="1"/>
    </xf>
    <xf numFmtId="9" fontId="31" fillId="0" borderId="23" xfId="6" applyFont="1" applyFill="1" applyBorder="1" applyAlignment="1">
      <alignment horizontal="center" vertical="center" wrapText="1"/>
    </xf>
    <xf numFmtId="168" fontId="36" fillId="0" borderId="0" xfId="9" applyNumberFormat="1" applyFont="1" applyFill="1" applyBorder="1" applyAlignment="1">
      <alignment horizontal="center" vertical="center" wrapText="1"/>
    </xf>
    <xf numFmtId="10" fontId="36" fillId="0" borderId="0" xfId="9" applyNumberFormat="1" applyFont="1" applyFill="1" applyBorder="1" applyAlignment="1">
      <alignment horizontal="center" vertical="center" wrapText="1"/>
    </xf>
    <xf numFmtId="9" fontId="36" fillId="0" borderId="0" xfId="9" applyNumberFormat="1" applyFont="1" applyFill="1" applyBorder="1" applyAlignment="1">
      <alignment horizontal="center" vertical="center" wrapText="1"/>
    </xf>
    <xf numFmtId="2" fontId="36" fillId="0" borderId="0" xfId="9" applyNumberFormat="1" applyFont="1" applyFill="1" applyBorder="1" applyAlignment="1">
      <alignment horizontal="center" vertical="center" wrapText="1"/>
    </xf>
    <xf numFmtId="168" fontId="37" fillId="0" borderId="23" xfId="6" applyNumberFormat="1" applyFont="1" applyFill="1" applyBorder="1" applyAlignment="1">
      <alignment horizontal="center" vertical="center"/>
    </xf>
    <xf numFmtId="168" fontId="31" fillId="0" borderId="23" xfId="6" applyNumberFormat="1" applyFont="1" applyFill="1" applyBorder="1" applyAlignment="1">
      <alignment horizontal="center" vertical="center" wrapText="1"/>
    </xf>
    <xf numFmtId="0" fontId="39" fillId="0" borderId="0" xfId="0" applyFont="1" applyBorder="1"/>
    <xf numFmtId="0" fontId="40" fillId="0" borderId="0" xfId="0" applyFont="1" applyBorder="1"/>
    <xf numFmtId="0" fontId="42" fillId="23" borderId="0" xfId="0" applyFont="1" applyFill="1"/>
    <xf numFmtId="0" fontId="42" fillId="0" borderId="0" xfId="0" applyFont="1"/>
    <xf numFmtId="0" fontId="41" fillId="24" borderId="24" xfId="0" applyFont="1" applyFill="1" applyBorder="1" applyAlignment="1">
      <alignment horizontal="center"/>
    </xf>
    <xf numFmtId="0" fontId="43" fillId="0" borderId="24" xfId="0" applyFont="1" applyBorder="1"/>
    <xf numFmtId="0" fontId="42" fillId="0" borderId="24" xfId="0" applyFont="1" applyBorder="1"/>
    <xf numFmtId="0" fontId="42" fillId="0" borderId="24" xfId="0" applyFont="1" applyFill="1" applyBorder="1" applyAlignment="1">
      <alignment horizontal="left" wrapText="1"/>
    </xf>
    <xf numFmtId="4" fontId="44" fillId="0" borderId="1" xfId="0" applyNumberFormat="1" applyFont="1" applyFill="1" applyBorder="1" applyAlignment="1">
      <alignment horizontal="right" vertical="center" wrapText="1"/>
    </xf>
    <xf numFmtId="0" fontId="45" fillId="26" borderId="25" xfId="0" applyFont="1" applyFill="1" applyBorder="1" applyAlignment="1">
      <alignment horizontal="right" vertical="center" wrapText="1"/>
    </xf>
    <xf numFmtId="0" fontId="41" fillId="27" borderId="25" xfId="0" applyFont="1" applyFill="1" applyBorder="1"/>
    <xf numFmtId="0" fontId="42" fillId="0" borderId="25" xfId="0" applyFont="1" applyFill="1" applyBorder="1"/>
    <xf numFmtId="2" fontId="42" fillId="0" borderId="25" xfId="0" applyNumberFormat="1" applyFont="1" applyFill="1" applyBorder="1"/>
    <xf numFmtId="2" fontId="42" fillId="0" borderId="25" xfId="0" applyNumberFormat="1" applyFont="1" applyFill="1" applyBorder="1" applyAlignment="1">
      <alignment horizontal="right"/>
    </xf>
    <xf numFmtId="10" fontId="42" fillId="0" borderId="0" xfId="0" applyNumberFormat="1" applyFont="1" applyFill="1"/>
    <xf numFmtId="0" fontId="42" fillId="13" borderId="25" xfId="0" applyFont="1" applyFill="1" applyBorder="1"/>
    <xf numFmtId="0" fontId="41" fillId="24" borderId="26" xfId="0" applyFont="1" applyFill="1" applyBorder="1" applyAlignment="1">
      <alignment horizontal="center"/>
    </xf>
    <xf numFmtId="0" fontId="42" fillId="0" borderId="1" xfId="0" applyFont="1" applyBorder="1"/>
    <xf numFmtId="0" fontId="42" fillId="23" borderId="27" xfId="0" applyFont="1" applyFill="1" applyBorder="1"/>
    <xf numFmtId="0" fontId="42" fillId="0" borderId="1" xfId="0" applyFont="1" applyFill="1" applyBorder="1"/>
    <xf numFmtId="2" fontId="42" fillId="0" borderId="1" xfId="0" applyNumberFormat="1" applyFont="1" applyBorder="1"/>
    <xf numFmtId="0" fontId="42" fillId="13" borderId="1" xfId="0" applyFont="1" applyFill="1" applyBorder="1"/>
    <xf numFmtId="0" fontId="42" fillId="6" borderId="1" xfId="0" applyFont="1" applyFill="1" applyBorder="1"/>
    <xf numFmtId="0" fontId="40" fillId="0" borderId="1" xfId="0" applyFont="1" applyBorder="1"/>
    <xf numFmtId="167" fontId="42" fillId="0" borderId="1" xfId="0" applyNumberFormat="1" applyFont="1" applyBorder="1"/>
    <xf numFmtId="9" fontId="46" fillId="0" borderId="1" xfId="6" applyFont="1" applyBorder="1"/>
    <xf numFmtId="0" fontId="42" fillId="0" borderId="25" xfId="0" applyFont="1" applyFill="1" applyBorder="1" applyAlignment="1">
      <alignment horizontal="left"/>
    </xf>
    <xf numFmtId="0" fontId="42" fillId="0" borderId="25" xfId="0" applyFont="1" applyBorder="1"/>
    <xf numFmtId="0" fontId="42" fillId="0" borderId="1" xfId="0" applyFont="1" applyFill="1" applyBorder="1" applyAlignment="1"/>
    <xf numFmtId="2" fontId="42" fillId="0" borderId="1" xfId="0" applyNumberFormat="1" applyFont="1" applyFill="1" applyBorder="1" applyAlignment="1">
      <alignment horizontal="center" vertical="center"/>
    </xf>
    <xf numFmtId="2" fontId="42" fillId="0" borderId="1" xfId="0" applyNumberFormat="1" applyFont="1" applyBorder="1" applyAlignment="1">
      <alignment horizontal="center" vertical="center"/>
    </xf>
    <xf numFmtId="10" fontId="42" fillId="0" borderId="1" xfId="0" applyNumberFormat="1" applyFont="1" applyBorder="1"/>
    <xf numFmtId="0" fontId="42" fillId="0" borderId="0" xfId="0" applyFont="1" applyBorder="1"/>
    <xf numFmtId="10" fontId="42" fillId="0" borderId="0" xfId="0" applyNumberFormat="1" applyFont="1" applyBorder="1"/>
    <xf numFmtId="169" fontId="42" fillId="0" borderId="0" xfId="0" applyNumberFormat="1" applyFont="1" applyBorder="1"/>
    <xf numFmtId="170" fontId="1" fillId="0" borderId="0" xfId="10" applyFont="1" applyBorder="1"/>
    <xf numFmtId="170" fontId="0" fillId="0" borderId="0" xfId="10" applyFont="1" applyBorder="1"/>
    <xf numFmtId="171" fontId="25" fillId="28" borderId="0" xfId="10" applyNumberFormat="1" applyFont="1" applyFill="1" applyBorder="1"/>
    <xf numFmtId="171" fontId="25" fillId="28" borderId="0" xfId="0" applyNumberFormat="1" applyFont="1" applyFill="1" applyBorder="1" applyAlignment="1">
      <alignment horizontal="center"/>
    </xf>
    <xf numFmtId="171" fontId="3" fillId="0" borderId="0" xfId="10" applyNumberFormat="1" applyFont="1" applyFill="1" applyBorder="1"/>
    <xf numFmtId="170" fontId="20" fillId="0" borderId="0" xfId="10" applyFont="1" applyBorder="1"/>
    <xf numFmtId="43" fontId="0" fillId="0" borderId="0" xfId="10" applyNumberFormat="1" applyFont="1" applyBorder="1"/>
    <xf numFmtId="9" fontId="6" fillId="0" borderId="1" xfId="6" applyFont="1" applyBorder="1" applyProtection="1">
      <protection hidden="1"/>
    </xf>
    <xf numFmtId="168" fontId="6" fillId="0" borderId="1" xfId="6" applyNumberFormat="1" applyFont="1" applyBorder="1" applyProtection="1">
      <protection hidden="1"/>
    </xf>
    <xf numFmtId="1" fontId="42" fillId="0" borderId="1" xfId="0" applyNumberFormat="1" applyFont="1" applyFill="1" applyBorder="1" applyAlignment="1">
      <alignment horizontal="center" vertical="center"/>
    </xf>
    <xf numFmtId="167" fontId="12" fillId="0" borderId="1" xfId="0" applyNumberFormat="1" applyFont="1" applyBorder="1" applyProtection="1">
      <protection hidden="1"/>
    </xf>
    <xf numFmtId="3" fontId="6" fillId="0" borderId="0" xfId="0" applyNumberFormat="1" applyFont="1" applyBorder="1" applyProtection="1">
      <protection hidden="1"/>
    </xf>
    <xf numFmtId="1" fontId="17" fillId="12" borderId="8" xfId="5" applyNumberFormat="1" applyAlignment="1" applyProtection="1">
      <alignment horizontal="center" vertical="center" wrapText="1"/>
      <protection locked="0"/>
    </xf>
    <xf numFmtId="9" fontId="12" fillId="0" borderId="1" xfId="0" applyNumberFormat="1" applyFont="1" applyBorder="1" applyProtection="1">
      <protection hidden="1"/>
    </xf>
    <xf numFmtId="1" fontId="12" fillId="0" borderId="2" xfId="0" applyNumberFormat="1" applyFont="1" applyBorder="1" applyProtection="1">
      <protection hidden="1"/>
    </xf>
    <xf numFmtId="0" fontId="49" fillId="0" borderId="0" xfId="0" applyFont="1" applyAlignment="1" applyProtection="1">
      <alignment horizontal="left"/>
      <protection hidden="1"/>
    </xf>
    <xf numFmtId="1" fontId="12" fillId="0" borderId="0" xfId="0" applyNumberFormat="1" applyFont="1" applyBorder="1" applyProtection="1">
      <protection hidden="1"/>
    </xf>
    <xf numFmtId="9" fontId="33" fillId="5" borderId="1" xfId="6" applyNumberFormat="1" applyFont="1" applyFill="1" applyBorder="1" applyAlignment="1">
      <alignment horizontal="center" vertical="center" wrapText="1"/>
    </xf>
    <xf numFmtId="9" fontId="12" fillId="0" borderId="0" xfId="0" applyNumberFormat="1" applyFont="1" applyProtection="1">
      <protection hidden="1"/>
    </xf>
    <xf numFmtId="0" fontId="12" fillId="0" borderId="3" xfId="0" applyFont="1" applyBorder="1" applyProtection="1">
      <protection hidden="1"/>
    </xf>
    <xf numFmtId="0" fontId="50" fillId="0" borderId="0" xfId="0" applyFont="1" applyAlignment="1">
      <alignment horizontal="left" vertical="center"/>
    </xf>
    <xf numFmtId="0" fontId="0" fillId="0" borderId="0" xfId="0" applyAlignment="1">
      <alignment horizontal="left" vertical="center"/>
    </xf>
    <xf numFmtId="171" fontId="41" fillId="24" borderId="26" xfId="0" applyNumberFormat="1" applyFont="1" applyFill="1" applyBorder="1" applyAlignment="1">
      <alignment horizontal="center"/>
    </xf>
    <xf numFmtId="0" fontId="50" fillId="0" borderId="23" xfId="0" applyFont="1" applyBorder="1" applyAlignment="1">
      <alignment horizontal="left" vertical="center"/>
    </xf>
    <xf numFmtId="9" fontId="50" fillId="0" borderId="23" xfId="0" applyNumberFormat="1" applyFont="1" applyBorder="1" applyAlignment="1">
      <alignment horizontal="left" vertical="center"/>
    </xf>
    <xf numFmtId="0" fontId="0" fillId="0" borderId="23" xfId="0" applyBorder="1" applyAlignment="1">
      <alignment horizontal="left" vertical="center"/>
    </xf>
    <xf numFmtId="0" fontId="50" fillId="6" borderId="23" xfId="0" applyFont="1" applyFill="1" applyBorder="1" applyAlignment="1">
      <alignment horizontal="left" vertical="center"/>
    </xf>
    <xf numFmtId="9" fontId="50" fillId="0" borderId="23" xfId="6" applyFont="1" applyBorder="1" applyAlignment="1">
      <alignment horizontal="left" vertical="center"/>
    </xf>
    <xf numFmtId="0" fontId="51" fillId="0" borderId="23" xfId="0" applyFont="1" applyBorder="1" applyAlignment="1">
      <alignment horizontal="left" vertical="center" wrapText="1"/>
    </xf>
    <xf numFmtId="10" fontId="12" fillId="0" borderId="2" xfId="0" applyNumberFormat="1" applyFont="1" applyFill="1" applyBorder="1" applyProtection="1">
      <protection hidden="1"/>
    </xf>
    <xf numFmtId="0" fontId="42" fillId="25" borderId="26" xfId="0" applyFont="1" applyFill="1" applyBorder="1" applyAlignment="1"/>
    <xf numFmtId="1" fontId="12" fillId="0" borderId="0" xfId="0" applyNumberFormat="1" applyFont="1" applyProtection="1">
      <protection hidden="1"/>
    </xf>
    <xf numFmtId="9" fontId="36" fillId="0" borderId="23" xfId="6" applyNumberFormat="1" applyFont="1" applyFill="1" applyBorder="1" applyAlignment="1">
      <alignment horizontal="center" vertical="center" wrapText="1"/>
    </xf>
    <xf numFmtId="167" fontId="42" fillId="23" borderId="27" xfId="0" applyNumberFormat="1" applyFont="1" applyFill="1" applyBorder="1"/>
    <xf numFmtId="166" fontId="42" fillId="23" borderId="27" xfId="7" applyNumberFormat="1" applyFont="1" applyFill="1" applyBorder="1"/>
    <xf numFmtId="168" fontId="33" fillId="5" borderId="1" xfId="6" applyNumberFormat="1" applyFont="1" applyFill="1" applyBorder="1" applyAlignment="1">
      <alignment horizontal="center" vertical="center" wrapText="1"/>
    </xf>
    <xf numFmtId="10" fontId="12" fillId="0" borderId="2" xfId="0" applyNumberFormat="1" applyFont="1" applyBorder="1" applyProtection="1">
      <protection hidden="1"/>
    </xf>
    <xf numFmtId="168" fontId="12" fillId="0" borderId="2" xfId="0" applyNumberFormat="1" applyFont="1" applyBorder="1" applyProtection="1">
      <protection hidden="1"/>
    </xf>
    <xf numFmtId="0" fontId="15" fillId="3" borderId="4" xfId="2" applyFont="1" applyBorder="1" applyAlignment="1" applyProtection="1">
      <alignment horizontal="center"/>
      <protection hidden="1"/>
    </xf>
    <xf numFmtId="9" fontId="12" fillId="0" borderId="32" xfId="6" applyFont="1" applyBorder="1" applyProtection="1">
      <protection hidden="1"/>
    </xf>
    <xf numFmtId="0" fontId="15" fillId="7" borderId="3" xfId="4" applyFont="1" applyBorder="1" applyProtection="1">
      <protection hidden="1"/>
    </xf>
    <xf numFmtId="0" fontId="12" fillId="0" borderId="3" xfId="0" applyFont="1" applyFill="1" applyBorder="1" applyProtection="1">
      <protection hidden="1"/>
    </xf>
    <xf numFmtId="0" fontId="14" fillId="0" borderId="3" xfId="0" applyFont="1" applyBorder="1" applyProtection="1">
      <protection hidden="1"/>
    </xf>
    <xf numFmtId="0" fontId="12" fillId="6" borderId="3" xfId="0" applyFont="1" applyFill="1" applyBorder="1" applyProtection="1">
      <protection hidden="1"/>
    </xf>
    <xf numFmtId="0" fontId="0" fillId="0" borderId="0" xfId="0" applyFill="1" applyBorder="1"/>
    <xf numFmtId="0" fontId="15" fillId="0" borderId="0" xfId="4" applyFont="1" applyFill="1" applyBorder="1" applyAlignment="1" applyProtection="1">
      <alignment horizontal="center"/>
      <protection hidden="1"/>
    </xf>
    <xf numFmtId="0" fontId="12" fillId="0" borderId="0" xfId="0" applyFont="1" applyFill="1" applyBorder="1" applyProtection="1">
      <protection hidden="1"/>
    </xf>
    <xf numFmtId="2" fontId="12" fillId="0" borderId="0" xfId="0" applyNumberFormat="1" applyFont="1" applyFill="1" applyBorder="1" applyProtection="1">
      <protection hidden="1"/>
    </xf>
    <xf numFmtId="9" fontId="12" fillId="0" borderId="0" xfId="0" applyNumberFormat="1" applyFont="1" applyFill="1" applyBorder="1" applyProtection="1">
      <protection hidden="1"/>
    </xf>
    <xf numFmtId="10" fontId="12" fillId="0" borderId="0" xfId="0" applyNumberFormat="1" applyFont="1" applyFill="1" applyBorder="1" applyProtection="1">
      <protection hidden="1"/>
    </xf>
    <xf numFmtId="0" fontId="13" fillId="0" borderId="0" xfId="4" applyFont="1" applyFill="1" applyBorder="1" applyAlignment="1" applyProtection="1">
      <alignment horizontal="center"/>
      <protection hidden="1"/>
    </xf>
    <xf numFmtId="168" fontId="12" fillId="0" borderId="0" xfId="0" applyNumberFormat="1" applyFont="1" applyFill="1" applyBorder="1" applyProtection="1">
      <protection hidden="1"/>
    </xf>
    <xf numFmtId="0" fontId="15" fillId="0" borderId="0" xfId="2" applyFont="1" applyFill="1" applyBorder="1" applyAlignment="1" applyProtection="1">
      <alignment horizontal="center"/>
      <protection hidden="1"/>
    </xf>
    <xf numFmtId="9" fontId="12" fillId="0" borderId="0" xfId="6" applyFont="1" applyFill="1" applyBorder="1" applyProtection="1">
      <protection hidden="1"/>
    </xf>
    <xf numFmtId="1" fontId="12" fillId="0" borderId="0" xfId="0" applyNumberFormat="1" applyFont="1" applyFill="1" applyBorder="1" applyProtection="1">
      <protection hidden="1"/>
    </xf>
    <xf numFmtId="0" fontId="42" fillId="25" borderId="26" xfId="0" applyFont="1" applyFill="1" applyBorder="1" applyAlignment="1"/>
    <xf numFmtId="9" fontId="12" fillId="0" borderId="0" xfId="6" applyFont="1" applyBorder="1" applyProtection="1">
      <protection hidden="1"/>
    </xf>
    <xf numFmtId="9" fontId="1" fillId="0" borderId="33" xfId="6" applyFont="1" applyBorder="1" applyAlignment="1" applyProtection="1">
      <protection locked="0"/>
    </xf>
    <xf numFmtId="0" fontId="50" fillId="0" borderId="23" xfId="0" applyFont="1" applyBorder="1" applyAlignment="1">
      <alignment horizontal="left" vertical="center" wrapText="1"/>
    </xf>
    <xf numFmtId="0" fontId="3" fillId="0" borderId="0" xfId="1" applyFont="1" applyFill="1" applyBorder="1" applyAlignment="1" applyProtection="1">
      <alignment horizontal="left" vertical="top"/>
      <protection locked="0"/>
    </xf>
    <xf numFmtId="0" fontId="1" fillId="13" borderId="0" xfId="0" applyFont="1" applyFill="1" applyBorder="1" applyAlignment="1" applyProtection="1">
      <alignment horizontal="center" vertical="center" wrapText="1"/>
      <protection hidden="1"/>
    </xf>
    <xf numFmtId="0" fontId="0" fillId="14" borderId="1" xfId="0" applyFill="1" applyBorder="1" applyAlignment="1" applyProtection="1">
      <alignment horizontal="left"/>
      <protection hidden="1"/>
    </xf>
    <xf numFmtId="168" fontId="0" fillId="14" borderId="1" xfId="6" applyNumberFormat="1" applyFont="1" applyFill="1" applyBorder="1" applyAlignment="1" applyProtection="1">
      <alignment horizontal="center"/>
      <protection hidden="1"/>
    </xf>
    <xf numFmtId="0" fontId="50" fillId="0" borderId="0" xfId="0" applyFont="1"/>
    <xf numFmtId="0" fontId="1" fillId="0" borderId="0" xfId="0" applyFont="1"/>
    <xf numFmtId="1" fontId="42" fillId="0" borderId="1" xfId="0" applyNumberFormat="1" applyFont="1" applyBorder="1"/>
    <xf numFmtId="9" fontId="42" fillId="0" borderId="0" xfId="6" applyFont="1"/>
    <xf numFmtId="1" fontId="42" fillId="0" borderId="1" xfId="0" applyNumberFormat="1" applyFont="1" applyFill="1" applyBorder="1"/>
    <xf numFmtId="1" fontId="42" fillId="0" borderId="0" xfId="0" applyNumberFormat="1" applyFont="1"/>
    <xf numFmtId="1" fontId="40" fillId="0" borderId="1" xfId="0" applyNumberFormat="1" applyFont="1" applyBorder="1"/>
    <xf numFmtId="0" fontId="0" fillId="6" borderId="0" xfId="0" applyFill="1"/>
    <xf numFmtId="1" fontId="0" fillId="0" borderId="0" xfId="0" applyNumberFormat="1"/>
    <xf numFmtId="0" fontId="42" fillId="6" borderId="0" xfId="0" applyFont="1" applyFill="1"/>
    <xf numFmtId="9" fontId="0" fillId="0" borderId="0" xfId="6" applyFont="1"/>
    <xf numFmtId="9" fontId="0" fillId="0" borderId="0" xfId="0" applyNumberFormat="1"/>
    <xf numFmtId="1" fontId="6" fillId="0" borderId="0" xfId="0" applyNumberFormat="1" applyFont="1" applyProtection="1">
      <protection hidden="1"/>
    </xf>
    <xf numFmtId="167" fontId="12" fillId="0" borderId="0" xfId="0" applyNumberFormat="1" applyFont="1" applyProtection="1">
      <protection hidden="1"/>
    </xf>
    <xf numFmtId="9" fontId="12" fillId="0" borderId="0" xfId="6" applyFont="1" applyProtection="1">
      <protection hidden="1"/>
    </xf>
    <xf numFmtId="168" fontId="12" fillId="0" borderId="0" xfId="6" applyNumberFormat="1" applyFont="1" applyProtection="1">
      <protection hidden="1"/>
    </xf>
    <xf numFmtId="10" fontId="12" fillId="0" borderId="0" xfId="6" applyNumberFormat="1" applyFont="1" applyProtection="1">
      <protection hidden="1"/>
    </xf>
    <xf numFmtId="0" fontId="1" fillId="0" borderId="0" xfId="0" applyFont="1" applyProtection="1">
      <protection locked="0"/>
    </xf>
    <xf numFmtId="171" fontId="0" fillId="0" borderId="0" xfId="0" applyNumberFormat="1"/>
    <xf numFmtId="171" fontId="42" fillId="0" borderId="0" xfId="0" applyNumberFormat="1" applyFont="1"/>
    <xf numFmtId="0" fontId="4" fillId="0" borderId="0" xfId="3" applyAlignment="1">
      <alignment horizontal="left" vertical="center"/>
    </xf>
    <xf numFmtId="0" fontId="42" fillId="0" borderId="0" xfId="0" applyFont="1" applyFill="1"/>
    <xf numFmtId="9" fontId="42" fillId="0" borderId="0" xfId="6" applyFont="1" applyFill="1"/>
    <xf numFmtId="0" fontId="0" fillId="0" borderId="0" xfId="0" applyFill="1"/>
    <xf numFmtId="170" fontId="0" fillId="0" borderId="0" xfId="10" applyFont="1" applyFill="1" applyBorder="1"/>
    <xf numFmtId="171" fontId="42" fillId="0" borderId="0" xfId="6" applyNumberFormat="1" applyFont="1"/>
    <xf numFmtId="0" fontId="3" fillId="0" borderId="0" xfId="1" applyFont="1" applyFill="1" applyBorder="1" applyAlignment="1" applyProtection="1">
      <alignment horizontal="left" vertical="top"/>
      <protection locked="0"/>
    </xf>
    <xf numFmtId="0" fontId="3" fillId="0" borderId="0" xfId="1" applyFont="1" applyFill="1" applyBorder="1" applyAlignment="1" applyProtection="1">
      <alignment horizontal="left" vertical="top"/>
      <protection locked="0"/>
    </xf>
    <xf numFmtId="1" fontId="42" fillId="0" borderId="0" xfId="6" applyNumberFormat="1" applyFont="1"/>
    <xf numFmtId="169" fontId="42" fillId="0" borderId="0" xfId="7" applyNumberFormat="1" applyFont="1"/>
    <xf numFmtId="166" fontId="42" fillId="0" borderId="0" xfId="7" applyNumberFormat="1" applyFont="1"/>
    <xf numFmtId="0" fontId="55" fillId="29" borderId="0" xfId="0" applyFont="1" applyFill="1" applyBorder="1" applyAlignment="1" applyProtection="1">
      <protection locked="0"/>
    </xf>
    <xf numFmtId="9" fontId="42" fillId="0" borderId="0" xfId="6" applyNumberFormat="1" applyFont="1"/>
    <xf numFmtId="0" fontId="35" fillId="6" borderId="23" xfId="9" applyFont="1" applyFill="1" applyBorder="1" applyAlignment="1">
      <alignment horizontal="left" vertical="center" wrapText="1"/>
    </xf>
    <xf numFmtId="0" fontId="0" fillId="0" borderId="0" xfId="0" applyAlignment="1">
      <alignment horizontal="left"/>
    </xf>
    <xf numFmtId="0" fontId="58" fillId="0" borderId="1" xfId="0" applyFont="1" applyBorder="1"/>
    <xf numFmtId="1" fontId="58" fillId="0" borderId="1" xfId="0" applyNumberFormat="1" applyFont="1" applyBorder="1"/>
    <xf numFmtId="0" fontId="59" fillId="0" borderId="0" xfId="0" applyFont="1" applyAlignment="1">
      <alignment wrapText="1"/>
    </xf>
    <xf numFmtId="2" fontId="42" fillId="0" borderId="0" xfId="6" applyNumberFormat="1" applyFont="1"/>
    <xf numFmtId="0" fontId="59" fillId="0" borderId="0" xfId="0" applyFont="1"/>
    <xf numFmtId="168" fontId="42" fillId="0" borderId="0" xfId="6" applyNumberFormat="1" applyFont="1"/>
    <xf numFmtId="0" fontId="55" fillId="0" borderId="0" xfId="0" applyFont="1" applyFill="1" applyBorder="1" applyAlignment="1" applyProtection="1">
      <alignment horizontal="center"/>
      <protection locked="0"/>
    </xf>
    <xf numFmtId="0" fontId="33" fillId="10" borderId="1" xfId="0" applyFont="1" applyFill="1" applyBorder="1" applyAlignment="1">
      <alignment vertical="center" wrapText="1"/>
    </xf>
    <xf numFmtId="167" fontId="42" fillId="0" borderId="0" xfId="6" applyNumberFormat="1" applyFont="1"/>
    <xf numFmtId="0" fontId="50" fillId="0" borderId="0" xfId="0" applyFont="1" applyAlignment="1">
      <alignment wrapText="1"/>
    </xf>
    <xf numFmtId="0" fontId="61" fillId="0" borderId="0" xfId="0" applyFont="1" applyAlignment="1">
      <alignment horizontal="left"/>
    </xf>
    <xf numFmtId="0" fontId="61" fillId="0" borderId="0" xfId="0" applyFont="1"/>
    <xf numFmtId="0" fontId="62" fillId="0" borderId="0" xfId="0" applyFont="1" applyAlignment="1">
      <alignment horizontal="left"/>
    </xf>
    <xf numFmtId="0" fontId="60" fillId="6" borderId="23" xfId="9" applyFont="1" applyFill="1" applyBorder="1" applyAlignment="1">
      <alignment horizontal="left" vertical="top" wrapText="1"/>
    </xf>
    <xf numFmtId="0" fontId="35" fillId="6" borderId="23" xfId="9" applyFont="1" applyFill="1" applyBorder="1" applyAlignment="1">
      <alignment horizontal="left" vertical="top" wrapText="1"/>
    </xf>
    <xf numFmtId="0" fontId="0" fillId="0" borderId="0" xfId="0" applyAlignment="1">
      <alignment horizontal="left" vertical="top"/>
    </xf>
    <xf numFmtId="0" fontId="50" fillId="0" borderId="0" xfId="0" applyFont="1" applyAlignment="1">
      <alignment horizontal="left" vertical="top" wrapText="1"/>
    </xf>
    <xf numFmtId="3" fontId="44" fillId="0" borderId="1" xfId="0" applyNumberFormat="1" applyFont="1" applyFill="1" applyBorder="1" applyAlignment="1">
      <alignment horizontal="right" vertical="center" wrapText="1"/>
    </xf>
    <xf numFmtId="0" fontId="63" fillId="0" borderId="0" xfId="0" applyFont="1"/>
    <xf numFmtId="0" fontId="34" fillId="6" borderId="2" xfId="0" applyFont="1" applyFill="1" applyBorder="1" applyAlignment="1">
      <alignment vertical="center" wrapText="1"/>
    </xf>
    <xf numFmtId="0" fontId="34" fillId="6" borderId="4" xfId="0" applyFont="1" applyFill="1" applyBorder="1" applyAlignment="1">
      <alignment vertical="center" wrapText="1"/>
    </xf>
    <xf numFmtId="0" fontId="32" fillId="15" borderId="20" xfId="0" applyFont="1" applyFill="1" applyBorder="1" applyAlignment="1">
      <alignment vertical="center" wrapText="1"/>
    </xf>
    <xf numFmtId="0" fontId="32" fillId="15" borderId="21" xfId="0" applyFont="1" applyFill="1" applyBorder="1" applyAlignment="1">
      <alignment vertical="center" wrapText="1"/>
    </xf>
    <xf numFmtId="0" fontId="51" fillId="0" borderId="0" xfId="0" applyFont="1" applyAlignment="1">
      <alignment vertical="center"/>
    </xf>
    <xf numFmtId="0" fontId="31" fillId="0" borderId="0" xfId="0" applyFont="1" applyAlignment="1">
      <alignment horizontal="left" wrapText="1"/>
    </xf>
    <xf numFmtId="0" fontId="33" fillId="15" borderId="1" xfId="0" applyFont="1" applyFill="1" applyBorder="1" applyAlignment="1">
      <alignment horizontal="left" vertical="center" wrapText="1"/>
    </xf>
    <xf numFmtId="0" fontId="33" fillId="6" borderId="2" xfId="0" applyFont="1" applyFill="1" applyBorder="1" applyAlignment="1">
      <alignment horizontal="left" wrapText="1"/>
    </xf>
    <xf numFmtId="0" fontId="33" fillId="10" borderId="1" xfId="0" applyFont="1" applyFill="1" applyBorder="1" applyAlignment="1">
      <alignment horizontal="left" vertical="center" wrapText="1"/>
    </xf>
    <xf numFmtId="0" fontId="34" fillId="6" borderId="4" xfId="0" applyFont="1" applyFill="1" applyBorder="1" applyAlignment="1">
      <alignment horizontal="left" vertical="center" wrapText="1"/>
    </xf>
    <xf numFmtId="0" fontId="65" fillId="5" borderId="1" xfId="0" applyFont="1" applyFill="1" applyBorder="1" applyAlignment="1">
      <alignment horizontal="left" vertical="center" wrapText="1"/>
    </xf>
    <xf numFmtId="0" fontId="65" fillId="5" borderId="3" xfId="0" applyFont="1" applyFill="1" applyBorder="1" applyAlignment="1">
      <alignment horizontal="left" vertical="center" wrapText="1"/>
    </xf>
    <xf numFmtId="0" fontId="65" fillId="5" borderId="1" xfId="0" applyFont="1" applyFill="1" applyBorder="1" applyAlignment="1">
      <alignment horizontal="left" vertical="top" wrapText="1"/>
    </xf>
    <xf numFmtId="0" fontId="33" fillId="10" borderId="36" xfId="0" applyFont="1" applyFill="1" applyBorder="1" applyAlignment="1">
      <alignment horizontal="left" vertical="center" wrapText="1"/>
    </xf>
    <xf numFmtId="0" fontId="33" fillId="5" borderId="1" xfId="0" applyNumberFormat="1" applyFont="1" applyFill="1" applyBorder="1" applyAlignment="1">
      <alignment horizontal="center" vertical="center" wrapText="1"/>
    </xf>
    <xf numFmtId="0" fontId="32" fillId="0" borderId="1" xfId="0" applyNumberFormat="1" applyFont="1" applyBorder="1" applyAlignment="1">
      <alignment horizontal="center" vertical="center" wrapText="1"/>
    </xf>
    <xf numFmtId="0" fontId="31" fillId="0" borderId="1" xfId="6" applyNumberFormat="1" applyFont="1" applyBorder="1" applyAlignment="1">
      <alignment horizontal="center" vertical="center" wrapText="1"/>
    </xf>
    <xf numFmtId="1" fontId="32" fillId="0" borderId="1" xfId="0" applyNumberFormat="1" applyFont="1" applyBorder="1" applyAlignment="1">
      <alignment horizontal="center" vertical="center" wrapText="1"/>
    </xf>
    <xf numFmtId="1" fontId="33" fillId="6" borderId="1" xfId="0" applyNumberFormat="1" applyFont="1" applyFill="1" applyBorder="1" applyAlignment="1">
      <alignment horizontal="center" wrapText="1"/>
    </xf>
    <xf numFmtId="1" fontId="31" fillId="0" borderId="1" xfId="0" applyNumberFormat="1" applyFont="1" applyBorder="1" applyAlignment="1">
      <alignment horizontal="center" vertical="center" wrapText="1"/>
    </xf>
    <xf numFmtId="0" fontId="32" fillId="0" borderId="1" xfId="6" applyNumberFormat="1" applyFont="1" applyBorder="1" applyAlignment="1">
      <alignment horizontal="center" vertical="center" wrapText="1"/>
    </xf>
    <xf numFmtId="0" fontId="0" fillId="0" borderId="23" xfId="0" applyBorder="1"/>
    <xf numFmtId="0" fontId="0" fillId="0" borderId="23" xfId="0" applyNumberFormat="1" applyBorder="1"/>
    <xf numFmtId="0" fontId="66" fillId="0" borderId="23" xfId="0" applyFont="1" applyBorder="1" applyAlignment="1">
      <alignment vertical="center"/>
    </xf>
    <xf numFmtId="9" fontId="50" fillId="0" borderId="23" xfId="6" applyNumberFormat="1" applyFont="1" applyBorder="1"/>
    <xf numFmtId="0" fontId="50" fillId="0" borderId="23" xfId="6" applyNumberFormat="1" applyFont="1" applyBorder="1"/>
    <xf numFmtId="0" fontId="55" fillId="0" borderId="0" xfId="0" applyFont="1" applyFill="1" applyBorder="1" applyAlignment="1" applyProtection="1">
      <protection locked="0"/>
    </xf>
    <xf numFmtId="0" fontId="35" fillId="21" borderId="23" xfId="9" applyFont="1" applyFill="1" applyBorder="1" applyAlignment="1">
      <alignment vertical="center" wrapText="1"/>
    </xf>
    <xf numFmtId="0" fontId="35" fillId="6" borderId="23" xfId="9" applyFont="1" applyFill="1" applyBorder="1" applyAlignment="1">
      <alignment vertical="center" wrapText="1"/>
    </xf>
    <xf numFmtId="9" fontId="50" fillId="0" borderId="23" xfId="6" applyNumberFormat="1" applyFont="1" applyBorder="1" applyAlignment="1">
      <alignment horizontal="left"/>
    </xf>
    <xf numFmtId="2" fontId="50" fillId="0" borderId="23" xfId="6" applyNumberFormat="1" applyFont="1" applyBorder="1" applyAlignment="1">
      <alignment horizontal="left"/>
    </xf>
    <xf numFmtId="167" fontId="50" fillId="0" borderId="23" xfId="6" applyNumberFormat="1" applyFont="1" applyBorder="1" applyAlignment="1">
      <alignment horizontal="left"/>
    </xf>
    <xf numFmtId="1" fontId="50" fillId="0" borderId="23" xfId="6" applyNumberFormat="1" applyFont="1" applyBorder="1" applyAlignment="1">
      <alignment horizontal="left"/>
    </xf>
    <xf numFmtId="0" fontId="51" fillId="0" borderId="23" xfId="0" applyFont="1" applyBorder="1" applyAlignment="1">
      <alignment vertical="center"/>
    </xf>
    <xf numFmtId="0" fontId="51" fillId="0" borderId="23" xfId="0" applyFont="1" applyBorder="1" applyAlignment="1">
      <alignment horizontal="left" vertical="center"/>
    </xf>
    <xf numFmtId="0" fontId="50" fillId="0" borderId="23" xfId="0" applyFont="1" applyBorder="1" applyAlignment="1">
      <alignment horizontal="left"/>
    </xf>
    <xf numFmtId="0" fontId="50" fillId="0" borderId="23" xfId="0" applyFont="1" applyBorder="1" applyAlignment="1">
      <alignment horizontal="left" vertical="top" wrapText="1"/>
    </xf>
    <xf numFmtId="9" fontId="50" fillId="0" borderId="23" xfId="0" applyNumberFormat="1" applyFont="1" applyBorder="1" applyAlignment="1">
      <alignment horizontal="left" vertical="top" wrapText="1"/>
    </xf>
    <xf numFmtId="9" fontId="50" fillId="0" borderId="23" xfId="6" applyFont="1" applyBorder="1" applyAlignment="1">
      <alignment horizontal="left" vertical="top" wrapText="1"/>
    </xf>
    <xf numFmtId="0" fontId="0" fillId="0" borderId="23" xfId="0" applyBorder="1" applyAlignment="1">
      <alignment horizontal="left" vertical="top"/>
    </xf>
    <xf numFmtId="0" fontId="68" fillId="0" borderId="0" xfId="0" applyFont="1" applyAlignment="1">
      <alignment horizontal="left" vertical="top" wrapText="1"/>
    </xf>
    <xf numFmtId="168" fontId="50" fillId="0" borderId="39" xfId="0" applyNumberFormat="1" applyFont="1" applyBorder="1" applyAlignment="1">
      <alignment horizontal="left" vertical="center"/>
    </xf>
    <xf numFmtId="0" fontId="66" fillId="0" borderId="39" xfId="0" applyFont="1" applyBorder="1" applyAlignment="1">
      <alignment horizontal="left" vertical="center"/>
    </xf>
    <xf numFmtId="9" fontId="0" fillId="0" borderId="39" xfId="0" applyNumberFormat="1" applyBorder="1" applyAlignment="1">
      <alignment horizontal="left" vertical="center"/>
    </xf>
    <xf numFmtId="9" fontId="50" fillId="0" borderId="39" xfId="0" applyNumberFormat="1" applyFont="1" applyBorder="1" applyAlignment="1">
      <alignment horizontal="left" vertical="center"/>
    </xf>
    <xf numFmtId="0" fontId="1" fillId="0" borderId="0" xfId="0" applyFont="1" applyAlignment="1">
      <alignment horizontal="right" vertical="center"/>
    </xf>
    <xf numFmtId="171" fontId="66" fillId="0" borderId="39" xfId="0" applyNumberFormat="1" applyFont="1" applyBorder="1" applyAlignment="1">
      <alignment horizontal="left" vertical="center"/>
    </xf>
    <xf numFmtId="0" fontId="1" fillId="6" borderId="39" xfId="0" applyFont="1" applyFill="1" applyBorder="1" applyAlignment="1">
      <alignment horizontal="left" vertical="center"/>
    </xf>
    <xf numFmtId="2" fontId="12" fillId="0" borderId="1" xfId="0" applyNumberFormat="1" applyFont="1" applyFill="1" applyBorder="1" applyProtection="1">
      <protection hidden="1"/>
    </xf>
    <xf numFmtId="0" fontId="55" fillId="29" borderId="0" xfId="0" applyFont="1" applyFill="1" applyBorder="1" applyAlignment="1" applyProtection="1">
      <alignment horizontal="left"/>
      <protection locked="0"/>
    </xf>
    <xf numFmtId="1" fontId="46" fillId="0" borderId="1" xfId="6" applyNumberFormat="1" applyFont="1" applyBorder="1"/>
    <xf numFmtId="1" fontId="42" fillId="0" borderId="25" xfId="0" applyNumberFormat="1" applyFont="1" applyBorder="1"/>
    <xf numFmtId="166" fontId="42" fillId="0" borderId="25" xfId="7" applyNumberFormat="1" applyFont="1" applyBorder="1"/>
    <xf numFmtId="0" fontId="21" fillId="0" borderId="0" xfId="0" applyFont="1" applyAlignment="1">
      <alignment horizontal="left" wrapText="1"/>
    </xf>
    <xf numFmtId="166" fontId="0" fillId="0" borderId="0" xfId="7" applyNumberFormat="1" applyFont="1" applyAlignment="1">
      <alignment horizontal="center" vertical="center"/>
    </xf>
    <xf numFmtId="166" fontId="0" fillId="0" borderId="0" xfId="7" applyNumberFormat="1" applyFont="1" applyBorder="1" applyAlignment="1">
      <alignment horizontal="center" vertical="center"/>
    </xf>
    <xf numFmtId="1" fontId="42" fillId="6" borderId="1" xfId="0" applyNumberFormat="1" applyFont="1" applyFill="1" applyBorder="1"/>
    <xf numFmtId="1" fontId="0" fillId="0" borderId="0" xfId="0" applyNumberFormat="1" applyFill="1"/>
    <xf numFmtId="0" fontId="42" fillId="6" borderId="24" xfId="0" applyFont="1" applyFill="1" applyBorder="1" applyAlignment="1">
      <alignment horizontal="left" wrapText="1"/>
    </xf>
    <xf numFmtId="4" fontId="44" fillId="6" borderId="1" xfId="0" applyNumberFormat="1" applyFont="1" applyFill="1" applyBorder="1" applyAlignment="1">
      <alignment horizontal="right" vertical="center" wrapText="1"/>
    </xf>
    <xf numFmtId="3" fontId="44" fillId="6" borderId="1" xfId="0" applyNumberFormat="1" applyFont="1" applyFill="1" applyBorder="1" applyAlignment="1">
      <alignment horizontal="right" vertical="center" wrapText="1"/>
    </xf>
    <xf numFmtId="0" fontId="1" fillId="30" borderId="0" xfId="0" applyFont="1" applyFill="1" applyAlignment="1" applyProtection="1">
      <alignment horizontal="left" vertical="center"/>
      <protection locked="0"/>
    </xf>
    <xf numFmtId="9" fontId="1" fillId="14" borderId="1" xfId="6" applyNumberFormat="1" applyFont="1" applyFill="1" applyBorder="1" applyAlignment="1" applyProtection="1">
      <alignment horizontal="center"/>
      <protection hidden="1"/>
    </xf>
    <xf numFmtId="0" fontId="12" fillId="6" borderId="0" xfId="0" applyFont="1" applyFill="1" applyProtection="1">
      <protection hidden="1"/>
    </xf>
    <xf numFmtId="0" fontId="15" fillId="7" borderId="3" xfId="4" applyFont="1" applyBorder="1" applyAlignment="1" applyProtection="1">
      <alignment vertical="center"/>
      <protection hidden="1"/>
    </xf>
    <xf numFmtId="0" fontId="15" fillId="7" borderId="1" xfId="4" applyFont="1" applyBorder="1" applyAlignment="1" applyProtection="1">
      <alignment vertical="center"/>
      <protection hidden="1"/>
    </xf>
    <xf numFmtId="0" fontId="12" fillId="0" borderId="0" xfId="0" applyFont="1" applyAlignment="1" applyProtection="1">
      <alignment vertical="center"/>
      <protection hidden="1"/>
    </xf>
    <xf numFmtId="2" fontId="12" fillId="0" borderId="1" xfId="0" applyNumberFormat="1" applyFont="1" applyBorder="1" applyAlignment="1" applyProtection="1">
      <alignment vertical="center"/>
      <protection hidden="1"/>
    </xf>
    <xf numFmtId="2" fontId="12" fillId="0" borderId="1" xfId="0" applyNumberFormat="1" applyFont="1" applyFill="1" applyBorder="1" applyAlignment="1" applyProtection="1">
      <alignment vertical="center"/>
      <protection hidden="1"/>
    </xf>
    <xf numFmtId="0" fontId="12" fillId="0" borderId="1" xfId="0" applyFont="1" applyBorder="1" applyAlignment="1" applyProtection="1">
      <alignment vertical="center"/>
      <protection hidden="1"/>
    </xf>
    <xf numFmtId="0" fontId="12" fillId="0" borderId="3" xfId="0" applyFont="1" applyBorder="1" applyAlignment="1" applyProtection="1">
      <alignment vertical="center"/>
      <protection hidden="1"/>
    </xf>
    <xf numFmtId="9" fontId="12" fillId="0" borderId="1" xfId="0" applyNumberFormat="1" applyFont="1" applyBorder="1" applyAlignment="1" applyProtection="1">
      <alignment vertical="center"/>
      <protection hidden="1"/>
    </xf>
    <xf numFmtId="166" fontId="12" fillId="6" borderId="1" xfId="7" applyNumberFormat="1" applyFont="1" applyFill="1" applyBorder="1" applyAlignment="1" applyProtection="1">
      <alignment vertical="center"/>
      <protection hidden="1"/>
    </xf>
    <xf numFmtId="9" fontId="12" fillId="6" borderId="1" xfId="0" applyNumberFormat="1" applyFont="1" applyFill="1" applyBorder="1" applyAlignment="1" applyProtection="1">
      <alignment vertical="center"/>
      <protection hidden="1"/>
    </xf>
    <xf numFmtId="1" fontId="12" fillId="6" borderId="1" xfId="0" applyNumberFormat="1" applyFont="1" applyFill="1" applyBorder="1" applyAlignment="1" applyProtection="1">
      <alignment vertical="center"/>
      <protection hidden="1"/>
    </xf>
    <xf numFmtId="166" fontId="12" fillId="0" borderId="1" xfId="7" applyNumberFormat="1" applyFont="1" applyBorder="1" applyAlignment="1" applyProtection="1">
      <alignment vertical="center"/>
      <protection hidden="1"/>
    </xf>
    <xf numFmtId="168" fontId="12" fillId="6" borderId="1" xfId="6" applyNumberFormat="1" applyFont="1" applyFill="1" applyBorder="1" applyAlignment="1" applyProtection="1">
      <alignment vertical="center"/>
      <protection hidden="1"/>
    </xf>
    <xf numFmtId="168" fontId="12" fillId="0" borderId="1" xfId="6" applyNumberFormat="1" applyFont="1" applyBorder="1" applyAlignment="1" applyProtection="1">
      <alignment vertical="center"/>
      <protection hidden="1"/>
    </xf>
    <xf numFmtId="1" fontId="12" fillId="0" borderId="1" xfId="0" applyNumberFormat="1" applyFont="1" applyBorder="1" applyAlignment="1" applyProtection="1">
      <alignment vertical="center"/>
      <protection hidden="1"/>
    </xf>
    <xf numFmtId="167" fontId="12" fillId="0" borderId="1" xfId="0" applyNumberFormat="1" applyFont="1" applyBorder="1" applyAlignment="1" applyProtection="1">
      <alignment vertical="center"/>
      <protection hidden="1"/>
    </xf>
    <xf numFmtId="169" fontId="12" fillId="0" borderId="1" xfId="7" applyNumberFormat="1" applyFont="1" applyBorder="1" applyAlignment="1" applyProtection="1">
      <alignment vertical="center"/>
      <protection hidden="1"/>
    </xf>
    <xf numFmtId="9" fontId="12" fillId="0" borderId="1" xfId="6" applyFont="1" applyBorder="1" applyAlignment="1" applyProtection="1">
      <alignment vertical="center"/>
      <protection hidden="1"/>
    </xf>
    <xf numFmtId="0" fontId="71" fillId="0" borderId="1" xfId="0" applyFont="1" applyBorder="1" applyAlignment="1" applyProtection="1">
      <alignment vertical="center"/>
      <protection hidden="1"/>
    </xf>
    <xf numFmtId="168" fontId="71" fillId="0" borderId="1" xfId="0" applyNumberFormat="1" applyFont="1" applyFill="1" applyBorder="1" applyProtection="1">
      <protection hidden="1"/>
    </xf>
    <xf numFmtId="168" fontId="71" fillId="0" borderId="1" xfId="0" applyNumberFormat="1" applyFont="1" applyBorder="1" applyProtection="1">
      <protection hidden="1"/>
    </xf>
    <xf numFmtId="9" fontId="71" fillId="0" borderId="1" xfId="6" applyFont="1" applyBorder="1" applyAlignment="1" applyProtection="1">
      <alignment vertical="center"/>
      <protection hidden="1"/>
    </xf>
    <xf numFmtId="168" fontId="14" fillId="0" borderId="1" xfId="6" applyNumberFormat="1" applyFont="1" applyBorder="1" applyAlignment="1" applyProtection="1">
      <alignment vertical="center"/>
      <protection hidden="1"/>
    </xf>
    <xf numFmtId="9" fontId="12" fillId="0" borderId="1" xfId="0" applyNumberFormat="1" applyFont="1" applyFill="1" applyBorder="1" applyAlignment="1" applyProtection="1">
      <alignment vertical="center"/>
      <protection hidden="1"/>
    </xf>
    <xf numFmtId="9" fontId="71" fillId="0" borderId="1" xfId="6" applyNumberFormat="1" applyFont="1" applyBorder="1" applyAlignment="1" applyProtection="1">
      <alignment vertical="center"/>
      <protection hidden="1"/>
    </xf>
    <xf numFmtId="168" fontId="12" fillId="0" borderId="1" xfId="0" applyNumberFormat="1" applyFont="1" applyBorder="1" applyAlignment="1" applyProtection="1">
      <alignment vertical="center"/>
      <protection hidden="1"/>
    </xf>
    <xf numFmtId="1" fontId="12" fillId="0" borderId="1" xfId="0" applyNumberFormat="1" applyFont="1" applyBorder="1" applyProtection="1">
      <protection hidden="1"/>
    </xf>
    <xf numFmtId="168" fontId="1" fillId="0" borderId="33" xfId="6" applyNumberFormat="1" applyFont="1" applyBorder="1" applyAlignment="1" applyProtection="1">
      <protection locked="0"/>
    </xf>
    <xf numFmtId="168" fontId="1" fillId="0" borderId="34" xfId="6" applyNumberFormat="1" applyFont="1" applyBorder="1" applyAlignment="1" applyProtection="1">
      <protection locked="0"/>
    </xf>
    <xf numFmtId="2" fontId="66" fillId="30" borderId="40" xfId="6" applyNumberFormat="1" applyFont="1" applyFill="1" applyBorder="1" applyAlignment="1">
      <alignment horizontal="left" vertical="center"/>
    </xf>
    <xf numFmtId="2" fontId="66" fillId="30" borderId="0" xfId="6" applyNumberFormat="1" applyFont="1" applyFill="1" applyBorder="1" applyAlignment="1">
      <alignment horizontal="left" vertical="center"/>
    </xf>
    <xf numFmtId="0" fontId="3" fillId="0" borderId="0" xfId="1" applyFont="1" applyFill="1" applyBorder="1" applyAlignment="1" applyProtection="1">
      <alignment horizontal="left" vertical="top"/>
      <protection locked="0"/>
    </xf>
    <xf numFmtId="0" fontId="10" fillId="8" borderId="0" xfId="0" applyFont="1" applyFill="1" applyAlignment="1" applyProtection="1">
      <alignment horizontal="center"/>
      <protection locked="0"/>
    </xf>
    <xf numFmtId="0" fontId="1" fillId="0" borderId="33" xfId="0" applyFont="1" applyBorder="1" applyAlignment="1" applyProtection="1">
      <alignment horizontal="left"/>
      <protection locked="0"/>
    </xf>
    <xf numFmtId="0" fontId="1" fillId="0" borderId="34" xfId="0" applyFont="1" applyBorder="1" applyAlignment="1" applyProtection="1">
      <alignment horizontal="left"/>
      <protection locked="0"/>
    </xf>
    <xf numFmtId="0" fontId="0" fillId="0" borderId="0" xfId="0" applyAlignment="1" applyProtection="1">
      <alignment horizontal="center"/>
      <protection locked="0"/>
    </xf>
    <xf numFmtId="0" fontId="15" fillId="7" borderId="2" xfId="4" applyFont="1" applyBorder="1" applyAlignment="1" applyProtection="1">
      <alignment horizontal="center"/>
      <protection hidden="1"/>
    </xf>
    <xf numFmtId="0" fontId="15" fillId="7" borderId="3" xfId="4" applyFont="1" applyBorder="1" applyAlignment="1" applyProtection="1">
      <alignment horizontal="center"/>
      <protection hidden="1"/>
    </xf>
    <xf numFmtId="0" fontId="13" fillId="7" borderId="2" xfId="4" applyFont="1" applyBorder="1" applyAlignment="1" applyProtection="1">
      <alignment horizontal="center"/>
      <protection hidden="1"/>
    </xf>
    <xf numFmtId="0" fontId="13" fillId="7" borderId="3" xfId="4" applyFont="1" applyBorder="1" applyAlignment="1" applyProtection="1">
      <alignment horizontal="center"/>
      <protection hidden="1"/>
    </xf>
    <xf numFmtId="0" fontId="19" fillId="13" borderId="0" xfId="2" applyFont="1" applyFill="1" applyAlignment="1" applyProtection="1">
      <alignment horizontal="center" vertical="center"/>
      <protection hidden="1"/>
    </xf>
    <xf numFmtId="0" fontId="11" fillId="0" borderId="0" xfId="3" applyFont="1" applyAlignment="1" applyProtection="1">
      <alignment horizontal="center" vertical="center"/>
      <protection hidden="1"/>
    </xf>
    <xf numFmtId="0" fontId="25" fillId="7" borderId="1" xfId="4" applyFont="1" applyBorder="1" applyAlignment="1" applyProtection="1">
      <alignment horizontal="center" vertical="center"/>
      <protection hidden="1"/>
    </xf>
    <xf numFmtId="0" fontId="15" fillId="7" borderId="1" xfId="4" applyFont="1" applyBorder="1" applyAlignment="1" applyProtection="1">
      <alignment horizontal="center" vertical="center"/>
      <protection hidden="1"/>
    </xf>
    <xf numFmtId="0" fontId="33" fillId="10" borderId="35" xfId="0" applyFont="1" applyFill="1" applyBorder="1" applyAlignment="1">
      <alignment horizontal="left" vertical="center" wrapText="1"/>
    </xf>
    <xf numFmtId="0" fontId="33" fillId="10" borderId="36" xfId="0" applyFont="1" applyFill="1" applyBorder="1" applyAlignment="1">
      <alignment horizontal="left" vertical="center" wrapText="1"/>
    </xf>
    <xf numFmtId="0" fontId="33" fillId="10" borderId="22" xfId="0" applyFont="1" applyFill="1" applyBorder="1" applyAlignment="1">
      <alignment horizontal="left" vertical="center" wrapText="1"/>
    </xf>
    <xf numFmtId="0" fontId="55" fillId="29" borderId="0" xfId="0" applyFont="1" applyFill="1" applyBorder="1" applyAlignment="1" applyProtection="1">
      <alignment horizontal="center"/>
      <protection locked="0"/>
    </xf>
    <xf numFmtId="0" fontId="55" fillId="29" borderId="0" xfId="0" applyFont="1" applyFill="1" applyBorder="1" applyAlignment="1" applyProtection="1">
      <alignment horizontal="left"/>
      <protection locked="0"/>
    </xf>
    <xf numFmtId="0" fontId="64" fillId="0" borderId="0" xfId="0" applyFont="1" applyAlignment="1">
      <alignment horizontal="left" wrapText="1"/>
    </xf>
    <xf numFmtId="0" fontId="67" fillId="0" borderId="0" xfId="0" applyFont="1" applyAlignment="1">
      <alignment horizontal="left" wrapText="1"/>
    </xf>
    <xf numFmtId="0" fontId="35" fillId="21" borderId="37" xfId="9" applyFont="1" applyFill="1" applyBorder="1" applyAlignment="1">
      <alignment horizontal="left" vertical="center"/>
    </xf>
    <xf numFmtId="0" fontId="35" fillId="21" borderId="38" xfId="9" applyFont="1" applyFill="1" applyBorder="1" applyAlignment="1">
      <alignment horizontal="left" vertical="center"/>
    </xf>
    <xf numFmtId="0" fontId="55" fillId="0" borderId="0" xfId="0" applyFont="1" applyFill="1" applyBorder="1" applyAlignment="1" applyProtection="1">
      <alignment horizontal="center"/>
      <protection locked="0"/>
    </xf>
    <xf numFmtId="0" fontId="69" fillId="0" borderId="0" xfId="0" applyFont="1" applyAlignment="1">
      <alignment horizontal="left" vertical="center" wrapText="1"/>
    </xf>
    <xf numFmtId="0" fontId="21" fillId="0" borderId="0" xfId="0" applyFont="1" applyAlignment="1">
      <alignment horizontal="left" wrapText="1"/>
    </xf>
    <xf numFmtId="166" fontId="0" fillId="0" borderId="0" xfId="7" applyNumberFormat="1" applyFont="1" applyAlignment="1">
      <alignment horizontal="center" vertical="center"/>
    </xf>
    <xf numFmtId="166" fontId="0" fillId="0" borderId="18" xfId="7" applyNumberFormat="1" applyFont="1" applyBorder="1" applyAlignment="1">
      <alignment horizontal="center" vertical="center"/>
    </xf>
    <xf numFmtId="166" fontId="0" fillId="0" borderId="0" xfId="7" applyNumberFormat="1" applyFont="1" applyBorder="1" applyAlignment="1">
      <alignment horizontal="center" vertical="center"/>
    </xf>
    <xf numFmtId="0" fontId="29" fillId="0" borderId="0" xfId="0" applyFont="1" applyAlignment="1">
      <alignment horizontal="center" vertical="center"/>
    </xf>
    <xf numFmtId="9" fontId="0" fillId="0" borderId="0" xfId="6" applyFont="1" applyBorder="1" applyAlignment="1">
      <alignment horizontal="center"/>
    </xf>
    <xf numFmtId="9" fontId="0" fillId="0" borderId="19" xfId="6" applyFont="1" applyBorder="1" applyAlignment="1">
      <alignment horizont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0" xfId="0" applyAlignment="1">
      <alignment horizontal="left" wrapText="1"/>
    </xf>
    <xf numFmtId="0" fontId="67" fillId="0" borderId="0" xfId="0" applyFont="1" applyAlignment="1">
      <alignment horizontal="left" vertical="center" wrapText="1"/>
    </xf>
    <xf numFmtId="0" fontId="67" fillId="0" borderId="0" xfId="0" applyFont="1" applyAlignment="1">
      <alignment horizontal="left"/>
    </xf>
    <xf numFmtId="0" fontId="55" fillId="29" borderId="0" xfId="0" applyFont="1" applyFill="1" applyBorder="1" applyAlignment="1" applyProtection="1">
      <alignment horizontal="left" vertical="top" wrapText="1"/>
      <protection locked="0"/>
    </xf>
    <xf numFmtId="0" fontId="68" fillId="0" borderId="0" xfId="0" applyFont="1" applyAlignment="1">
      <alignment horizontal="left" vertical="top" wrapText="1"/>
    </xf>
    <xf numFmtId="0" fontId="55" fillId="29" borderId="0" xfId="0" applyFont="1" applyFill="1" applyBorder="1" applyAlignment="1" applyProtection="1">
      <alignment horizontal="left" vertical="top"/>
      <protection locked="0"/>
    </xf>
    <xf numFmtId="0" fontId="9" fillId="0" borderId="0" xfId="3" applyFont="1" applyBorder="1" applyAlignment="1" applyProtection="1">
      <alignment horizontal="center"/>
      <protection hidden="1"/>
    </xf>
    <xf numFmtId="0" fontId="6" fillId="0" borderId="0" xfId="0" applyFont="1" applyBorder="1" applyAlignment="1" applyProtection="1">
      <alignment horizontal="center"/>
      <protection hidden="1"/>
    </xf>
    <xf numFmtId="0" fontId="2" fillId="3" borderId="5" xfId="2" applyBorder="1" applyAlignment="1" applyProtection="1">
      <alignment horizontal="center"/>
      <protection hidden="1"/>
    </xf>
    <xf numFmtId="0" fontId="7" fillId="9" borderId="0" xfId="0" applyFont="1" applyFill="1" applyAlignment="1" applyProtection="1">
      <alignment horizontal="center"/>
      <protection locked="0"/>
    </xf>
    <xf numFmtId="0" fontId="6" fillId="10" borderId="0" xfId="0" applyFont="1" applyFill="1" applyAlignment="1" applyProtection="1">
      <alignment horizontal="center"/>
      <protection locked="0"/>
    </xf>
    <xf numFmtId="0" fontId="7" fillId="11" borderId="0" xfId="0" applyFont="1" applyFill="1" applyAlignment="1" applyProtection="1">
      <alignment horizontal="center"/>
      <protection locked="0"/>
    </xf>
    <xf numFmtId="0" fontId="2" fillId="7" borderId="2" xfId="4" applyBorder="1" applyAlignment="1" applyProtection="1">
      <alignment horizontal="center"/>
      <protection hidden="1"/>
    </xf>
    <xf numFmtId="0" fontId="2" fillId="7" borderId="4" xfId="4" applyBorder="1" applyAlignment="1" applyProtection="1">
      <alignment horizontal="center"/>
      <protection hidden="1"/>
    </xf>
    <xf numFmtId="0" fontId="2" fillId="7" borderId="3" xfId="4" applyBorder="1" applyAlignment="1" applyProtection="1">
      <alignment horizontal="center"/>
      <protection hidden="1"/>
    </xf>
    <xf numFmtId="0" fontId="1" fillId="0" borderId="0" xfId="0" applyFont="1" applyAlignment="1">
      <alignment horizontal="center"/>
    </xf>
    <xf numFmtId="0" fontId="24" fillId="0" borderId="10" xfId="5" applyFont="1" applyFill="1" applyBorder="1" applyAlignment="1">
      <alignment horizontal="center" wrapText="1"/>
    </xf>
    <xf numFmtId="0" fontId="24" fillId="0" borderId="11" xfId="5" applyFont="1" applyFill="1" applyBorder="1" applyAlignment="1">
      <alignment horizontal="center" wrapText="1"/>
    </xf>
    <xf numFmtId="0" fontId="24" fillId="0" borderId="0" xfId="5" applyFont="1" applyFill="1" applyBorder="1" applyAlignment="1">
      <alignment horizontal="center" wrapText="1"/>
    </xf>
    <xf numFmtId="0" fontId="24" fillId="0" borderId="9" xfId="5" applyFont="1" applyFill="1" applyBorder="1" applyAlignment="1">
      <alignment horizontal="center" wrapText="1"/>
    </xf>
    <xf numFmtId="0" fontId="2" fillId="3" borderId="0" xfId="2" applyAlignment="1">
      <alignment horizontal="center" wrapText="1"/>
    </xf>
    <xf numFmtId="0" fontId="2" fillId="17" borderId="12" xfId="0" applyFont="1" applyFill="1" applyBorder="1" applyAlignment="1">
      <alignment horizontal="center"/>
    </xf>
    <xf numFmtId="0" fontId="2" fillId="17" borderId="13" xfId="0" applyFont="1" applyFill="1" applyBorder="1" applyAlignment="1">
      <alignment horizontal="center"/>
    </xf>
    <xf numFmtId="0" fontId="2" fillId="17" borderId="14" xfId="0" applyFont="1" applyFill="1"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25" fillId="4" borderId="16" xfId="0" applyFont="1" applyFill="1" applyBorder="1" applyAlignment="1">
      <alignment horizontal="center"/>
    </xf>
    <xf numFmtId="0" fontId="42" fillId="25" borderId="27" xfId="0" applyFont="1" applyFill="1" applyBorder="1" applyAlignment="1"/>
    <xf numFmtId="0" fontId="41" fillId="22" borderId="0" xfId="0" applyFont="1" applyFill="1" applyBorder="1" applyAlignment="1">
      <alignment horizontal="center"/>
    </xf>
    <xf numFmtId="0" fontId="42" fillId="25" borderId="24" xfId="0" applyFont="1" applyFill="1" applyBorder="1" applyAlignment="1"/>
    <xf numFmtId="0" fontId="42" fillId="0" borderId="28" xfId="0" applyFont="1" applyBorder="1" applyAlignment="1">
      <alignment horizontal="center"/>
    </xf>
    <xf numFmtId="0" fontId="42" fillId="0" borderId="29" xfId="0" applyFont="1" applyBorder="1" applyAlignment="1">
      <alignment horizontal="center"/>
    </xf>
    <xf numFmtId="0" fontId="42" fillId="0" borderId="30" xfId="0" applyFont="1" applyBorder="1" applyAlignment="1">
      <alignment horizontal="center"/>
    </xf>
    <xf numFmtId="0" fontId="42" fillId="25" borderId="31" xfId="0" applyFont="1" applyFill="1" applyBorder="1" applyAlignment="1"/>
    <xf numFmtId="170" fontId="48" fillId="0" borderId="0" xfId="11" applyNumberFormat="1" applyBorder="1" applyAlignment="1" applyProtection="1">
      <alignment horizontal="center"/>
    </xf>
    <xf numFmtId="170" fontId="25" fillId="18" borderId="0" xfId="8" applyNumberFormat="1" applyFont="1" applyBorder="1" applyAlignment="1">
      <alignment horizontal="center"/>
    </xf>
    <xf numFmtId="0" fontId="50" fillId="0" borderId="41" xfId="0" applyFont="1" applyBorder="1" applyAlignment="1">
      <alignment horizontal="left" vertical="top" wrapText="1"/>
    </xf>
    <xf numFmtId="0" fontId="50" fillId="0" borderId="42" xfId="0" applyFont="1" applyBorder="1" applyAlignment="1">
      <alignment horizontal="left" vertical="top" wrapText="1"/>
    </xf>
  </cellXfs>
  <cellStyles count="12">
    <cellStyle name="Accent1" xfId="1" builtinId="29"/>
    <cellStyle name="Accent3" xfId="4" builtinId="37"/>
    <cellStyle name="Accent4" xfId="2" builtinId="41"/>
    <cellStyle name="Accent6" xfId="8" builtinId="49"/>
    <cellStyle name="Comma" xfId="7" builtinId="3"/>
    <cellStyle name="Comma 2" xfId="10"/>
    <cellStyle name="Hyperlink" xfId="3" builtinId="8"/>
    <cellStyle name="Hyperlink 2" xfId="11"/>
    <cellStyle name="Input" xfId="5" builtinId="20"/>
    <cellStyle name="Normal" xfId="0" builtinId="0"/>
    <cellStyle name="Normal 2" xfId="9"/>
    <cellStyle name="Percent" xfId="6" builtinId="5"/>
  </cellStyles>
  <dxfs count="2">
    <dxf>
      <font>
        <b/>
        <i val="0"/>
        <color theme="0"/>
      </font>
      <fill>
        <patternFill>
          <bgColor theme="5"/>
        </patternFill>
      </fill>
    </dxf>
    <dxf>
      <fill>
        <patternFill>
          <bgColor rgb="FF00B05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507367032108087"/>
          <c:y val="0.20476404806845408"/>
          <c:w val="0.73114081377384943"/>
          <c:h val="0.63001023434251691"/>
        </c:manualLayout>
      </c:layout>
      <c:barChart>
        <c:barDir val="bar"/>
        <c:grouping val="clustered"/>
        <c:varyColors val="0"/>
        <c:ser>
          <c:idx val="1"/>
          <c:order val="0"/>
          <c:tx>
            <c:strRef>
              <c:f>Valuation_Table!$A$26</c:f>
              <c:strCache>
                <c:ptCount val="1"/>
                <c:pt idx="0">
                  <c:v>Historical Earnings Growth</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Historical Basis</c:v>
              </c:pt>
            </c:strLit>
          </c:cat>
          <c:val>
            <c:numRef>
              <c:f>Valuation_Table!$B$26</c:f>
              <c:numCache>
                <c:formatCode>0</c:formatCode>
                <c:ptCount val="1"/>
                <c:pt idx="0">
                  <c:v>3382.2270840408532</c:v>
                </c:pt>
              </c:numCache>
            </c:numRef>
          </c:val>
        </c:ser>
        <c:ser>
          <c:idx val="2"/>
          <c:order val="1"/>
          <c:tx>
            <c:strRef>
              <c:f>Valuation_Table!$A$25</c:f>
              <c:strCache>
                <c:ptCount val="1"/>
                <c:pt idx="0">
                  <c:v>P E/B Valuation</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Historical Basis</c:v>
              </c:pt>
            </c:strLit>
          </c:cat>
          <c:val>
            <c:numRef>
              <c:f>Valuation_Table!$B$25</c:f>
              <c:numCache>
                <c:formatCode>0</c:formatCode>
                <c:ptCount val="1"/>
                <c:pt idx="0">
                  <c:v>705.99927861891717</c:v>
                </c:pt>
              </c:numCache>
            </c:numRef>
          </c:val>
        </c:ser>
        <c:dLbls>
          <c:dLblPos val="outEnd"/>
          <c:showLegendKey val="0"/>
          <c:showVal val="1"/>
          <c:showCatName val="0"/>
          <c:showSerName val="0"/>
          <c:showPercent val="0"/>
          <c:showBubbleSize val="0"/>
        </c:dLbls>
        <c:gapWidth val="150"/>
        <c:axId val="298106480"/>
        <c:axId val="298101040"/>
      </c:barChart>
      <c:catAx>
        <c:axId val="298106480"/>
        <c:scaling>
          <c:orientation val="minMax"/>
        </c:scaling>
        <c:delete val="0"/>
        <c:axPos val="l"/>
        <c:majorGridlines/>
        <c:numFmt formatCode="General" sourceLinked="0"/>
        <c:majorTickMark val="out"/>
        <c:minorTickMark val="none"/>
        <c:tickLblPos val="nextTo"/>
        <c:crossAx val="298101040"/>
        <c:crosses val="autoZero"/>
        <c:auto val="1"/>
        <c:lblAlgn val="ctr"/>
        <c:lblOffset val="100"/>
        <c:noMultiLvlLbl val="0"/>
      </c:catAx>
      <c:valAx>
        <c:axId val="298101040"/>
        <c:scaling>
          <c:orientation val="minMax"/>
        </c:scaling>
        <c:delete val="1"/>
        <c:axPos val="b"/>
        <c:numFmt formatCode="0" sourceLinked="1"/>
        <c:majorTickMark val="out"/>
        <c:minorTickMark val="none"/>
        <c:tickLblPos val="nextTo"/>
        <c:crossAx val="298106480"/>
        <c:crosses val="autoZero"/>
        <c:crossBetween val="between"/>
      </c:valAx>
      <c:spPr>
        <a:noFill/>
        <a:ln w="25400">
          <a:noFill/>
        </a:ln>
      </c:spPr>
    </c:plotArea>
    <c:legend>
      <c:legendPos val="b"/>
      <c:overlay val="0"/>
    </c:legend>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98035144968937E-2"/>
          <c:y val="0.10648148148148148"/>
          <c:w val="0.95018868220539698"/>
          <c:h val="0.70833333333333337"/>
        </c:manualLayout>
      </c:layout>
      <c:barChart>
        <c:barDir val="col"/>
        <c:grouping val="clustered"/>
        <c:varyColors val="0"/>
        <c:ser>
          <c:idx val="0"/>
          <c:order val="0"/>
          <c:tx>
            <c:strRef>
              <c:f>'Screener Output.v0'!$A$192</c:f>
              <c:strCache>
                <c:ptCount val="1"/>
                <c:pt idx="0">
                  <c:v>NP</c:v>
                </c:pt>
              </c:strCache>
            </c:strRef>
          </c:tx>
          <c:spPr>
            <a:solidFill>
              <a:srgbClr val="00B050"/>
            </a:solidFill>
            <a:ln>
              <a:noFill/>
            </a:ln>
            <a:effectLst>
              <a:outerShdw blurRad="76200" dir="18900000" sy="23000" kx="-1200000" algn="bl" rotWithShape="0">
                <a:prstClr val="black">
                  <a:alpha val="20000"/>
                </a:prstClr>
              </a:outerShdw>
            </a:effectLst>
          </c:spPr>
          <c:invertIfNegative val="0"/>
          <c:dLbls>
            <c:numFmt formatCode="#,##0" sourceLinked="0"/>
            <c:spPr>
              <a:solidFill>
                <a:srgbClr val="00B050"/>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Output.v0'!$D$189:$L$189</c:f>
              <c:numCache>
                <c:formatCode>[$-409]mmm\-yy;@</c:formatCode>
                <c:ptCount val="9"/>
                <c:pt idx="0">
                  <c:v>42551</c:v>
                </c:pt>
                <c:pt idx="1">
                  <c:v>42643</c:v>
                </c:pt>
                <c:pt idx="2">
                  <c:v>42735</c:v>
                </c:pt>
                <c:pt idx="3">
                  <c:v>42825</c:v>
                </c:pt>
                <c:pt idx="4">
                  <c:v>42916</c:v>
                </c:pt>
                <c:pt idx="5">
                  <c:v>43008</c:v>
                </c:pt>
                <c:pt idx="6">
                  <c:v>43100</c:v>
                </c:pt>
                <c:pt idx="7">
                  <c:v>43190</c:v>
                </c:pt>
                <c:pt idx="8">
                  <c:v>43281</c:v>
                </c:pt>
              </c:numCache>
            </c:numRef>
          </c:cat>
          <c:val>
            <c:numRef>
              <c:f>'Screener Output.v0'!$D$192:$L$192</c:f>
              <c:numCache>
                <c:formatCode>0</c:formatCode>
                <c:ptCount val="9"/>
                <c:pt idx="0">
                  <c:v>36.979999999999997</c:v>
                </c:pt>
                <c:pt idx="1">
                  <c:v>26.96</c:v>
                </c:pt>
                <c:pt idx="2">
                  <c:v>24.34</c:v>
                </c:pt>
                <c:pt idx="3">
                  <c:v>31.67</c:v>
                </c:pt>
                <c:pt idx="4">
                  <c:v>37.35</c:v>
                </c:pt>
                <c:pt idx="5">
                  <c:v>32.08</c:v>
                </c:pt>
                <c:pt idx="6">
                  <c:v>38.18</c:v>
                </c:pt>
                <c:pt idx="7">
                  <c:v>53.46</c:v>
                </c:pt>
                <c:pt idx="8">
                  <c:v>45.95</c:v>
                </c:pt>
              </c:numCache>
            </c:numRef>
          </c:val>
        </c:ser>
        <c:dLbls>
          <c:dLblPos val="inEnd"/>
          <c:showLegendKey val="0"/>
          <c:showVal val="1"/>
          <c:showCatName val="0"/>
          <c:showSerName val="0"/>
          <c:showPercent val="0"/>
          <c:showBubbleSize val="0"/>
        </c:dLbls>
        <c:gapWidth val="41"/>
        <c:axId val="476469056"/>
        <c:axId val="476472864"/>
      </c:barChart>
      <c:lineChart>
        <c:grouping val="standard"/>
        <c:varyColors val="0"/>
        <c:ser>
          <c:idx val="1"/>
          <c:order val="1"/>
          <c:tx>
            <c:strRef>
              <c:f>'Screener Output.v0'!$A$193</c:f>
              <c:strCache>
                <c:ptCount val="1"/>
                <c:pt idx="0">
                  <c:v>NP QoQ</c:v>
                </c:pt>
              </c:strCache>
            </c:strRef>
          </c:tx>
          <c:spPr>
            <a:ln w="28575" cap="rnd">
              <a:gradFill>
                <a:gsLst>
                  <a:gs pos="0">
                    <a:schemeClr val="accent2"/>
                  </a:gs>
                  <a:gs pos="100000">
                    <a:schemeClr val="accent2">
                      <a:lumMod val="84000"/>
                    </a:schemeClr>
                  </a:gs>
                </a:gsLst>
                <a:lin ang="5400000" scaled="1"/>
              </a:gradFill>
              <a:round/>
            </a:ln>
            <a:effectLst/>
          </c:spPr>
          <c:marker>
            <c:symbol val="none"/>
          </c:marker>
          <c:cat>
            <c:numRef>
              <c:f>'Screener Output.v0'!$D$189:$L$189</c:f>
              <c:numCache>
                <c:formatCode>[$-409]mmm\-yy;@</c:formatCode>
                <c:ptCount val="9"/>
                <c:pt idx="0">
                  <c:v>42551</c:v>
                </c:pt>
                <c:pt idx="1">
                  <c:v>42643</c:v>
                </c:pt>
                <c:pt idx="2">
                  <c:v>42735</c:v>
                </c:pt>
                <c:pt idx="3">
                  <c:v>42825</c:v>
                </c:pt>
                <c:pt idx="4">
                  <c:v>42916</c:v>
                </c:pt>
                <c:pt idx="5">
                  <c:v>43008</c:v>
                </c:pt>
                <c:pt idx="6">
                  <c:v>43100</c:v>
                </c:pt>
                <c:pt idx="7">
                  <c:v>43190</c:v>
                </c:pt>
                <c:pt idx="8">
                  <c:v>43281</c:v>
                </c:pt>
              </c:numCache>
            </c:numRef>
          </c:cat>
          <c:val>
            <c:numRef>
              <c:f>'Screener Output.v0'!$D$193:$L$193</c:f>
              <c:numCache>
                <c:formatCode>0%</c:formatCode>
                <c:ptCount val="9"/>
                <c:pt idx="3">
                  <c:v>-3.5039609993906096E-2</c:v>
                </c:pt>
                <c:pt idx="4">
                  <c:v>1.000540832882657E-2</c:v>
                </c:pt>
                <c:pt idx="5">
                  <c:v>0.18991097922848654</c:v>
                </c:pt>
                <c:pt idx="6">
                  <c:v>0.5686113393590797</c:v>
                </c:pt>
                <c:pt idx="7">
                  <c:v>0.68803283864856324</c:v>
                </c:pt>
                <c:pt idx="8">
                  <c:v>0.23025435073627842</c:v>
                </c:pt>
              </c:numCache>
            </c:numRef>
          </c:val>
          <c:smooth val="0"/>
        </c:ser>
        <c:dLbls>
          <c:showLegendKey val="0"/>
          <c:showVal val="0"/>
          <c:showCatName val="0"/>
          <c:showSerName val="0"/>
          <c:showPercent val="0"/>
          <c:showBubbleSize val="0"/>
        </c:dLbls>
        <c:marker val="1"/>
        <c:smooth val="0"/>
        <c:axId val="476472320"/>
        <c:axId val="476464160"/>
      </c:lineChart>
      <c:dateAx>
        <c:axId val="476469056"/>
        <c:scaling>
          <c:orientation val="minMax"/>
        </c:scaling>
        <c:delete val="0"/>
        <c:axPos val="b"/>
        <c:numFmt formatCode="[$-409]mmm\-yy;@"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n-US"/>
          </a:p>
        </c:txPr>
        <c:crossAx val="476472864"/>
        <c:crosses val="autoZero"/>
        <c:auto val="1"/>
        <c:lblOffset val="100"/>
        <c:baseTimeUnit val="months"/>
        <c:majorUnit val="3"/>
        <c:majorTimeUnit val="months"/>
      </c:dateAx>
      <c:valAx>
        <c:axId val="47647286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476469056"/>
        <c:crosses val="autoZero"/>
        <c:crossBetween val="between"/>
      </c:valAx>
      <c:valAx>
        <c:axId val="476464160"/>
        <c:scaling>
          <c:orientation val="minMax"/>
          <c:max val="0.60000000000000009"/>
          <c:min val="-0.60000000000000009"/>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476472320"/>
        <c:crosses val="max"/>
        <c:crossBetween val="between"/>
        <c:majorUnit val="0.2"/>
      </c:valAx>
      <c:dateAx>
        <c:axId val="476472320"/>
        <c:scaling>
          <c:orientation val="minMax"/>
        </c:scaling>
        <c:delete val="1"/>
        <c:axPos val="b"/>
        <c:numFmt formatCode="[$-409]mmm\-yy;@" sourceLinked="1"/>
        <c:majorTickMark val="out"/>
        <c:minorTickMark val="none"/>
        <c:tickLblPos val="nextTo"/>
        <c:crossAx val="476464160"/>
        <c:crosses val="autoZero"/>
        <c:auto val="1"/>
        <c:lblOffset val="100"/>
        <c:baseTimeUnit val="months"/>
      </c:dateAx>
      <c:spPr>
        <a:noFill/>
        <a:ln>
          <a:noFill/>
        </a:ln>
        <a:effectLst/>
      </c:spPr>
    </c:plotArea>
    <c:legend>
      <c:legendPos val="b"/>
      <c:layout>
        <c:manualLayout>
          <c:xMode val="edge"/>
          <c:yMode val="edge"/>
          <c:x val="6.0258501841719062E-4"/>
          <c:y val="0.92187445319335082"/>
          <c:w val="0.28785147598564992"/>
          <c:h val="7.8125546806649182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45682556828414E-2"/>
          <c:y val="4.8420618934261125E-2"/>
          <c:w val="0.89940532704170106"/>
          <c:h val="0.80740004883110539"/>
        </c:manualLayout>
      </c:layout>
      <c:barChart>
        <c:barDir val="col"/>
        <c:grouping val="percentStacked"/>
        <c:varyColors val="0"/>
        <c:ser>
          <c:idx val="1"/>
          <c:order val="0"/>
          <c:tx>
            <c:strRef>
              <c:f>'Screener Output.v0'!$A$130</c:f>
              <c:strCache>
                <c:ptCount val="1"/>
                <c:pt idx="0">
                  <c:v>Depreciation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'Screener Output.v0'!$B$129:$M$129</c:f>
              <c:strCache>
                <c:ptCount val="12"/>
                <c:pt idx="1">
                  <c:v>Mar-09</c:v>
                </c:pt>
                <c:pt idx="2">
                  <c:v>Mar-10</c:v>
                </c:pt>
                <c:pt idx="3">
                  <c:v>Mar-11</c:v>
                </c:pt>
                <c:pt idx="4">
                  <c:v>Mar-12</c:v>
                </c:pt>
                <c:pt idx="5">
                  <c:v>Mar-13</c:v>
                </c:pt>
                <c:pt idx="6">
                  <c:v>Mar-14</c:v>
                </c:pt>
                <c:pt idx="7">
                  <c:v>Mar-15</c:v>
                </c:pt>
                <c:pt idx="8">
                  <c:v>Mar-16</c:v>
                </c:pt>
                <c:pt idx="9">
                  <c:v>Mar-17</c:v>
                </c:pt>
                <c:pt idx="10">
                  <c:v>Mar-18</c:v>
                </c:pt>
                <c:pt idx="11">
                  <c:v>TTM</c:v>
                </c:pt>
              </c:strCache>
            </c:strRef>
          </c:cat>
          <c:val>
            <c:numRef>
              <c:f>'Screener Output.v0'!$B$130:$M$130</c:f>
              <c:numCache>
                <c:formatCode>0%</c:formatCode>
                <c:ptCount val="12"/>
                <c:pt idx="1">
                  <c:v>0.19540873460246372</c:v>
                </c:pt>
                <c:pt idx="2">
                  <c:v>0.16304577093440195</c:v>
                </c:pt>
                <c:pt idx="3">
                  <c:v>0.28946278138378706</c:v>
                </c:pt>
                <c:pt idx="4">
                  <c:v>0.24249422632794465</c:v>
                </c:pt>
                <c:pt idx="5">
                  <c:v>0.2299576156551538</c:v>
                </c:pt>
                <c:pt idx="6">
                  <c:v>0.20866537199491061</c:v>
                </c:pt>
                <c:pt idx="7">
                  <c:v>0.19848771266540638</c:v>
                </c:pt>
                <c:pt idx="8">
                  <c:v>0.19030694668820675</c:v>
                </c:pt>
                <c:pt idx="9">
                  <c:v>0.21045313266808427</c:v>
                </c:pt>
                <c:pt idx="10">
                  <c:v>0.17726308921872458</c:v>
                </c:pt>
                <c:pt idx="11">
                  <c:v>0.17143481791492285</c:v>
                </c:pt>
              </c:numCache>
            </c:numRef>
          </c:val>
        </c:ser>
        <c:ser>
          <c:idx val="2"/>
          <c:order val="1"/>
          <c:tx>
            <c:strRef>
              <c:f>'Screener Output.v0'!$A$131</c:f>
              <c:strCache>
                <c:ptCount val="1"/>
                <c:pt idx="0">
                  <c:v>Interest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'Screener Output.v0'!$B$129:$M$129</c:f>
              <c:strCache>
                <c:ptCount val="12"/>
                <c:pt idx="1">
                  <c:v>Mar-09</c:v>
                </c:pt>
                <c:pt idx="2">
                  <c:v>Mar-10</c:v>
                </c:pt>
                <c:pt idx="3">
                  <c:v>Mar-11</c:v>
                </c:pt>
                <c:pt idx="4">
                  <c:v>Mar-12</c:v>
                </c:pt>
                <c:pt idx="5">
                  <c:v>Mar-13</c:v>
                </c:pt>
                <c:pt idx="6">
                  <c:v>Mar-14</c:v>
                </c:pt>
                <c:pt idx="7">
                  <c:v>Mar-15</c:v>
                </c:pt>
                <c:pt idx="8">
                  <c:v>Mar-16</c:v>
                </c:pt>
                <c:pt idx="9">
                  <c:v>Mar-17</c:v>
                </c:pt>
                <c:pt idx="10">
                  <c:v>Mar-18</c:v>
                </c:pt>
                <c:pt idx="11">
                  <c:v>TTM</c:v>
                </c:pt>
              </c:strCache>
            </c:strRef>
          </c:cat>
          <c:val>
            <c:numRef>
              <c:f>'Screener Output.v0'!$B$131:$M$131</c:f>
              <c:numCache>
                <c:formatCode>0%</c:formatCode>
                <c:ptCount val="12"/>
                <c:pt idx="1">
                  <c:v>0.3566629339305713</c:v>
                </c:pt>
                <c:pt idx="2">
                  <c:v>0.26945792026998511</c:v>
                </c:pt>
                <c:pt idx="3">
                  <c:v>0.21972103300649104</c:v>
                </c:pt>
                <c:pt idx="4">
                  <c:v>0.19598992231786697</c:v>
                </c:pt>
                <c:pt idx="5">
                  <c:v>0.15961763910181262</c:v>
                </c:pt>
                <c:pt idx="6">
                  <c:v>0.1517444585816648</c:v>
                </c:pt>
                <c:pt idx="7">
                  <c:v>9.1931151129240857E-2</c:v>
                </c:pt>
                <c:pt idx="8">
                  <c:v>9.2447495961227782E-2</c:v>
                </c:pt>
                <c:pt idx="9">
                  <c:v>6.1467364632749828E-2</c:v>
                </c:pt>
                <c:pt idx="10">
                  <c:v>2.802152992986463E-2</c:v>
                </c:pt>
                <c:pt idx="11">
                  <c:v>2.5704291336123432E-2</c:v>
                </c:pt>
              </c:numCache>
            </c:numRef>
          </c:val>
        </c:ser>
        <c:ser>
          <c:idx val="3"/>
          <c:order val="2"/>
          <c:tx>
            <c:strRef>
              <c:f>'Screener Output.v0'!$A$132</c:f>
              <c:strCache>
                <c:ptCount val="1"/>
                <c:pt idx="0">
                  <c:v>Taxes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'Screener Output.v0'!$B$129:$M$129</c:f>
              <c:strCache>
                <c:ptCount val="12"/>
                <c:pt idx="1">
                  <c:v>Mar-09</c:v>
                </c:pt>
                <c:pt idx="2">
                  <c:v>Mar-10</c:v>
                </c:pt>
                <c:pt idx="3">
                  <c:v>Mar-11</c:v>
                </c:pt>
                <c:pt idx="4">
                  <c:v>Mar-12</c:v>
                </c:pt>
                <c:pt idx="5">
                  <c:v>Mar-13</c:v>
                </c:pt>
                <c:pt idx="6">
                  <c:v>Mar-14</c:v>
                </c:pt>
                <c:pt idx="7">
                  <c:v>Mar-15</c:v>
                </c:pt>
                <c:pt idx="8">
                  <c:v>Mar-16</c:v>
                </c:pt>
                <c:pt idx="9">
                  <c:v>Mar-17</c:v>
                </c:pt>
                <c:pt idx="10">
                  <c:v>Mar-18</c:v>
                </c:pt>
                <c:pt idx="11">
                  <c:v>TTM</c:v>
                </c:pt>
              </c:strCache>
            </c:strRef>
          </c:cat>
          <c:val>
            <c:numRef>
              <c:f>'Screener Output.v0'!$B$132:$M$132</c:f>
              <c:numCache>
                <c:formatCode>0%</c:formatCode>
                <c:ptCount val="12"/>
                <c:pt idx="1">
                  <c:v>0.18234415826801054</c:v>
                </c:pt>
                <c:pt idx="2">
                  <c:v>0.1700063277789495</c:v>
                </c:pt>
                <c:pt idx="3">
                  <c:v>0.12194448280624236</c:v>
                </c:pt>
                <c:pt idx="4">
                  <c:v>0.14266218769682976</c:v>
                </c:pt>
                <c:pt idx="5">
                  <c:v>0.20633059788980071</c:v>
                </c:pt>
                <c:pt idx="6">
                  <c:v>0.20022768365365298</c:v>
                </c:pt>
                <c:pt idx="7">
                  <c:v>0.19699532384837326</c:v>
                </c:pt>
                <c:pt idx="8">
                  <c:v>0.23146203554119546</c:v>
                </c:pt>
                <c:pt idx="9">
                  <c:v>0.23752658269262208</c:v>
                </c:pt>
                <c:pt idx="10">
                  <c:v>0.26928722883705764</c:v>
                </c:pt>
                <c:pt idx="11">
                  <c:v>0.27294022112561678</c:v>
                </c:pt>
              </c:numCache>
            </c:numRef>
          </c:val>
        </c:ser>
        <c:ser>
          <c:idx val="4"/>
          <c:order val="3"/>
          <c:tx>
            <c:strRef>
              <c:f>'Screener Output.v0'!$A$133</c:f>
              <c:strCache>
                <c:ptCount val="1"/>
                <c:pt idx="0">
                  <c:v>Net Profit</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'Screener Output.v0'!$B$129:$M$129</c:f>
              <c:strCache>
                <c:ptCount val="12"/>
                <c:pt idx="1">
                  <c:v>Mar-09</c:v>
                </c:pt>
                <c:pt idx="2">
                  <c:v>Mar-10</c:v>
                </c:pt>
                <c:pt idx="3">
                  <c:v>Mar-11</c:v>
                </c:pt>
                <c:pt idx="4">
                  <c:v>Mar-12</c:v>
                </c:pt>
                <c:pt idx="5">
                  <c:v>Mar-13</c:v>
                </c:pt>
                <c:pt idx="6">
                  <c:v>Mar-14</c:v>
                </c:pt>
                <c:pt idx="7">
                  <c:v>Mar-15</c:v>
                </c:pt>
                <c:pt idx="8">
                  <c:v>Mar-16</c:v>
                </c:pt>
                <c:pt idx="9">
                  <c:v>Mar-17</c:v>
                </c:pt>
                <c:pt idx="10">
                  <c:v>Mar-18</c:v>
                </c:pt>
                <c:pt idx="11">
                  <c:v>TTM</c:v>
                </c:pt>
              </c:strCache>
            </c:strRef>
          </c:cat>
          <c:val>
            <c:numRef>
              <c:f>'Screener Output.v0'!$B$133:$M$133</c:f>
              <c:numCache>
                <c:formatCode>0%</c:formatCode>
                <c:ptCount val="12"/>
                <c:pt idx="1">
                  <c:v>0.26558417319895444</c:v>
                </c:pt>
                <c:pt idx="2">
                  <c:v>0.39748998101666339</c:v>
                </c:pt>
                <c:pt idx="3">
                  <c:v>0.36887170280347947</c:v>
                </c:pt>
                <c:pt idx="4">
                  <c:v>0.41885366365735854</c:v>
                </c:pt>
                <c:pt idx="5">
                  <c:v>0.4040941473532329</c:v>
                </c:pt>
                <c:pt idx="6">
                  <c:v>0.4393624857697716</c:v>
                </c:pt>
                <c:pt idx="7">
                  <c:v>0.51258581235697953</c:v>
                </c:pt>
                <c:pt idx="8">
                  <c:v>0.48578352180937001</c:v>
                </c:pt>
                <c:pt idx="9">
                  <c:v>0.49055292000654377</c:v>
                </c:pt>
                <c:pt idx="10">
                  <c:v>0.52542815201435311</c:v>
                </c:pt>
                <c:pt idx="11">
                  <c:v>0.52992066962333695</c:v>
                </c:pt>
              </c:numCache>
            </c:numRef>
          </c:val>
        </c:ser>
        <c:dLbls>
          <c:dLblPos val="ctr"/>
          <c:showLegendKey val="0"/>
          <c:showVal val="1"/>
          <c:showCatName val="0"/>
          <c:showSerName val="0"/>
          <c:showPercent val="0"/>
          <c:showBubbleSize val="0"/>
        </c:dLbls>
        <c:gapWidth val="150"/>
        <c:overlap val="100"/>
        <c:axId val="476473408"/>
        <c:axId val="476469600"/>
      </c:barChart>
      <c:catAx>
        <c:axId val="4764734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469600"/>
        <c:crosses val="autoZero"/>
        <c:auto val="1"/>
        <c:lblAlgn val="ctr"/>
        <c:lblOffset val="100"/>
        <c:noMultiLvlLbl val="1"/>
      </c:catAx>
      <c:valAx>
        <c:axId val="476469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473408"/>
        <c:crosses val="autoZero"/>
        <c:crossBetween val="between"/>
      </c:valAx>
      <c:spPr>
        <a:noFill/>
        <a:ln>
          <a:noFill/>
        </a:ln>
        <a:effectLst/>
      </c:spPr>
    </c:plotArea>
    <c:legend>
      <c:legendPos val="b"/>
      <c:layout>
        <c:manualLayout>
          <c:xMode val="edge"/>
          <c:yMode val="edge"/>
          <c:x val="0.14127777777777778"/>
          <c:y val="0.92187445319335082"/>
          <c:w val="0.71744422572178479"/>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312228429546864E-2"/>
          <c:y val="5.0925925925925923E-2"/>
          <c:w val="0.94537554314090622"/>
          <c:h val="0.80521580635753864"/>
        </c:manualLayout>
      </c:layout>
      <c:lineChart>
        <c:grouping val="standard"/>
        <c:varyColors val="0"/>
        <c:ser>
          <c:idx val="0"/>
          <c:order val="0"/>
          <c:tx>
            <c:strRef>
              <c:f>'Screener Output.v0'!$A$126</c:f>
              <c:strCache>
                <c:ptCount val="1"/>
                <c:pt idx="0">
                  <c:v>OP Margin</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'Screener Output.v0'!$B$125:$M$125</c:f>
              <c:strCache>
                <c:ptCount val="12"/>
                <c:pt idx="1">
                  <c:v>Mar-09</c:v>
                </c:pt>
                <c:pt idx="2">
                  <c:v>Mar-10</c:v>
                </c:pt>
                <c:pt idx="3">
                  <c:v>Mar-11</c:v>
                </c:pt>
                <c:pt idx="4">
                  <c:v>Mar-12</c:v>
                </c:pt>
                <c:pt idx="5">
                  <c:v>Mar-13</c:v>
                </c:pt>
                <c:pt idx="6">
                  <c:v>Mar-14</c:v>
                </c:pt>
                <c:pt idx="7">
                  <c:v>Mar-15</c:v>
                </c:pt>
                <c:pt idx="8">
                  <c:v>Mar-16</c:v>
                </c:pt>
                <c:pt idx="9">
                  <c:v>Mar-17</c:v>
                </c:pt>
                <c:pt idx="10">
                  <c:v>Mar-18</c:v>
                </c:pt>
                <c:pt idx="11">
                  <c:v>TTM</c:v>
                </c:pt>
              </c:strCache>
            </c:strRef>
          </c:cat>
          <c:val>
            <c:numRef>
              <c:f>'Screener Output.v0'!$B$126:$M$126</c:f>
              <c:numCache>
                <c:formatCode>0%</c:formatCode>
                <c:ptCount val="12"/>
                <c:pt idx="1">
                  <c:v>0.13149757031365036</c:v>
                </c:pt>
                <c:pt idx="2">
                  <c:v>0.17124796821383428</c:v>
                </c:pt>
                <c:pt idx="3">
                  <c:v>0.10706628617054299</c:v>
                </c:pt>
                <c:pt idx="4">
                  <c:v>0.11276842578781635</c:v>
                </c:pt>
                <c:pt idx="5">
                  <c:v>0.11303425991050221</c:v>
                </c:pt>
                <c:pt idx="6">
                  <c:v>0.12660234671730872</c:v>
                </c:pt>
                <c:pt idx="7">
                  <c:v>0.13951777460057471</c:v>
                </c:pt>
                <c:pt idx="8">
                  <c:v>0.14846794987107995</c:v>
                </c:pt>
                <c:pt idx="9">
                  <c:v>0.14990650767863176</c:v>
                </c:pt>
                <c:pt idx="10">
                  <c:v>0.1566492242912331</c:v>
                </c:pt>
                <c:pt idx="11">
                  <c:v>0.15691713551978984</c:v>
                </c:pt>
              </c:numCache>
            </c:numRef>
          </c:val>
          <c:smooth val="0"/>
        </c:ser>
        <c:ser>
          <c:idx val="1"/>
          <c:order val="1"/>
          <c:tx>
            <c:strRef>
              <c:f>'Screener Output.v0'!$A$127</c:f>
              <c:strCache>
                <c:ptCount val="1"/>
                <c:pt idx="0">
                  <c:v>NP Margin</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'Screener Output.v0'!$B$125:$M$125</c:f>
              <c:strCache>
                <c:ptCount val="12"/>
                <c:pt idx="1">
                  <c:v>Mar-09</c:v>
                </c:pt>
                <c:pt idx="2">
                  <c:v>Mar-10</c:v>
                </c:pt>
                <c:pt idx="3">
                  <c:v>Mar-11</c:v>
                </c:pt>
                <c:pt idx="4">
                  <c:v>Mar-12</c:v>
                </c:pt>
                <c:pt idx="5">
                  <c:v>Mar-13</c:v>
                </c:pt>
                <c:pt idx="6">
                  <c:v>Mar-14</c:v>
                </c:pt>
                <c:pt idx="7">
                  <c:v>Mar-15</c:v>
                </c:pt>
                <c:pt idx="8">
                  <c:v>Mar-16</c:v>
                </c:pt>
                <c:pt idx="9">
                  <c:v>Mar-17</c:v>
                </c:pt>
                <c:pt idx="10">
                  <c:v>Mar-18</c:v>
                </c:pt>
                <c:pt idx="11">
                  <c:v>TTM</c:v>
                </c:pt>
              </c:strCache>
            </c:strRef>
          </c:cat>
          <c:val>
            <c:numRef>
              <c:f>'Screener Output.v0'!$B$127:$M$127</c:f>
              <c:numCache>
                <c:formatCode>0%</c:formatCode>
                <c:ptCount val="12"/>
                <c:pt idx="1">
                  <c:v>3.4703084989635348E-2</c:v>
                </c:pt>
                <c:pt idx="2">
                  <c:v>6.7566598544333362E-2</c:v>
                </c:pt>
                <c:pt idx="3">
                  <c:v>3.9463380760308975E-2</c:v>
                </c:pt>
                <c:pt idx="4">
                  <c:v>4.7174830631717055E-2</c:v>
                </c:pt>
                <c:pt idx="5">
                  <c:v>4.5626253678304862E-2</c:v>
                </c:pt>
                <c:pt idx="6">
                  <c:v>5.5514189497910066E-2</c:v>
                </c:pt>
                <c:pt idx="7">
                  <c:v>7.1495479492926117E-2</c:v>
                </c:pt>
                <c:pt idx="8">
                  <c:v>7.1790953910064362E-2</c:v>
                </c:pt>
                <c:pt idx="9">
                  <c:v>7.2928573165689931E-2</c:v>
                </c:pt>
                <c:pt idx="10">
                  <c:v>8.2120751715628729E-2</c:v>
                </c:pt>
                <c:pt idx="11">
                  <c:v>8.2904972246110556E-2</c:v>
                </c:pt>
              </c:numCache>
            </c:numRef>
          </c:val>
          <c:smooth val="0"/>
        </c:ser>
        <c:dLbls>
          <c:dLblPos val="ctr"/>
          <c:showLegendKey val="0"/>
          <c:showVal val="1"/>
          <c:showCatName val="0"/>
          <c:showSerName val="0"/>
          <c:showPercent val="0"/>
          <c:showBubbleSize val="0"/>
        </c:dLbls>
        <c:marker val="1"/>
        <c:smooth val="0"/>
        <c:axId val="476466880"/>
        <c:axId val="476467424"/>
      </c:lineChart>
      <c:catAx>
        <c:axId val="476466880"/>
        <c:scaling>
          <c:orientation val="minMax"/>
        </c:scaling>
        <c:delete val="0"/>
        <c:axPos val="b"/>
        <c:numFmt formatCode="General"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dk1">
                    <a:lumMod val="75000"/>
                    <a:lumOff val="25000"/>
                  </a:schemeClr>
                </a:solidFill>
                <a:latin typeface="+mn-lt"/>
                <a:ea typeface="+mn-ea"/>
                <a:cs typeface="+mn-cs"/>
              </a:defRPr>
            </a:pPr>
            <a:endParaRPr lang="en-US"/>
          </a:p>
        </c:txPr>
        <c:crossAx val="476467424"/>
        <c:crosses val="autoZero"/>
        <c:auto val="1"/>
        <c:lblAlgn val="ctr"/>
        <c:lblOffset val="100"/>
        <c:noMultiLvlLbl val="1"/>
      </c:catAx>
      <c:valAx>
        <c:axId val="4764674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476466880"/>
        <c:crosses val="autoZero"/>
        <c:crossBetween val="between"/>
      </c:valAx>
      <c:spPr>
        <a:noFill/>
        <a:ln>
          <a:noFill/>
        </a:ln>
        <a:effectLst/>
      </c:spPr>
    </c:plotArea>
    <c:legend>
      <c:legendPos val="b"/>
      <c:layout>
        <c:manualLayout>
          <c:xMode val="edge"/>
          <c:yMode val="edge"/>
          <c:x val="0.31346696188116152"/>
          <c:y val="0.92187445319335082"/>
          <c:w val="0.37306607623767701"/>
          <c:h val="7.8125546806649168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Dupont!$B$8</c:f>
              <c:strCache>
                <c:ptCount val="1"/>
                <c:pt idx="0">
                  <c:v>Asset Turnover</c:v>
                </c:pt>
              </c:strCache>
            </c:strRef>
          </c:tx>
          <c:spPr>
            <a:solidFill>
              <a:srgbClr val="00B050"/>
            </a:solidFill>
            <a:ln>
              <a:noFill/>
            </a:ln>
            <a:effectLst/>
          </c:spPr>
          <c:invertIfNegative val="0"/>
          <c:cat>
            <c:strRef>
              <c:f>Dupont!$C$6:$G$6</c:f>
              <c:strCache>
                <c:ptCount val="5"/>
                <c:pt idx="0">
                  <c:v>CY-4</c:v>
                </c:pt>
                <c:pt idx="1">
                  <c:v>CY-3</c:v>
                </c:pt>
                <c:pt idx="2">
                  <c:v>CY-2</c:v>
                </c:pt>
                <c:pt idx="3">
                  <c:v>CY-1</c:v>
                </c:pt>
                <c:pt idx="4">
                  <c:v>CY0</c:v>
                </c:pt>
              </c:strCache>
            </c:strRef>
          </c:cat>
          <c:val>
            <c:numRef>
              <c:f>Dupont!$C$8:$G$8</c:f>
              <c:numCache>
                <c:formatCode>0.00</c:formatCode>
                <c:ptCount val="5"/>
                <c:pt idx="0">
                  <c:v>1.7742182456877784</c:v>
                </c:pt>
                <c:pt idx="1">
                  <c:v>1.6879157687622974</c:v>
                </c:pt>
                <c:pt idx="2">
                  <c:v>1.6525324259012675</c:v>
                </c:pt>
                <c:pt idx="3">
                  <c:v>1.5071427916907203</c:v>
                </c:pt>
                <c:pt idx="4">
                  <c:v>1.520720748660614</c:v>
                </c:pt>
              </c:numCache>
            </c:numRef>
          </c:val>
        </c:ser>
        <c:ser>
          <c:idx val="2"/>
          <c:order val="2"/>
          <c:tx>
            <c:strRef>
              <c:f>Dupont!$B$9</c:f>
              <c:strCache>
                <c:ptCount val="1"/>
                <c:pt idx="0">
                  <c:v>Equity Multiplier</c:v>
                </c:pt>
              </c:strCache>
            </c:strRef>
          </c:tx>
          <c:spPr>
            <a:solidFill>
              <a:schemeClr val="bg1">
                <a:lumMod val="65000"/>
              </a:schemeClr>
            </a:solidFill>
            <a:ln>
              <a:noFill/>
            </a:ln>
            <a:effectLst/>
          </c:spPr>
          <c:invertIfNegative val="0"/>
          <c:cat>
            <c:strRef>
              <c:f>Dupont!$C$6:$G$6</c:f>
              <c:strCache>
                <c:ptCount val="5"/>
                <c:pt idx="0">
                  <c:v>CY-4</c:v>
                </c:pt>
                <c:pt idx="1">
                  <c:v>CY-3</c:v>
                </c:pt>
                <c:pt idx="2">
                  <c:v>CY-2</c:v>
                </c:pt>
                <c:pt idx="3">
                  <c:v>CY-1</c:v>
                </c:pt>
                <c:pt idx="4">
                  <c:v>CY0</c:v>
                </c:pt>
              </c:strCache>
            </c:strRef>
          </c:cat>
          <c:val>
            <c:numRef>
              <c:f>Dupont!$C$9:$G$9</c:f>
              <c:numCache>
                <c:formatCode>0.00</c:formatCode>
                <c:ptCount val="5"/>
                <c:pt idx="0">
                  <c:v>2.4086274226207696</c:v>
                </c:pt>
                <c:pt idx="1">
                  <c:v>2.3213528356261217</c:v>
                </c:pt>
                <c:pt idx="2">
                  <c:v>2.1122755114796448</c:v>
                </c:pt>
                <c:pt idx="3">
                  <c:v>1.7997427313356531</c:v>
                </c:pt>
                <c:pt idx="4">
                  <c:v>1.694368176981385</c:v>
                </c:pt>
              </c:numCache>
            </c:numRef>
          </c:val>
        </c:ser>
        <c:dLbls>
          <c:showLegendKey val="0"/>
          <c:showVal val="0"/>
          <c:showCatName val="0"/>
          <c:showSerName val="0"/>
          <c:showPercent val="0"/>
          <c:showBubbleSize val="0"/>
        </c:dLbls>
        <c:gapWidth val="247"/>
        <c:axId val="476473952"/>
        <c:axId val="476476128"/>
      </c:barChart>
      <c:lineChart>
        <c:grouping val="standard"/>
        <c:varyColors val="0"/>
        <c:ser>
          <c:idx val="0"/>
          <c:order val="0"/>
          <c:tx>
            <c:strRef>
              <c:f>Dupont!$B$7</c:f>
              <c:strCache>
                <c:ptCount val="1"/>
                <c:pt idx="0">
                  <c:v>NPM</c:v>
                </c:pt>
              </c:strCache>
            </c:strRef>
          </c:tx>
          <c:spPr>
            <a:ln w="22225" cap="rnd">
              <a:solidFill>
                <a:schemeClr val="accent1"/>
              </a:solidFill>
              <a:round/>
            </a:ln>
            <a:effectLst/>
          </c:spPr>
          <c:marker>
            <c:symbol val="circle"/>
            <c:size val="6"/>
            <c:spPr>
              <a:solidFill>
                <a:schemeClr val="lt1"/>
              </a:solidFill>
              <a:ln w="15875">
                <a:solidFill>
                  <a:schemeClr val="accent1"/>
                </a:solidFill>
                <a:round/>
              </a:ln>
              <a:effectLst/>
            </c:spPr>
          </c:marker>
          <c:cat>
            <c:strRef>
              <c:f>Dupont!$C$6:$G$6</c:f>
              <c:strCache>
                <c:ptCount val="5"/>
                <c:pt idx="0">
                  <c:v>CY-4</c:v>
                </c:pt>
                <c:pt idx="1">
                  <c:v>CY-3</c:v>
                </c:pt>
                <c:pt idx="2">
                  <c:v>CY-2</c:v>
                </c:pt>
                <c:pt idx="3">
                  <c:v>CY-1</c:v>
                </c:pt>
                <c:pt idx="4">
                  <c:v>CY0</c:v>
                </c:pt>
              </c:strCache>
            </c:strRef>
          </c:cat>
          <c:val>
            <c:numRef>
              <c:f>Dupont!$C$7:$G$7</c:f>
              <c:numCache>
                <c:formatCode>0%</c:formatCode>
                <c:ptCount val="5"/>
                <c:pt idx="0">
                  <c:v>5.5624321758003241E-2</c:v>
                </c:pt>
                <c:pt idx="1">
                  <c:v>7.1514831831873557E-2</c:v>
                </c:pt>
                <c:pt idx="2">
                  <c:v>7.2123283564190219E-2</c:v>
                </c:pt>
                <c:pt idx="3">
                  <c:v>7.3537075069736182E-2</c:v>
                </c:pt>
                <c:pt idx="4">
                  <c:v>8.2307912433824515E-2</c:v>
                </c:pt>
              </c:numCache>
            </c:numRef>
          </c:val>
          <c:smooth val="0"/>
        </c:ser>
        <c:ser>
          <c:idx val="3"/>
          <c:order val="3"/>
          <c:tx>
            <c:strRef>
              <c:f>Dupont!$B$10</c:f>
              <c:strCache>
                <c:ptCount val="1"/>
                <c:pt idx="0">
                  <c:v>ROE</c:v>
                </c:pt>
              </c:strCache>
            </c:strRef>
          </c:tx>
          <c:spPr>
            <a:ln w="22225" cap="rnd">
              <a:solidFill>
                <a:schemeClr val="tx1"/>
              </a:solidFill>
              <a:round/>
            </a:ln>
            <a:effectLst/>
          </c:spPr>
          <c:marker>
            <c:symbol val="circle"/>
            <c:size val="6"/>
            <c:spPr>
              <a:solidFill>
                <a:schemeClr val="lt1"/>
              </a:solidFill>
              <a:ln w="15875">
                <a:solidFill>
                  <a:schemeClr val="accent4"/>
                </a:solidFill>
                <a:round/>
              </a:ln>
              <a:effectLst/>
            </c:spPr>
          </c:marker>
          <c:cat>
            <c:strRef>
              <c:f>Dupont!$C$6:$G$6</c:f>
              <c:strCache>
                <c:ptCount val="5"/>
                <c:pt idx="0">
                  <c:v>CY-4</c:v>
                </c:pt>
                <c:pt idx="1">
                  <c:v>CY-3</c:v>
                </c:pt>
                <c:pt idx="2">
                  <c:v>CY-2</c:v>
                </c:pt>
                <c:pt idx="3">
                  <c:v>CY-1</c:v>
                </c:pt>
                <c:pt idx="4">
                  <c:v>CY0</c:v>
                </c:pt>
              </c:strCache>
            </c:strRef>
          </c:cat>
          <c:val>
            <c:numRef>
              <c:f>Dupont!$C$10:$G$10</c:f>
              <c:numCache>
                <c:formatCode>0%</c:formatCode>
                <c:ptCount val="5"/>
                <c:pt idx="0">
                  <c:v>0.23770668539526218</c:v>
                </c:pt>
                <c:pt idx="1">
                  <c:v>0.2802128508085871</c:v>
                </c:pt>
                <c:pt idx="2">
                  <c:v>0.25175380588590268</c:v>
                </c:pt>
                <c:pt idx="3">
                  <c:v>0.19946705739350443</c:v>
                </c:pt>
                <c:pt idx="4">
                  <c:v>0.21207957500486693</c:v>
                </c:pt>
              </c:numCache>
            </c:numRef>
          </c:val>
          <c:smooth val="0"/>
        </c:ser>
        <c:dLbls>
          <c:showLegendKey val="0"/>
          <c:showVal val="0"/>
          <c:showCatName val="0"/>
          <c:showSerName val="0"/>
          <c:showPercent val="0"/>
          <c:showBubbleSize val="0"/>
        </c:dLbls>
        <c:marker val="1"/>
        <c:smooth val="0"/>
        <c:axId val="476467968"/>
        <c:axId val="476461440"/>
      </c:lineChart>
      <c:catAx>
        <c:axId val="476473952"/>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0"/>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cap="none" spc="0" normalizeH="0" baseline="0">
                <a:solidFill>
                  <a:schemeClr val="dk1">
                    <a:lumMod val="65000"/>
                    <a:lumOff val="35000"/>
                  </a:schemeClr>
                </a:solidFill>
                <a:latin typeface="+mn-lt"/>
                <a:ea typeface="+mn-ea"/>
                <a:cs typeface="+mn-cs"/>
              </a:defRPr>
            </a:pPr>
            <a:endParaRPr lang="en-US"/>
          </a:p>
        </c:txPr>
        <c:crossAx val="476476128"/>
        <c:crosses val="autoZero"/>
        <c:auto val="1"/>
        <c:lblAlgn val="ctr"/>
        <c:lblOffset val="100"/>
        <c:noMultiLvlLbl val="0"/>
      </c:catAx>
      <c:valAx>
        <c:axId val="476476128"/>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476473952"/>
        <c:crosses val="autoZero"/>
        <c:crossBetween val="between"/>
      </c:valAx>
      <c:valAx>
        <c:axId val="47646144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476467968"/>
        <c:crosses val="max"/>
        <c:crossBetween val="between"/>
      </c:valAx>
      <c:catAx>
        <c:axId val="476467968"/>
        <c:scaling>
          <c:orientation val="minMax"/>
        </c:scaling>
        <c:delete val="1"/>
        <c:axPos val="b"/>
        <c:numFmt formatCode="General" sourceLinked="1"/>
        <c:majorTickMark val="out"/>
        <c:minorTickMark val="none"/>
        <c:tickLblPos val="nextTo"/>
        <c:crossAx val="476461440"/>
        <c:crosses val="autoZero"/>
        <c:auto val="1"/>
        <c:lblAlgn val="ctr"/>
        <c:lblOffset val="100"/>
        <c:noMultiLvlLbl val="0"/>
      </c:cat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'Screener Output.v0'!$A$117:$B$117</c:f>
              <c:strCache>
                <c:ptCount val="2"/>
                <c:pt idx="0">
                  <c:v>Debt/PAT</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Output.v0'!$C$116:$L$116</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Output.v0'!$C$117:$L$117</c:f>
              <c:numCache>
                <c:formatCode>0.0</c:formatCode>
                <c:ptCount val="10"/>
                <c:pt idx="0">
                  <c:v>7.616303583977527</c:v>
                </c:pt>
                <c:pt idx="1">
                  <c:v>3.8973202440965728</c:v>
                </c:pt>
                <c:pt idx="2">
                  <c:v>6.8172968925496269</c:v>
                </c:pt>
                <c:pt idx="3">
                  <c:v>4.3909774436090263</c:v>
                </c:pt>
                <c:pt idx="4">
                  <c:v>5.0296808748047326</c:v>
                </c:pt>
                <c:pt idx="5">
                  <c:v>3.0231672001219332</c:v>
                </c:pt>
                <c:pt idx="6">
                  <c:v>2.323272515527949</c:v>
                </c:pt>
                <c:pt idx="7">
                  <c:v>1.9653308945793144</c:v>
                </c:pt>
                <c:pt idx="8">
                  <c:v>1.486786160900373</c:v>
                </c:pt>
                <c:pt idx="9">
                  <c:v>0.9521326131495631</c:v>
                </c:pt>
              </c:numCache>
            </c:numRef>
          </c:val>
          <c:smooth val="0"/>
        </c:ser>
        <c:dLbls>
          <c:dLblPos val="ctr"/>
          <c:showLegendKey val="0"/>
          <c:showVal val="1"/>
          <c:showCatName val="0"/>
          <c:showSerName val="0"/>
          <c:showPercent val="0"/>
          <c:showBubbleSize val="0"/>
        </c:dLbls>
        <c:marker val="1"/>
        <c:smooth val="0"/>
        <c:axId val="476470144"/>
        <c:axId val="476462528"/>
      </c:lineChart>
      <c:dateAx>
        <c:axId val="476470144"/>
        <c:scaling>
          <c:orientation val="minMax"/>
        </c:scaling>
        <c:delete val="0"/>
        <c:axPos val="b"/>
        <c:numFmt formatCode="[$-409]mmm\-yy;@"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76462528"/>
        <c:crosses val="autoZero"/>
        <c:auto val="1"/>
        <c:lblOffset val="100"/>
        <c:baseTimeUnit val="years"/>
      </c:dateAx>
      <c:valAx>
        <c:axId val="4764625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crossAx val="47647014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'Screener Output.v0'!$A$118:$B$118</c:f>
              <c:strCache>
                <c:ptCount val="2"/>
                <c:pt idx="0">
                  <c:v>CFO/PAT</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Output.v0'!$C$116:$L$116</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Output.v0'!$C$118:$L$118</c:f>
              <c:numCache>
                <c:formatCode>0.0</c:formatCode>
                <c:ptCount val="10"/>
                <c:pt idx="0">
                  <c:v>2.8847505270555218</c:v>
                </c:pt>
                <c:pt idx="1">
                  <c:v>1.9066065269302181</c:v>
                </c:pt>
                <c:pt idx="2">
                  <c:v>1.6360913515537301</c:v>
                </c:pt>
                <c:pt idx="3">
                  <c:v>1.8223057644110292</c:v>
                </c:pt>
                <c:pt idx="4">
                  <c:v>1.2053113144387417</c:v>
                </c:pt>
                <c:pt idx="5">
                  <c:v>1.9033683889650972</c:v>
                </c:pt>
                <c:pt idx="6">
                  <c:v>1.0430900621118009</c:v>
                </c:pt>
                <c:pt idx="7">
                  <c:v>1.3254905221150646</c:v>
                </c:pt>
                <c:pt idx="8">
                  <c:v>1.5022926219258002</c:v>
                </c:pt>
                <c:pt idx="9">
                  <c:v>0.95765816104799228</c:v>
                </c:pt>
              </c:numCache>
            </c:numRef>
          </c:val>
        </c:ser>
        <c:dLbls>
          <c:dLblPos val="inEnd"/>
          <c:showLegendKey val="0"/>
          <c:showVal val="1"/>
          <c:showCatName val="0"/>
          <c:showSerName val="0"/>
          <c:showPercent val="0"/>
          <c:showBubbleSize val="0"/>
        </c:dLbls>
        <c:gapWidth val="65"/>
        <c:axId val="476475040"/>
        <c:axId val="476463616"/>
      </c:barChart>
      <c:dateAx>
        <c:axId val="476475040"/>
        <c:scaling>
          <c:orientation val="minMax"/>
        </c:scaling>
        <c:delete val="0"/>
        <c:axPos val="b"/>
        <c:numFmt formatCode="[$-409]mmm\-yy;@"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76463616"/>
        <c:crosses val="autoZero"/>
        <c:auto val="1"/>
        <c:lblOffset val="100"/>
        <c:baseTimeUnit val="years"/>
      </c:dateAx>
      <c:valAx>
        <c:axId val="47646361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extTo"/>
        <c:crossAx val="47647504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'Screener Output.v0'!$A$119:$B$119</c:f>
              <c:strCache>
                <c:ptCount val="2"/>
                <c:pt idx="0">
                  <c:v>PAT/WC</c:v>
                </c:pt>
              </c:strCache>
            </c:strRef>
          </c:tx>
          <c:spPr>
            <a:ln w="2222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'Screener Output.v0'!$C$116:$L$116</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Output.v0'!$C$119:$L$119</c:f>
              <c:numCache>
                <c:formatCode>0%</c:formatCode>
                <c:ptCount val="10"/>
                <c:pt idx="0">
                  <c:v>0.61336206896551593</c:v>
                </c:pt>
                <c:pt idx="1">
                  <c:v>1.3294532627865978</c:v>
                </c:pt>
                <c:pt idx="2">
                  <c:v>0.56362101709221191</c:v>
                </c:pt>
                <c:pt idx="3">
                  <c:v>0.72585046388939356</c:v>
                </c:pt>
                <c:pt idx="4">
                  <c:v>0.50179171332586781</c:v>
                </c:pt>
                <c:pt idx="5">
                  <c:v>0.77379407949050583</c:v>
                </c:pt>
                <c:pt idx="6">
                  <c:v>0.7728193204830125</c:v>
                </c:pt>
                <c:pt idx="7">
                  <c:v>0.76557825727197548</c:v>
                </c:pt>
                <c:pt idx="8">
                  <c:v>0.66428531871296548</c:v>
                </c:pt>
                <c:pt idx="9">
                  <c:v>0.6406156783200091</c:v>
                </c:pt>
              </c:numCache>
            </c:numRef>
          </c:val>
          <c:smooth val="0"/>
        </c:ser>
        <c:dLbls>
          <c:dLblPos val="ctr"/>
          <c:showLegendKey val="0"/>
          <c:showVal val="1"/>
          <c:showCatName val="0"/>
          <c:showSerName val="0"/>
          <c:showPercent val="0"/>
          <c:showBubbleSize val="0"/>
        </c:dLbls>
        <c:smooth val="0"/>
        <c:axId val="476474496"/>
        <c:axId val="476476672"/>
      </c:lineChart>
      <c:dateAx>
        <c:axId val="476474496"/>
        <c:scaling>
          <c:orientation val="minMax"/>
        </c:scaling>
        <c:delete val="0"/>
        <c:axPos val="b"/>
        <c:numFmt formatCode="[$-409]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476476672"/>
        <c:crosses val="autoZero"/>
        <c:auto val="1"/>
        <c:lblOffset val="100"/>
        <c:baseTimeUnit val="years"/>
      </c:dateAx>
      <c:valAx>
        <c:axId val="476476672"/>
        <c:scaling>
          <c:orientation val="minMax"/>
        </c:scaling>
        <c:delete val="0"/>
        <c:axPos val="l"/>
        <c:majorGridlines>
          <c:spPr>
            <a:ln w="9525" cap="flat" cmpd="sng" algn="ctr">
              <a:solidFill>
                <a:schemeClr val="dk1">
                  <a:lumMod val="15000"/>
                  <a:lumOff val="85000"/>
                  <a:alpha val="54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47647449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'Screener Output.v0'!$A$121:$B$121</c:f>
              <c:strCache>
                <c:ptCount val="2"/>
                <c:pt idx="0">
                  <c:v>C Liability/C Asset</c:v>
                </c:pt>
              </c:strCache>
            </c:strRef>
          </c:tx>
          <c:spPr>
            <a:gradFill>
              <a:gsLst>
                <a:gs pos="0">
                  <a:schemeClr val="accent5"/>
                </a:gs>
                <a:gs pos="100000">
                  <a:schemeClr val="accent5">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Output.v0'!$C$116:$L$116</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Output.v0'!$C$121:$L$121</c:f>
              <c:numCache>
                <c:formatCode>0.00</c:formatCode>
                <c:ptCount val="10"/>
                <c:pt idx="0">
                  <c:v>0.70879879502949661</c:v>
                </c:pt>
                <c:pt idx="1">
                  <c:v>0.76274165202108968</c:v>
                </c:pt>
                <c:pt idx="2">
                  <c:v>0.72857961053837339</c:v>
                </c:pt>
                <c:pt idx="3">
                  <c:v>0.7084438315476822</c:v>
                </c:pt>
                <c:pt idx="4">
                  <c:v>0.63495891754895151</c:v>
                </c:pt>
                <c:pt idx="5">
                  <c:v>0.6928009854715409</c:v>
                </c:pt>
                <c:pt idx="6">
                  <c:v>0.64909464154121488</c:v>
                </c:pt>
                <c:pt idx="7">
                  <c:v>0.65439186959677964</c:v>
                </c:pt>
                <c:pt idx="8">
                  <c:v>0.62934909785085291</c:v>
                </c:pt>
                <c:pt idx="9">
                  <c:v>0.59875843799371242</c:v>
                </c:pt>
              </c:numCache>
            </c:numRef>
          </c:val>
        </c:ser>
        <c:dLbls>
          <c:dLblPos val="inEnd"/>
          <c:showLegendKey val="0"/>
          <c:showVal val="1"/>
          <c:showCatName val="0"/>
          <c:showSerName val="0"/>
          <c:showPercent val="0"/>
          <c:showBubbleSize val="0"/>
        </c:dLbls>
        <c:gapWidth val="41"/>
        <c:axId val="476463072"/>
        <c:axId val="476465792"/>
      </c:barChart>
      <c:dateAx>
        <c:axId val="476463072"/>
        <c:scaling>
          <c:orientation val="minMax"/>
        </c:scaling>
        <c:delete val="0"/>
        <c:axPos val="b"/>
        <c:numFmt formatCode="[$-409]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476465792"/>
        <c:crosses val="autoZero"/>
        <c:auto val="1"/>
        <c:lblOffset val="100"/>
        <c:baseTimeUnit val="years"/>
      </c:dateAx>
      <c:valAx>
        <c:axId val="476465792"/>
        <c:scaling>
          <c:orientation val="minMax"/>
        </c:scaling>
        <c:delete val="1"/>
        <c:axPos val="l"/>
        <c:numFmt formatCode="0.00" sourceLinked="1"/>
        <c:majorTickMark val="none"/>
        <c:minorTickMark val="none"/>
        <c:tickLblPos val="nextTo"/>
        <c:crossAx val="476463072"/>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'Screener Output.v0'!$A$106:$C$106</c:f>
              <c:strCache>
                <c:ptCount val="3"/>
                <c:pt idx="0">
                  <c:v>∆ WC</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Output.v0'!$D$105:$L$105</c:f>
              <c:numCache>
                <c:formatCode>[$-409]mmm\-yy;@</c:formatCode>
                <c:ptCount val="9"/>
                <c:pt idx="0">
                  <c:v>40238</c:v>
                </c:pt>
                <c:pt idx="1">
                  <c:v>40603</c:v>
                </c:pt>
                <c:pt idx="2">
                  <c:v>40969</c:v>
                </c:pt>
                <c:pt idx="3">
                  <c:v>41334</c:v>
                </c:pt>
                <c:pt idx="4">
                  <c:v>41699</c:v>
                </c:pt>
                <c:pt idx="5">
                  <c:v>42064</c:v>
                </c:pt>
                <c:pt idx="6">
                  <c:v>42430</c:v>
                </c:pt>
                <c:pt idx="7">
                  <c:v>42795</c:v>
                </c:pt>
                <c:pt idx="8">
                  <c:v>43160</c:v>
                </c:pt>
              </c:numCache>
            </c:numRef>
          </c:cat>
          <c:val>
            <c:numRef>
              <c:f>'Screener Output.v0'!$D$106:$L$106</c:f>
              <c:numCache>
                <c:formatCode>0</c:formatCode>
                <c:ptCount val="9"/>
                <c:pt idx="0">
                  <c:v>5.1499999999999915</c:v>
                </c:pt>
                <c:pt idx="1">
                  <c:v>19.040000000000006</c:v>
                </c:pt>
                <c:pt idx="2">
                  <c:v>7.5799999999999983</c:v>
                </c:pt>
                <c:pt idx="3">
                  <c:v>34.329999999999984</c:v>
                </c:pt>
                <c:pt idx="4">
                  <c:v>-4.5099999999999909</c:v>
                </c:pt>
                <c:pt idx="5">
                  <c:v>48.539999999999992</c:v>
                </c:pt>
                <c:pt idx="6">
                  <c:v>23.779999999999973</c:v>
                </c:pt>
                <c:pt idx="7">
                  <c:v>23.460000000000036</c:v>
                </c:pt>
                <c:pt idx="8">
                  <c:v>70.860000000000014</c:v>
                </c:pt>
              </c:numCache>
            </c:numRef>
          </c:val>
        </c:ser>
        <c:ser>
          <c:idx val="1"/>
          <c:order val="1"/>
          <c:tx>
            <c:strRef>
              <c:f>'Screener Output.v0'!$A$107:$C$107</c:f>
              <c:strCache>
                <c:ptCount val="3"/>
                <c:pt idx="0">
                  <c:v>NP</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Output.v0'!$D$105:$L$105</c:f>
              <c:numCache>
                <c:formatCode>[$-409]mmm\-yy;@</c:formatCode>
                <c:ptCount val="9"/>
                <c:pt idx="0">
                  <c:v>40238</c:v>
                </c:pt>
                <c:pt idx="1">
                  <c:v>40603</c:v>
                </c:pt>
                <c:pt idx="2">
                  <c:v>40969</c:v>
                </c:pt>
                <c:pt idx="3">
                  <c:v>41334</c:v>
                </c:pt>
                <c:pt idx="4">
                  <c:v>41699</c:v>
                </c:pt>
                <c:pt idx="5">
                  <c:v>42064</c:v>
                </c:pt>
                <c:pt idx="6">
                  <c:v>42430</c:v>
                </c:pt>
                <c:pt idx="7">
                  <c:v>42795</c:v>
                </c:pt>
                <c:pt idx="8">
                  <c:v>43160</c:v>
                </c:pt>
              </c:numCache>
            </c:numRef>
          </c:cat>
          <c:val>
            <c:numRef>
              <c:f>'Screener Output.v0'!$D$107:$L$107</c:f>
              <c:numCache>
                <c:formatCode>0</c:formatCode>
                <c:ptCount val="9"/>
                <c:pt idx="0">
                  <c:v>14.229999999999972</c:v>
                </c:pt>
                <c:pt idx="1">
                  <c:v>37.69000000000004</c:v>
                </c:pt>
                <c:pt idx="2">
                  <c:v>26.709999999999923</c:v>
                </c:pt>
                <c:pt idx="3">
                  <c:v>39.899999999999963</c:v>
                </c:pt>
                <c:pt idx="4">
                  <c:v>44.809999999999988</c:v>
                </c:pt>
                <c:pt idx="5">
                  <c:v>65.609999999999985</c:v>
                </c:pt>
                <c:pt idx="6">
                  <c:v>103.04000000000005</c:v>
                </c:pt>
                <c:pt idx="7">
                  <c:v>120.28000000000003</c:v>
                </c:pt>
                <c:pt idx="8">
                  <c:v>119.95000000000017</c:v>
                </c:pt>
              </c:numCache>
            </c:numRef>
          </c:val>
        </c:ser>
        <c:dLbls>
          <c:dLblPos val="inEnd"/>
          <c:showLegendKey val="0"/>
          <c:showVal val="1"/>
          <c:showCatName val="0"/>
          <c:showSerName val="0"/>
          <c:showPercent val="0"/>
          <c:showBubbleSize val="0"/>
        </c:dLbls>
        <c:gapWidth val="65"/>
        <c:axId val="476468512"/>
        <c:axId val="477069424"/>
      </c:barChart>
      <c:dateAx>
        <c:axId val="476468512"/>
        <c:scaling>
          <c:orientation val="minMax"/>
        </c:scaling>
        <c:delete val="0"/>
        <c:axPos val="b"/>
        <c:numFmt formatCode="[$-409]mmm\-yy;@"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77069424"/>
        <c:crosses val="autoZero"/>
        <c:auto val="1"/>
        <c:lblOffset val="100"/>
        <c:baseTimeUnit val="years"/>
      </c:dateAx>
      <c:valAx>
        <c:axId val="4770694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7646851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'Screener Output.v0'!$A$62</c:f>
              <c:strCache>
                <c:ptCount val="1"/>
                <c:pt idx="0">
                  <c:v>Operating Cash Flow</c:v>
                </c:pt>
              </c:strCache>
            </c:strRef>
          </c:tx>
          <c:spPr>
            <a:solidFill>
              <a:srgbClr val="00B050">
                <a:alpha val="85000"/>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Output.v0'!$B$62:$L$62</c:f>
              <c:numCache>
                <c:formatCode>0</c:formatCode>
                <c:ptCount val="11"/>
                <c:pt idx="1">
                  <c:v>41.05</c:v>
                </c:pt>
                <c:pt idx="2">
                  <c:v>71.86</c:v>
                </c:pt>
                <c:pt idx="3">
                  <c:v>43.7</c:v>
                </c:pt>
                <c:pt idx="4">
                  <c:v>72.709999999999994</c:v>
                </c:pt>
                <c:pt idx="5">
                  <c:v>54.01</c:v>
                </c:pt>
                <c:pt idx="6">
                  <c:v>124.88</c:v>
                </c:pt>
                <c:pt idx="7">
                  <c:v>107.48</c:v>
                </c:pt>
                <c:pt idx="8">
                  <c:v>159.43</c:v>
                </c:pt>
                <c:pt idx="9">
                  <c:v>180.2</c:v>
                </c:pt>
                <c:pt idx="10">
                  <c:v>154.25</c:v>
                </c:pt>
              </c:numCache>
            </c:numRef>
          </c:val>
        </c:ser>
        <c:ser>
          <c:idx val="1"/>
          <c:order val="1"/>
          <c:tx>
            <c:strRef>
              <c:f>'Screener Output.v0'!$A$64</c:f>
              <c:strCache>
                <c:ptCount val="1"/>
                <c:pt idx="0">
                  <c:v>Cash from Investing Activity</c:v>
                </c:pt>
              </c:strCache>
            </c:strRef>
          </c:tx>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Output.v0'!$B$64:$L$64</c:f>
              <c:numCache>
                <c:formatCode>0</c:formatCode>
                <c:ptCount val="11"/>
                <c:pt idx="1">
                  <c:v>-59.18</c:v>
                </c:pt>
                <c:pt idx="2">
                  <c:v>-84.78</c:v>
                </c:pt>
                <c:pt idx="3">
                  <c:v>-62.54</c:v>
                </c:pt>
                <c:pt idx="4">
                  <c:v>-47</c:v>
                </c:pt>
                <c:pt idx="5">
                  <c:v>-82.47</c:v>
                </c:pt>
                <c:pt idx="6">
                  <c:v>-69.709999999999994</c:v>
                </c:pt>
                <c:pt idx="7">
                  <c:v>-129.80000000000001</c:v>
                </c:pt>
                <c:pt idx="8">
                  <c:v>-130.26</c:v>
                </c:pt>
                <c:pt idx="9">
                  <c:v>-89.44</c:v>
                </c:pt>
                <c:pt idx="10">
                  <c:v>-108.37</c:v>
                </c:pt>
              </c:numCache>
            </c:numRef>
          </c:val>
        </c:ser>
        <c:ser>
          <c:idx val="2"/>
          <c:order val="2"/>
          <c:tx>
            <c:strRef>
              <c:f>'Screener Output.v0'!$A$65</c:f>
              <c:strCache>
                <c:ptCount val="1"/>
                <c:pt idx="0">
                  <c:v>Cash from Financing Activity</c:v>
                </c:pt>
              </c:strCache>
            </c:strRef>
          </c:tx>
          <c:spPr>
            <a:solidFill>
              <a:srgbClr val="FF0000">
                <a:alpha val="85000"/>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Output.v0'!$B$65:$L$65</c:f>
              <c:numCache>
                <c:formatCode>0</c:formatCode>
                <c:ptCount val="11"/>
                <c:pt idx="1">
                  <c:v>16.739999999999998</c:v>
                </c:pt>
                <c:pt idx="2">
                  <c:v>11.21</c:v>
                </c:pt>
                <c:pt idx="3">
                  <c:v>19.989999999999998</c:v>
                </c:pt>
                <c:pt idx="4">
                  <c:v>-26.8</c:v>
                </c:pt>
                <c:pt idx="5">
                  <c:v>29.43</c:v>
                </c:pt>
                <c:pt idx="6">
                  <c:v>-51.25</c:v>
                </c:pt>
                <c:pt idx="7">
                  <c:v>21.11</c:v>
                </c:pt>
                <c:pt idx="8">
                  <c:v>-31.31</c:v>
                </c:pt>
                <c:pt idx="9">
                  <c:v>-89.49</c:v>
                </c:pt>
                <c:pt idx="10">
                  <c:v>-46.27</c:v>
                </c:pt>
              </c:numCache>
            </c:numRef>
          </c:val>
        </c:ser>
        <c:dLbls>
          <c:dLblPos val="inEnd"/>
          <c:showLegendKey val="0"/>
          <c:showVal val="1"/>
          <c:showCatName val="0"/>
          <c:showSerName val="0"/>
          <c:showPercent val="0"/>
          <c:showBubbleSize val="0"/>
        </c:dLbls>
        <c:gapWidth val="65"/>
        <c:axId val="477056912"/>
        <c:axId val="477056368"/>
      </c:barChart>
      <c:dateAx>
        <c:axId val="477056912"/>
        <c:scaling>
          <c:orientation val="minMax"/>
        </c:scaling>
        <c:delete val="0"/>
        <c:axPos val="b"/>
        <c:numFmt formatCode="[$-409]mmm\-yy;@"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500" b="0" i="0" u="none" strike="noStrike" kern="1200" cap="all" baseline="0">
                <a:solidFill>
                  <a:schemeClr val="dk1">
                    <a:lumMod val="75000"/>
                    <a:lumOff val="25000"/>
                  </a:schemeClr>
                </a:solidFill>
                <a:latin typeface="+mn-lt"/>
                <a:ea typeface="+mn-ea"/>
                <a:cs typeface="+mn-cs"/>
              </a:defRPr>
            </a:pPr>
            <a:endParaRPr lang="en-US"/>
          </a:p>
        </c:txPr>
        <c:crossAx val="477056368"/>
        <c:crosses val="autoZero"/>
        <c:auto val="1"/>
        <c:lblOffset val="100"/>
        <c:baseTimeUnit val="years"/>
      </c:dateAx>
      <c:valAx>
        <c:axId val="47705636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47705691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474999448598337"/>
          <c:y val="0.13704496788008566"/>
        </c:manualLayout>
      </c:layout>
      <c:overlay val="0"/>
    </c:title>
    <c:autoTitleDeleted val="0"/>
    <c:plotArea>
      <c:layout/>
      <c:barChart>
        <c:barDir val="bar"/>
        <c:grouping val="clustered"/>
        <c:varyColors val="0"/>
        <c:ser>
          <c:idx val="0"/>
          <c:order val="0"/>
          <c:tx>
            <c:strRef>
              <c:f>Valuation_Table!$A$27</c:f>
              <c:strCache>
                <c:ptCount val="1"/>
                <c:pt idx="0">
                  <c:v>Sustainable Earnings Growth</c:v>
                </c:pt>
              </c:strCache>
            </c:strRef>
          </c:tx>
          <c:spPr>
            <a:solidFill>
              <a:schemeClr val="accent6">
                <a:lumMod val="75000"/>
              </a:schemeClr>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Growth Basis</c:v>
              </c:pt>
            </c:strLit>
          </c:cat>
          <c:val>
            <c:numRef>
              <c:f>Valuation_Table!$B$27</c:f>
              <c:numCache>
                <c:formatCode>0</c:formatCode>
                <c:ptCount val="1"/>
                <c:pt idx="0">
                  <c:v>1226.490290379935</c:v>
                </c:pt>
              </c:numCache>
            </c:numRef>
          </c:val>
        </c:ser>
        <c:dLbls>
          <c:dLblPos val="outEnd"/>
          <c:showLegendKey val="0"/>
          <c:showVal val="1"/>
          <c:showCatName val="0"/>
          <c:showSerName val="0"/>
          <c:showPercent val="0"/>
          <c:showBubbleSize val="0"/>
        </c:dLbls>
        <c:gapWidth val="150"/>
        <c:axId val="298104304"/>
        <c:axId val="298095600"/>
      </c:barChart>
      <c:catAx>
        <c:axId val="298104304"/>
        <c:scaling>
          <c:orientation val="minMax"/>
        </c:scaling>
        <c:delete val="0"/>
        <c:axPos val="l"/>
        <c:numFmt formatCode="General" sourceLinked="0"/>
        <c:majorTickMark val="out"/>
        <c:minorTickMark val="none"/>
        <c:tickLblPos val="nextTo"/>
        <c:crossAx val="298095600"/>
        <c:crosses val="autoZero"/>
        <c:auto val="1"/>
        <c:lblAlgn val="ctr"/>
        <c:lblOffset val="100"/>
        <c:noMultiLvlLbl val="0"/>
      </c:catAx>
      <c:valAx>
        <c:axId val="298095600"/>
        <c:scaling>
          <c:orientation val="minMax"/>
        </c:scaling>
        <c:delete val="1"/>
        <c:axPos val="b"/>
        <c:numFmt formatCode="0" sourceLinked="1"/>
        <c:majorTickMark val="out"/>
        <c:minorTickMark val="none"/>
        <c:tickLblPos val="nextTo"/>
        <c:crossAx val="29810430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543866995422149E-2"/>
          <c:y val="5.4502818311879121E-2"/>
          <c:w val="0.89784315299318185"/>
          <c:h val="0.74558580189085655"/>
        </c:manualLayout>
      </c:layout>
      <c:areaChart>
        <c:grouping val="percentStacked"/>
        <c:varyColors val="0"/>
        <c:ser>
          <c:idx val="0"/>
          <c:order val="0"/>
          <c:tx>
            <c:strRef>
              <c:f>'Screener Output.v0'!$A$157</c:f>
              <c:strCache>
                <c:ptCount val="1"/>
                <c:pt idx="0">
                  <c:v>Tangible assets (Non-current)</c:v>
                </c:pt>
              </c:strCache>
            </c:strRef>
          </c:tx>
          <c:spPr>
            <a:solidFill>
              <a:schemeClr val="accent1">
                <a:alpha val="85000"/>
              </a:schemeClr>
            </a:solidFill>
            <a:ln>
              <a:noFill/>
            </a:ln>
            <a:effectLst>
              <a:innerShdw dist="12700" dir="16200000">
                <a:schemeClr val="lt1"/>
              </a:innerShdw>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Output.v0'!$C$157:$L$157</c:f>
              <c:numCache>
                <c:formatCode>0%</c:formatCode>
                <c:ptCount val="10"/>
                <c:pt idx="0">
                  <c:v>0.58820819898664212</c:v>
                </c:pt>
                <c:pt idx="1">
                  <c:v>0.63722841705943212</c:v>
                </c:pt>
                <c:pt idx="2">
                  <c:v>0.60468102360785725</c:v>
                </c:pt>
                <c:pt idx="3">
                  <c:v>0.56388196176226102</c:v>
                </c:pt>
                <c:pt idx="4">
                  <c:v>0.54897084768545756</c:v>
                </c:pt>
                <c:pt idx="5">
                  <c:v>0.54920210769669575</c:v>
                </c:pt>
                <c:pt idx="6">
                  <c:v>0.55245713482619685</c:v>
                </c:pt>
                <c:pt idx="7">
                  <c:v>0.52328253686442761</c:v>
                </c:pt>
                <c:pt idx="8">
                  <c:v>0.49575281084201556</c:v>
                </c:pt>
                <c:pt idx="9">
                  <c:v>0.4069407723857742</c:v>
                </c:pt>
              </c:numCache>
            </c:numRef>
          </c:val>
        </c:ser>
        <c:ser>
          <c:idx val="2"/>
          <c:order val="1"/>
          <c:tx>
            <c:strRef>
              <c:f>'Screener Output.v0'!$A$158</c:f>
              <c:strCache>
                <c:ptCount val="1"/>
                <c:pt idx="0">
                  <c:v>Investments (Current)</c:v>
                </c:pt>
              </c:strCache>
            </c:strRef>
          </c:tx>
          <c:spPr>
            <a:solidFill>
              <a:schemeClr val="accent3">
                <a:alpha val="85000"/>
              </a:schemeClr>
            </a:solidFill>
            <a:ln>
              <a:noFill/>
            </a:ln>
            <a:effectLst>
              <a:innerShdw dist="12700" dir="16200000">
                <a:schemeClr val="lt1"/>
              </a:innerShdw>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Output.v0'!$C$158:$L$158</c:f>
              <c:numCache>
                <c:formatCode>0%</c:formatCode>
                <c:ptCount val="10"/>
                <c:pt idx="0">
                  <c:v>2.5124576022779612E-4</c:v>
                </c:pt>
                <c:pt idx="1">
                  <c:v>1.7243361305897229E-4</c:v>
                </c:pt>
                <c:pt idx="2">
                  <c:v>1.3515948819607136E-4</c:v>
                </c:pt>
                <c:pt idx="3">
                  <c:v>1.2468827930174563E-4</c:v>
                </c:pt>
                <c:pt idx="4">
                  <c:v>1.0081492060825002E-4</c:v>
                </c:pt>
                <c:pt idx="5">
                  <c:v>9.0072508369237237E-5</c:v>
                </c:pt>
                <c:pt idx="6">
                  <c:v>7.0270776726318737E-5</c:v>
                </c:pt>
                <c:pt idx="7">
                  <c:v>4.9316960102579273E-4</c:v>
                </c:pt>
                <c:pt idx="8">
                  <c:v>6.4143094079592415E-4</c:v>
                </c:pt>
                <c:pt idx="9">
                  <c:v>5.4273242516107516E-4</c:v>
                </c:pt>
              </c:numCache>
            </c:numRef>
          </c:val>
        </c:ser>
        <c:ser>
          <c:idx val="3"/>
          <c:order val="2"/>
          <c:tx>
            <c:strRef>
              <c:f>'Screener Output.v0'!$A$159</c:f>
              <c:strCache>
                <c:ptCount val="1"/>
                <c:pt idx="0">
                  <c:v>Inventories (Current)</c:v>
                </c:pt>
              </c:strCache>
            </c:strRef>
          </c:tx>
          <c:spPr>
            <a:solidFill>
              <a:schemeClr val="accent4">
                <a:alpha val="85000"/>
              </a:schemeClr>
            </a:solidFill>
            <a:ln>
              <a:noFill/>
            </a:ln>
            <a:effectLst>
              <a:innerShdw dist="12700" dir="16200000">
                <a:schemeClr val="lt1"/>
              </a:innerShdw>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Output.v0'!$C$159:$L$159</c:f>
              <c:numCache>
                <c:formatCode>0%</c:formatCode>
                <c:ptCount val="10"/>
                <c:pt idx="0">
                  <c:v>0.16670156191114277</c:v>
                </c:pt>
                <c:pt idx="1">
                  <c:v>0.19301069088400966</c:v>
                </c:pt>
                <c:pt idx="2">
                  <c:v>0.26263741214633268</c:v>
                </c:pt>
                <c:pt idx="3">
                  <c:v>0.26704073150457192</c:v>
                </c:pt>
                <c:pt idx="4">
                  <c:v>0.26789884902965638</c:v>
                </c:pt>
                <c:pt idx="5">
                  <c:v>0.24619818954258177</c:v>
                </c:pt>
                <c:pt idx="6">
                  <c:v>0.2912489459383491</c:v>
                </c:pt>
                <c:pt idx="7">
                  <c:v>0.2819351975144252</c:v>
                </c:pt>
                <c:pt idx="8">
                  <c:v>0.26592810475483591</c:v>
                </c:pt>
                <c:pt idx="9">
                  <c:v>0.24339998604402335</c:v>
                </c:pt>
              </c:numCache>
            </c:numRef>
          </c:val>
        </c:ser>
        <c:ser>
          <c:idx val="4"/>
          <c:order val="3"/>
          <c:tx>
            <c:strRef>
              <c:f>'Screener Output.v0'!$A$160</c:f>
              <c:strCache>
                <c:ptCount val="1"/>
                <c:pt idx="0">
                  <c:v>Receivables (Current)</c:v>
                </c:pt>
              </c:strCache>
            </c:strRef>
          </c:tx>
          <c:spPr>
            <a:solidFill>
              <a:schemeClr val="accent5">
                <a:alpha val="85000"/>
              </a:schemeClr>
            </a:solidFill>
            <a:ln>
              <a:noFill/>
            </a:ln>
            <a:effectLst>
              <a:innerShdw dist="12700" dir="16200000">
                <a:schemeClr val="lt1"/>
              </a:innerShdw>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Output.v0'!$C$160:$L$160</c:f>
              <c:numCache>
                <c:formatCode>0%</c:formatCode>
                <c:ptCount val="10"/>
                <c:pt idx="0">
                  <c:v>8.2617980821573636E-2</c:v>
                </c:pt>
                <c:pt idx="1">
                  <c:v>5.9949419473502706E-2</c:v>
                </c:pt>
                <c:pt idx="2">
                  <c:v>5.2351775094611634E-2</c:v>
                </c:pt>
                <c:pt idx="3">
                  <c:v>4.7714048212801334E-2</c:v>
                </c:pt>
                <c:pt idx="4">
                  <c:v>6.0421742417877851E-2</c:v>
                </c:pt>
                <c:pt idx="5">
                  <c:v>0.10241244201582274</c:v>
                </c:pt>
                <c:pt idx="6">
                  <c:v>9.6130422561604048E-2</c:v>
                </c:pt>
                <c:pt idx="7">
                  <c:v>0.10720520787098682</c:v>
                </c:pt>
                <c:pt idx="8">
                  <c:v>0.11287351898177421</c:v>
                </c:pt>
                <c:pt idx="9">
                  <c:v>0.14913511711390404</c:v>
                </c:pt>
              </c:numCache>
            </c:numRef>
          </c:val>
        </c:ser>
        <c:ser>
          <c:idx val="5"/>
          <c:order val="4"/>
          <c:tx>
            <c:strRef>
              <c:f>'Screener Output.v0'!$A$161</c:f>
              <c:strCache>
                <c:ptCount val="1"/>
                <c:pt idx="0">
                  <c:v>Cash (Current)</c:v>
                </c:pt>
              </c:strCache>
            </c:strRef>
          </c:tx>
          <c:spPr>
            <a:solidFill>
              <a:schemeClr val="accent6">
                <a:alpha val="85000"/>
              </a:schemeClr>
            </a:solidFill>
            <a:ln>
              <a:noFill/>
            </a:ln>
            <a:effectLst>
              <a:innerShdw dist="12700" dir="16200000">
                <a:schemeClr val="lt1"/>
              </a:innerShdw>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Output.v0'!$C$161:$L$161</c:f>
              <c:numCache>
                <c:formatCode>0%</c:formatCode>
                <c:ptCount val="10"/>
                <c:pt idx="0">
                  <c:v>1.1431682090364725E-2</c:v>
                </c:pt>
                <c:pt idx="1">
                  <c:v>2.9888492930221868E-3</c:v>
                </c:pt>
                <c:pt idx="2">
                  <c:v>4.8206884123265454E-3</c:v>
                </c:pt>
                <c:pt idx="3">
                  <c:v>2.1820448877805489E-3</c:v>
                </c:pt>
                <c:pt idx="4">
                  <c:v>4.9903385701083767E-3</c:v>
                </c:pt>
                <c:pt idx="5">
                  <c:v>8.4968399561647125E-3</c:v>
                </c:pt>
                <c:pt idx="6">
                  <c:v>5.258596458352853E-3</c:v>
                </c:pt>
                <c:pt idx="7">
                  <c:v>2.3376239088622576E-3</c:v>
                </c:pt>
                <c:pt idx="8">
                  <c:v>3.3446041912930332E-3</c:v>
                </c:pt>
                <c:pt idx="9">
                  <c:v>3.1013281437775727E-3</c:v>
                </c:pt>
              </c:numCache>
            </c:numRef>
          </c:val>
        </c:ser>
        <c:ser>
          <c:idx val="1"/>
          <c:order val="5"/>
          <c:tx>
            <c:strRef>
              <c:f>'Screener Output.v0'!$A$162</c:f>
              <c:strCache>
                <c:ptCount val="1"/>
                <c:pt idx="0">
                  <c:v>Rest</c:v>
                </c:pt>
              </c:strCache>
            </c:strRef>
          </c:tx>
          <c:spPr>
            <a:solidFill>
              <a:schemeClr val="accent2">
                <a:alpha val="85000"/>
              </a:schemeClr>
            </a:solidFill>
            <a:ln>
              <a:noFill/>
            </a:ln>
            <a:effectLst>
              <a:innerShdw dist="12700" dir="16200000">
                <a:schemeClr val="lt1"/>
              </a:innerShdw>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Output.v0'!$C$162:$L$162</c:f>
              <c:numCache>
                <c:formatCode>0%</c:formatCode>
                <c:ptCount val="10"/>
                <c:pt idx="0">
                  <c:v>0.150789330430049</c:v>
                </c:pt>
                <c:pt idx="1">
                  <c:v>0.10665018967697434</c:v>
                </c:pt>
                <c:pt idx="2">
                  <c:v>7.5373941250675813E-2</c:v>
                </c:pt>
                <c:pt idx="3">
                  <c:v>0.11905652535328348</c:v>
                </c:pt>
                <c:pt idx="4">
                  <c:v>0.1176174073762916</c:v>
                </c:pt>
                <c:pt idx="5">
                  <c:v>9.3600348280365731E-2</c:v>
                </c:pt>
                <c:pt idx="6">
                  <c:v>5.4834629438770779E-2</c:v>
                </c:pt>
                <c:pt idx="7">
                  <c:v>8.4746264240272304E-2</c:v>
                </c:pt>
                <c:pt idx="8">
                  <c:v>0.12145953028928529</c:v>
                </c:pt>
                <c:pt idx="9">
                  <c:v>0.19688006388735974</c:v>
                </c:pt>
              </c:numCache>
            </c:numRef>
          </c:val>
        </c:ser>
        <c:dLbls>
          <c:showLegendKey val="0"/>
          <c:showVal val="1"/>
          <c:showCatName val="0"/>
          <c:showSerName val="0"/>
          <c:showPercent val="0"/>
          <c:showBubbleSize val="0"/>
        </c:dLbls>
        <c:axId val="477065616"/>
        <c:axId val="477057456"/>
      </c:areaChart>
      <c:dateAx>
        <c:axId val="477065616"/>
        <c:scaling>
          <c:orientation val="minMax"/>
        </c:scaling>
        <c:delete val="0"/>
        <c:axPos val="b"/>
        <c:numFmt formatCode="[$-409]mmm\-yy;@"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77057456"/>
        <c:crosses val="autoZero"/>
        <c:auto val="1"/>
        <c:lblOffset val="100"/>
        <c:baseTimeUnit val="years"/>
      </c:dateAx>
      <c:valAx>
        <c:axId val="477057456"/>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477065616"/>
        <c:crosses val="autoZero"/>
        <c:crossBetween val="midCat"/>
      </c:valAx>
      <c:spPr>
        <a:noFill/>
        <a:ln>
          <a:noFill/>
        </a:ln>
        <a:effectLst/>
      </c:spPr>
    </c:plotArea>
    <c:legend>
      <c:legendPos val="b"/>
      <c:layout>
        <c:manualLayout>
          <c:xMode val="edge"/>
          <c:yMode val="edge"/>
          <c:x val="9.7819076446525929E-3"/>
          <c:y val="0.87919392601082591"/>
          <c:w val="0.96365902350050647"/>
          <c:h val="0.10296205918039779"/>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'Screener Output.v0'!$A$112:$B$112</c:f>
              <c:strCache>
                <c:ptCount val="2"/>
                <c:pt idx="0">
                  <c:v>Receivable Days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Output.v0'!$C$111:$L$111</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Output.v0'!$C$112:$L$112</c:f>
              <c:numCache>
                <c:formatCode>0</c:formatCode>
                <c:ptCount val="10"/>
                <c:pt idx="0">
                  <c:v>17.674004810288128</c:v>
                </c:pt>
                <c:pt idx="1">
                  <c:v>13.75094816687737</c:v>
                </c:pt>
                <c:pt idx="2">
                  <c:v>12.542473126229098</c:v>
                </c:pt>
                <c:pt idx="3">
                  <c:v>9.9206856547576781</c:v>
                </c:pt>
                <c:pt idx="4">
                  <c:v>13.379203490209271</c:v>
                </c:pt>
                <c:pt idx="5">
                  <c:v>21.110536489419424</c:v>
                </c:pt>
                <c:pt idx="6">
                  <c:v>20.793159450868256</c:v>
                </c:pt>
                <c:pt idx="7">
                  <c:v>23.788361216046052</c:v>
                </c:pt>
                <c:pt idx="8">
                  <c:v>27.563804677681389</c:v>
                </c:pt>
                <c:pt idx="9">
                  <c:v>35.876658218016061</c:v>
                </c:pt>
              </c:numCache>
            </c:numRef>
          </c:val>
        </c:ser>
        <c:dLbls>
          <c:dLblPos val="inEnd"/>
          <c:showLegendKey val="0"/>
          <c:showVal val="1"/>
          <c:showCatName val="0"/>
          <c:showSerName val="0"/>
          <c:showPercent val="0"/>
          <c:showBubbleSize val="0"/>
        </c:dLbls>
        <c:gapWidth val="65"/>
        <c:axId val="477058000"/>
        <c:axId val="477067248"/>
      </c:barChart>
      <c:dateAx>
        <c:axId val="477058000"/>
        <c:scaling>
          <c:orientation val="minMax"/>
        </c:scaling>
        <c:delete val="0"/>
        <c:axPos val="l"/>
        <c:numFmt formatCode="[$-409]mmm\-yy;@"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77067248"/>
        <c:crosses val="autoZero"/>
        <c:auto val="1"/>
        <c:lblOffset val="100"/>
        <c:baseTimeUnit val="years"/>
      </c:dateAx>
      <c:valAx>
        <c:axId val="47706724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47705800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'Screener Output.v0'!$A$113:$B$113</c:f>
              <c:strCache>
                <c:ptCount val="2"/>
                <c:pt idx="0">
                  <c:v>Inventory Turnover ratio</c:v>
                </c:pt>
              </c:strCache>
            </c:strRef>
          </c:tx>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Output.v0'!$C$111:$L$111</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Output.v0'!$C$113:$L$113</c:f>
              <c:numCache>
                <c:formatCode>0.0</c:formatCode>
                <c:ptCount val="10"/>
                <c:pt idx="0">
                  <c:v>5.597337352424014</c:v>
                </c:pt>
                <c:pt idx="1">
                  <c:v>5.6627091707955506</c:v>
                </c:pt>
                <c:pt idx="2">
                  <c:v>4.4949115646258511</c:v>
                </c:pt>
                <c:pt idx="3">
                  <c:v>3.8168019911053084</c:v>
                </c:pt>
                <c:pt idx="4">
                  <c:v>3.4935055914426614</c:v>
                </c:pt>
                <c:pt idx="5">
                  <c:v>3.3682908731140246</c:v>
                </c:pt>
                <c:pt idx="6">
                  <c:v>3.0540854899680139</c:v>
                </c:pt>
                <c:pt idx="7">
                  <c:v>2.7753872633390708</c:v>
                </c:pt>
                <c:pt idx="8">
                  <c:v>2.5021091919104244</c:v>
                </c:pt>
                <c:pt idx="9">
                  <c:v>2.9682854967391665</c:v>
                </c:pt>
              </c:numCache>
            </c:numRef>
          </c:val>
        </c:ser>
        <c:dLbls>
          <c:dLblPos val="inEnd"/>
          <c:showLegendKey val="0"/>
          <c:showVal val="1"/>
          <c:showCatName val="0"/>
          <c:showSerName val="0"/>
          <c:showPercent val="0"/>
          <c:showBubbleSize val="0"/>
        </c:dLbls>
        <c:gapWidth val="41"/>
        <c:axId val="477058544"/>
        <c:axId val="477065072"/>
      </c:barChart>
      <c:dateAx>
        <c:axId val="477058544"/>
        <c:scaling>
          <c:orientation val="minMax"/>
        </c:scaling>
        <c:delete val="0"/>
        <c:axPos val="b"/>
        <c:numFmt formatCode="[$-409]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477065072"/>
        <c:crosses val="autoZero"/>
        <c:auto val="1"/>
        <c:lblOffset val="100"/>
        <c:baseTimeUnit val="years"/>
      </c:dateAx>
      <c:valAx>
        <c:axId val="477065072"/>
        <c:scaling>
          <c:orientation val="minMax"/>
        </c:scaling>
        <c:delete val="1"/>
        <c:axPos val="l"/>
        <c:numFmt formatCode="0.0" sourceLinked="1"/>
        <c:majorTickMark val="none"/>
        <c:minorTickMark val="none"/>
        <c:tickLblPos val="nextTo"/>
        <c:crossAx val="47705854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'Screener Output.v0'!$A$100:$B$100</c:f>
              <c:strCache>
                <c:ptCount val="2"/>
                <c:pt idx="0">
                  <c:v>Equity</c:v>
                </c:pt>
              </c:strCache>
            </c:strRef>
          </c:tx>
          <c:spPr>
            <a:solidFill>
              <a:srgbClr val="00B050">
                <a:alpha val="85000"/>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Output.v0'!$C$99:$L$99</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Output.v0'!$C$100:$L$100</c:f>
              <c:numCache>
                <c:formatCode>0%</c:formatCode>
                <c:ptCount val="10"/>
                <c:pt idx="0">
                  <c:v>0.30970227377413001</c:v>
                </c:pt>
                <c:pt idx="1">
                  <c:v>0.3159271180595471</c:v>
                </c:pt>
                <c:pt idx="2">
                  <c:v>0.30325283834925215</c:v>
                </c:pt>
                <c:pt idx="3">
                  <c:v>0.35833333333333334</c:v>
                </c:pt>
                <c:pt idx="4">
                  <c:v>0.3603125262538856</c:v>
                </c:pt>
                <c:pt idx="5">
                  <c:v>0.41517421524327086</c:v>
                </c:pt>
                <c:pt idx="6">
                  <c:v>0.43078328492457602</c:v>
                </c:pt>
                <c:pt idx="7">
                  <c:v>0.47342309020072004</c:v>
                </c:pt>
                <c:pt idx="8">
                  <c:v>0.55563497081489222</c:v>
                </c:pt>
                <c:pt idx="9">
                  <c:v>0.59019049908123145</c:v>
                </c:pt>
              </c:numCache>
            </c:numRef>
          </c:val>
        </c:ser>
        <c:ser>
          <c:idx val="1"/>
          <c:order val="1"/>
          <c:tx>
            <c:strRef>
              <c:f>'Screener Output.v0'!$A$101:$B$101</c:f>
              <c:strCache>
                <c:ptCount val="2"/>
                <c:pt idx="0">
                  <c:v>Float</c:v>
                </c:pt>
              </c:strCache>
            </c:strRef>
          </c:tx>
          <c:spPr>
            <a:solidFill>
              <a:schemeClr val="accent6">
                <a:lumMod val="60000"/>
                <a:lumOff val="4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Output.v0'!$C$99:$L$99</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Output.v0'!$C$101:$L$101</c:f>
              <c:numCache>
                <c:formatCode>0%</c:formatCode>
                <c:ptCount val="10"/>
                <c:pt idx="0">
                  <c:v>0.23646413466772748</c:v>
                </c:pt>
                <c:pt idx="1">
                  <c:v>0.26192665823657896</c:v>
                </c:pt>
                <c:pt idx="2">
                  <c:v>0.28656064155703731</c:v>
                </c:pt>
                <c:pt idx="3">
                  <c:v>0.27757689110556938</c:v>
                </c:pt>
                <c:pt idx="4">
                  <c:v>0.26099302696799132</c:v>
                </c:pt>
                <c:pt idx="5">
                  <c:v>0.28706108417275905</c:v>
                </c:pt>
                <c:pt idx="6">
                  <c:v>0.28884802773353319</c:v>
                </c:pt>
                <c:pt idx="7">
                  <c:v>0.29341618582630569</c:v>
                </c:pt>
                <c:pt idx="8">
                  <c:v>0.2809467520686148</c:v>
                </c:pt>
                <c:pt idx="9">
                  <c:v>0.29090457988633633</c:v>
                </c:pt>
              </c:numCache>
            </c:numRef>
          </c:val>
        </c:ser>
        <c:ser>
          <c:idx val="2"/>
          <c:order val="2"/>
          <c:tx>
            <c:strRef>
              <c:f>'Screener Output.v0'!$A$102:$B$102</c:f>
              <c:strCache>
                <c:ptCount val="2"/>
                <c:pt idx="0">
                  <c:v>Debt</c:v>
                </c:pt>
              </c:strCache>
            </c:strRef>
          </c:tx>
          <c:spPr>
            <a:solidFill>
              <a:srgbClr val="FF0000">
                <a:alpha val="85000"/>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Output.v0'!$C$99:$L$99</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Output.v0'!$C$102:$L$102</c:f>
              <c:numCache>
                <c:formatCode>0%</c:formatCode>
                <c:ptCount val="10"/>
                <c:pt idx="0">
                  <c:v>0.45383359155814246</c:v>
                </c:pt>
                <c:pt idx="1">
                  <c:v>0.422146223703874</c:v>
                </c:pt>
                <c:pt idx="2">
                  <c:v>0.41018652009371065</c:v>
                </c:pt>
                <c:pt idx="3">
                  <c:v>0.36408977556109723</c:v>
                </c:pt>
                <c:pt idx="4">
                  <c:v>0.37869444677812319</c:v>
                </c:pt>
                <c:pt idx="5">
                  <c:v>0.29776470058397009</c:v>
                </c:pt>
                <c:pt idx="6">
                  <c:v>0.28036868734189074</c:v>
                </c:pt>
                <c:pt idx="7">
                  <c:v>0.2331607239729743</c:v>
                </c:pt>
                <c:pt idx="8">
                  <c:v>0.16341827711649304</c:v>
                </c:pt>
                <c:pt idx="9">
                  <c:v>0.11890492103243215</c:v>
                </c:pt>
              </c:numCache>
            </c:numRef>
          </c:val>
        </c:ser>
        <c:dLbls>
          <c:dLblPos val="ctr"/>
          <c:showLegendKey val="0"/>
          <c:showVal val="1"/>
          <c:showCatName val="0"/>
          <c:showSerName val="0"/>
          <c:showPercent val="0"/>
          <c:showBubbleSize val="0"/>
        </c:dLbls>
        <c:gapWidth val="150"/>
        <c:overlap val="100"/>
        <c:axId val="477060720"/>
        <c:axId val="477064528"/>
      </c:barChart>
      <c:dateAx>
        <c:axId val="477060720"/>
        <c:scaling>
          <c:orientation val="minMax"/>
        </c:scaling>
        <c:delete val="0"/>
        <c:axPos val="b"/>
        <c:numFmt formatCode="[$-409]mmm\-yy;@"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77064528"/>
        <c:crosses val="autoZero"/>
        <c:auto val="1"/>
        <c:lblOffset val="100"/>
        <c:baseTimeUnit val="years"/>
      </c:dateAx>
      <c:valAx>
        <c:axId val="4770645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7706072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Output.v0'!$C$111:$L$111</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Output.v0'!$C$114:$L$114</c:f>
              <c:numCache>
                <c:formatCode>0%</c:formatCode>
                <c:ptCount val="10"/>
                <c:pt idx="0">
                  <c:v>9.7702841996760423E-2</c:v>
                </c:pt>
                <c:pt idx="1">
                  <c:v>0.12129311901751849</c:v>
                </c:pt>
                <c:pt idx="2">
                  <c:v>0.17239135899217817</c:v>
                </c:pt>
                <c:pt idx="3">
                  <c:v>0.15211781139758979</c:v>
                </c:pt>
                <c:pt idx="4">
                  <c:v>0.16252306249554041</c:v>
                </c:pt>
                <c:pt idx="5">
                  <c:v>0.13903960933260986</c:v>
                </c:pt>
                <c:pt idx="6">
                  <c:v>0.17259616051970406</c:v>
                </c:pt>
                <c:pt idx="7">
                  <c:v>0.17139773340528869</c:v>
                </c:pt>
                <c:pt idx="8">
                  <c:v>0.17791742022499463</c:v>
                </c:pt>
                <c:pt idx="9">
                  <c:v>0.1604204566359381</c:v>
                </c:pt>
              </c:numCache>
            </c:numRef>
          </c:val>
          <c:smooth val="0"/>
        </c:ser>
        <c:dLbls>
          <c:dLblPos val="ctr"/>
          <c:showLegendKey val="0"/>
          <c:showVal val="1"/>
          <c:showCatName val="0"/>
          <c:showSerName val="0"/>
          <c:showPercent val="0"/>
          <c:showBubbleSize val="0"/>
        </c:dLbls>
        <c:marker val="1"/>
        <c:smooth val="0"/>
        <c:axId val="477059088"/>
        <c:axId val="477061264"/>
      </c:lineChart>
      <c:dateAx>
        <c:axId val="477059088"/>
        <c:scaling>
          <c:orientation val="minMax"/>
        </c:scaling>
        <c:delete val="0"/>
        <c:axPos val="b"/>
        <c:numFmt formatCode="[$-409]mmm\-yy;@"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77061264"/>
        <c:crosses val="autoZero"/>
        <c:auto val="1"/>
        <c:lblOffset val="100"/>
        <c:baseTimeUnit val="years"/>
      </c:dateAx>
      <c:valAx>
        <c:axId val="47706126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770590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'Shareholding input'!$B$6</c:f>
              <c:strCache>
                <c:ptCount val="1"/>
                <c:pt idx="0">
                  <c:v>Promoter unpledged</c:v>
                </c:pt>
              </c:strCache>
            </c:strRef>
          </c:tx>
          <c:spPr>
            <a:solidFill>
              <a:srgbClr val="00B050">
                <a:alpha val="85000"/>
              </a:srgbClr>
            </a:solidFill>
            <a:ln w="9525" cap="flat" cmpd="sng" algn="ctr">
              <a:solidFill>
                <a:schemeClr val="lt1">
                  <a:alpha val="50000"/>
                </a:schemeClr>
              </a:solidFill>
              <a:round/>
            </a:ln>
            <a:effectLst/>
          </c:spPr>
          <c:invertIfNegative val="0"/>
          <c:dLbls>
            <c:spPr>
              <a:solidFill>
                <a:schemeClr val="tx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'Shareholding input'!$C$5:$H$5</c:f>
              <c:numCache>
                <c:formatCode>[$-409]mmm\-yy;@</c:formatCode>
                <c:ptCount val="6"/>
                <c:pt idx="0">
                  <c:v>43252</c:v>
                </c:pt>
                <c:pt idx="1">
                  <c:v>43160</c:v>
                </c:pt>
                <c:pt idx="2">
                  <c:v>42795</c:v>
                </c:pt>
                <c:pt idx="3">
                  <c:v>42430</c:v>
                </c:pt>
                <c:pt idx="4">
                  <c:v>42064</c:v>
                </c:pt>
                <c:pt idx="5">
                  <c:v>41699</c:v>
                </c:pt>
              </c:numCache>
            </c:numRef>
          </c:cat>
          <c:val>
            <c:numRef>
              <c:f>'Shareholding input'!$C$6:$H$6</c:f>
              <c:numCache>
                <c:formatCode>0.0%</c:formatCode>
                <c:ptCount val="6"/>
                <c:pt idx="0">
                  <c:v>0.74250000000000005</c:v>
                </c:pt>
                <c:pt idx="1">
                  <c:v>0.74250000000000005</c:v>
                </c:pt>
                <c:pt idx="2">
                  <c:v>0.74929999999999997</c:v>
                </c:pt>
                <c:pt idx="3">
                  <c:v>0.74980000000000002</c:v>
                </c:pt>
                <c:pt idx="4">
                  <c:v>0.75</c:v>
                </c:pt>
                <c:pt idx="5">
                  <c:v>0.75</c:v>
                </c:pt>
              </c:numCache>
            </c:numRef>
          </c:val>
        </c:ser>
        <c:ser>
          <c:idx val="1"/>
          <c:order val="1"/>
          <c:tx>
            <c:strRef>
              <c:f>'Shareholding input'!$B$7</c:f>
              <c:strCache>
                <c:ptCount val="1"/>
                <c:pt idx="0">
                  <c:v>Promoter pledged</c:v>
                </c:pt>
              </c:strCache>
            </c:strRef>
          </c:tx>
          <c:spPr>
            <a:solidFill>
              <a:schemeClr val="accent2">
                <a:alpha val="85000"/>
              </a:schemeClr>
            </a:solidFill>
            <a:ln w="9525" cap="flat" cmpd="sng" algn="ctr">
              <a:solidFill>
                <a:schemeClr val="lt1">
                  <a:alpha val="50000"/>
                </a:schemeClr>
              </a:solidFill>
              <a:round/>
            </a:ln>
            <a:effectLst/>
          </c:spPr>
          <c:invertIfNegative val="0"/>
          <c:dLbls>
            <c:spPr>
              <a:solidFill>
                <a:srgbClr val="FF000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'Shareholding input'!$C$5:$H$5</c:f>
              <c:numCache>
                <c:formatCode>[$-409]mmm\-yy;@</c:formatCode>
                <c:ptCount val="6"/>
                <c:pt idx="0">
                  <c:v>43252</c:v>
                </c:pt>
                <c:pt idx="1">
                  <c:v>43160</c:v>
                </c:pt>
                <c:pt idx="2">
                  <c:v>42795</c:v>
                </c:pt>
                <c:pt idx="3">
                  <c:v>42430</c:v>
                </c:pt>
                <c:pt idx="4">
                  <c:v>42064</c:v>
                </c:pt>
                <c:pt idx="5">
                  <c:v>41699</c:v>
                </c:pt>
              </c:numCache>
            </c:numRef>
          </c:cat>
          <c:val>
            <c:numRef>
              <c:f>'Shareholding input'!$C$7:$H$7</c:f>
              <c:numCache>
                <c:formatCode>0.0%</c:formatCode>
                <c:ptCount val="6"/>
              </c:numCache>
            </c:numRef>
          </c:val>
        </c:ser>
        <c:ser>
          <c:idx val="2"/>
          <c:order val="2"/>
          <c:tx>
            <c:strRef>
              <c:f>'Shareholding input'!$B$8</c:f>
              <c:strCache>
                <c:ptCount val="1"/>
                <c:pt idx="0">
                  <c:v>FII</c:v>
                </c:pt>
              </c:strCache>
            </c:strRef>
          </c:tx>
          <c:spPr>
            <a:solidFill>
              <a:schemeClr val="accent3">
                <a:alpha val="85000"/>
              </a:schemeClr>
            </a:solidFill>
            <a:ln w="9525" cap="flat" cmpd="sng" algn="ctr">
              <a:solidFill>
                <a:schemeClr val="lt1">
                  <a:alpha val="50000"/>
                </a:schemeClr>
              </a:solidFill>
              <a:round/>
            </a:ln>
            <a:effectLst/>
          </c:spPr>
          <c:invertIfNegative val="0"/>
          <c:dLbls>
            <c:spPr>
              <a:solidFill>
                <a:schemeClr val="tx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'Shareholding input'!$C$5:$H$5</c:f>
              <c:numCache>
                <c:formatCode>[$-409]mmm\-yy;@</c:formatCode>
                <c:ptCount val="6"/>
                <c:pt idx="0">
                  <c:v>43252</c:v>
                </c:pt>
                <c:pt idx="1">
                  <c:v>43160</c:v>
                </c:pt>
                <c:pt idx="2">
                  <c:v>42795</c:v>
                </c:pt>
                <c:pt idx="3">
                  <c:v>42430</c:v>
                </c:pt>
                <c:pt idx="4">
                  <c:v>42064</c:v>
                </c:pt>
                <c:pt idx="5">
                  <c:v>41699</c:v>
                </c:pt>
              </c:numCache>
            </c:numRef>
          </c:cat>
          <c:val>
            <c:numRef>
              <c:f>'Shareholding input'!$C$8:$H$8</c:f>
              <c:numCache>
                <c:formatCode>0.0%</c:formatCode>
                <c:ptCount val="6"/>
                <c:pt idx="0">
                  <c:v>4.36E-2</c:v>
                </c:pt>
                <c:pt idx="1">
                  <c:v>4.6199999999999998E-2</c:v>
                </c:pt>
                <c:pt idx="2">
                  <c:v>4.4699999999999997E-2</c:v>
                </c:pt>
                <c:pt idx="3">
                  <c:v>2.5000000000000001E-2</c:v>
                </c:pt>
                <c:pt idx="4">
                  <c:v>2.4400000000000002E-2</c:v>
                </c:pt>
                <c:pt idx="5">
                  <c:v>1.84E-2</c:v>
                </c:pt>
              </c:numCache>
            </c:numRef>
          </c:val>
        </c:ser>
        <c:ser>
          <c:idx val="3"/>
          <c:order val="3"/>
          <c:tx>
            <c:strRef>
              <c:f>'Shareholding input'!$B$9</c:f>
              <c:strCache>
                <c:ptCount val="1"/>
                <c:pt idx="0">
                  <c:v>Mutual funds</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'Shareholding input'!$C$5:$H$5</c:f>
              <c:numCache>
                <c:formatCode>[$-409]mmm\-yy;@</c:formatCode>
                <c:ptCount val="6"/>
                <c:pt idx="0">
                  <c:v>43252</c:v>
                </c:pt>
                <c:pt idx="1">
                  <c:v>43160</c:v>
                </c:pt>
                <c:pt idx="2">
                  <c:v>42795</c:v>
                </c:pt>
                <c:pt idx="3">
                  <c:v>42430</c:v>
                </c:pt>
                <c:pt idx="4">
                  <c:v>42064</c:v>
                </c:pt>
                <c:pt idx="5">
                  <c:v>41699</c:v>
                </c:pt>
              </c:numCache>
            </c:numRef>
          </c:cat>
          <c:val>
            <c:numRef>
              <c:f>'Shareholding input'!$C$9:$H$9</c:f>
              <c:numCache>
                <c:formatCode>0.0%</c:formatCode>
                <c:ptCount val="6"/>
                <c:pt idx="0">
                  <c:v>2.1499999999999998E-2</c:v>
                </c:pt>
                <c:pt idx="1">
                  <c:v>2.1600000000000001E-2</c:v>
                </c:pt>
                <c:pt idx="2">
                  <c:v>1.7899999999999999E-2</c:v>
                </c:pt>
                <c:pt idx="3">
                  <c:v>1.6199999999999999E-2</c:v>
                </c:pt>
                <c:pt idx="4">
                  <c:v>3.5999999999999999E-3</c:v>
                </c:pt>
                <c:pt idx="5">
                  <c:v>6.9999999999999999E-4</c:v>
                </c:pt>
              </c:numCache>
            </c:numRef>
          </c:val>
        </c:ser>
        <c:ser>
          <c:idx val="4"/>
          <c:order val="4"/>
          <c:tx>
            <c:strRef>
              <c:f>'Shareholding input'!$B$10</c:f>
              <c:strCache>
                <c:ptCount val="1"/>
                <c:pt idx="0">
                  <c:v>Bodies corporate</c:v>
                </c:pt>
              </c:strCache>
            </c:strRef>
          </c:tx>
          <c:spPr>
            <a:solidFill>
              <a:schemeClr val="accent5">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'Shareholding input'!$C$5:$H$5</c:f>
              <c:numCache>
                <c:formatCode>[$-409]mmm\-yy;@</c:formatCode>
                <c:ptCount val="6"/>
                <c:pt idx="0">
                  <c:v>43252</c:v>
                </c:pt>
                <c:pt idx="1">
                  <c:v>43160</c:v>
                </c:pt>
                <c:pt idx="2">
                  <c:v>42795</c:v>
                </c:pt>
                <c:pt idx="3">
                  <c:v>42430</c:v>
                </c:pt>
                <c:pt idx="4">
                  <c:v>42064</c:v>
                </c:pt>
                <c:pt idx="5">
                  <c:v>41699</c:v>
                </c:pt>
              </c:numCache>
            </c:numRef>
          </c:cat>
          <c:val>
            <c:numRef>
              <c:f>'Shareholding input'!$C$10:$H$10</c:f>
              <c:numCache>
                <c:formatCode>0.0%</c:formatCode>
                <c:ptCount val="6"/>
                <c:pt idx="0">
                  <c:v>0.13439999999999999</c:v>
                </c:pt>
                <c:pt idx="1">
                  <c:v>0.13339999999999999</c:v>
                </c:pt>
                <c:pt idx="2">
                  <c:v>0.13370000000000001</c:v>
                </c:pt>
                <c:pt idx="3">
                  <c:v>0.15129999999999999</c:v>
                </c:pt>
                <c:pt idx="4">
                  <c:v>0.15989999999999999</c:v>
                </c:pt>
                <c:pt idx="5">
                  <c:v>0.16070000000000001</c:v>
                </c:pt>
              </c:numCache>
            </c:numRef>
          </c:val>
        </c:ser>
        <c:ser>
          <c:idx val="5"/>
          <c:order val="5"/>
          <c:tx>
            <c:strRef>
              <c:f>'Shareholding input'!$B$11</c:f>
              <c:strCache>
                <c:ptCount val="1"/>
                <c:pt idx="0">
                  <c:v>Individuals &lt;= 2 lakh</c:v>
                </c:pt>
              </c:strCache>
            </c:strRef>
          </c:tx>
          <c:spPr>
            <a:solidFill>
              <a:schemeClr val="bg1">
                <a:lumMod val="5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'Shareholding input'!$C$5:$H$5</c:f>
              <c:numCache>
                <c:formatCode>[$-409]mmm\-yy;@</c:formatCode>
                <c:ptCount val="6"/>
                <c:pt idx="0">
                  <c:v>43252</c:v>
                </c:pt>
                <c:pt idx="1">
                  <c:v>43160</c:v>
                </c:pt>
                <c:pt idx="2">
                  <c:v>42795</c:v>
                </c:pt>
                <c:pt idx="3">
                  <c:v>42430</c:v>
                </c:pt>
                <c:pt idx="4">
                  <c:v>42064</c:v>
                </c:pt>
                <c:pt idx="5">
                  <c:v>41699</c:v>
                </c:pt>
              </c:numCache>
            </c:numRef>
          </c:cat>
          <c:val>
            <c:numRef>
              <c:f>'Shareholding input'!$C$11:$H$11</c:f>
              <c:numCache>
                <c:formatCode>0.0%</c:formatCode>
                <c:ptCount val="6"/>
                <c:pt idx="0">
                  <c:v>4.3200000000000002E-2</c:v>
                </c:pt>
                <c:pt idx="1">
                  <c:v>4.41E-2</c:v>
                </c:pt>
                <c:pt idx="2">
                  <c:v>4.48E-2</c:v>
                </c:pt>
                <c:pt idx="3">
                  <c:v>4.7399999999999998E-2</c:v>
                </c:pt>
                <c:pt idx="4">
                  <c:v>4.7100000000000003E-2</c:v>
                </c:pt>
                <c:pt idx="5">
                  <c:v>5.0999999999999997E-2</c:v>
                </c:pt>
              </c:numCache>
            </c:numRef>
          </c:val>
        </c:ser>
        <c:ser>
          <c:idx val="6"/>
          <c:order val="6"/>
          <c:tx>
            <c:strRef>
              <c:f>'Shareholding input'!$B$12</c:f>
              <c:strCache>
                <c:ptCount val="1"/>
                <c:pt idx="0">
                  <c:v>Individuals &gt; 2 lakh</c:v>
                </c:pt>
              </c:strCache>
            </c:strRef>
          </c:tx>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'Shareholding input'!$C$5:$H$5</c:f>
              <c:numCache>
                <c:formatCode>[$-409]mmm\-yy;@</c:formatCode>
                <c:ptCount val="6"/>
                <c:pt idx="0">
                  <c:v>43252</c:v>
                </c:pt>
                <c:pt idx="1">
                  <c:v>43160</c:v>
                </c:pt>
                <c:pt idx="2">
                  <c:v>42795</c:v>
                </c:pt>
                <c:pt idx="3">
                  <c:v>42430</c:v>
                </c:pt>
                <c:pt idx="4">
                  <c:v>42064</c:v>
                </c:pt>
                <c:pt idx="5">
                  <c:v>41699</c:v>
                </c:pt>
              </c:numCache>
            </c:numRef>
          </c:cat>
          <c:val>
            <c:numRef>
              <c:f>'Shareholding input'!$C$12:$H$12</c:f>
              <c:numCache>
                <c:formatCode>0.0%</c:formatCode>
                <c:ptCount val="6"/>
                <c:pt idx="0">
                  <c:v>4.1999999999999997E-3</c:v>
                </c:pt>
                <c:pt idx="1">
                  <c:v>4.1999999999999997E-3</c:v>
                </c:pt>
                <c:pt idx="2">
                  <c:v>5.0000000000000001E-3</c:v>
                </c:pt>
                <c:pt idx="3">
                  <c:v>9.2999999999999992E-3</c:v>
                </c:pt>
                <c:pt idx="4">
                  <c:v>1.23E-2</c:v>
                </c:pt>
                <c:pt idx="5">
                  <c:v>1.6299999999999999E-2</c:v>
                </c:pt>
              </c:numCache>
            </c:numRef>
          </c:val>
        </c:ser>
        <c:ser>
          <c:idx val="7"/>
          <c:order val="7"/>
          <c:tx>
            <c:strRef>
              <c:f>'Shareholding input'!$B$13</c:f>
              <c:strCache>
                <c:ptCount val="1"/>
                <c:pt idx="0">
                  <c:v>Others</c:v>
                </c:pt>
              </c:strCache>
            </c:strRef>
          </c:tx>
          <c:spPr>
            <a:solidFill>
              <a:schemeClr val="accent2">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'Shareholding input'!$C$5:$H$5</c:f>
              <c:numCache>
                <c:formatCode>[$-409]mmm\-yy;@</c:formatCode>
                <c:ptCount val="6"/>
                <c:pt idx="0">
                  <c:v>43252</c:v>
                </c:pt>
                <c:pt idx="1">
                  <c:v>43160</c:v>
                </c:pt>
                <c:pt idx="2">
                  <c:v>42795</c:v>
                </c:pt>
                <c:pt idx="3">
                  <c:v>42430</c:v>
                </c:pt>
                <c:pt idx="4">
                  <c:v>42064</c:v>
                </c:pt>
                <c:pt idx="5">
                  <c:v>41699</c:v>
                </c:pt>
              </c:numCache>
            </c:numRef>
          </c:cat>
          <c:val>
            <c:numRef>
              <c:f>'Shareholding input'!$C$13:$H$13</c:f>
              <c:numCache>
                <c:formatCode>0.0%</c:formatCode>
                <c:ptCount val="6"/>
                <c:pt idx="0">
                  <c:v>1.0600000000000054E-2</c:v>
                </c:pt>
                <c:pt idx="1">
                  <c:v>8.0000000000000071E-3</c:v>
                </c:pt>
                <c:pt idx="2">
                  <c:v>4.6000000000000485E-3</c:v>
                </c:pt>
                <c:pt idx="3" formatCode="0%">
                  <c:v>1.0000000000000009E-3</c:v>
                </c:pt>
                <c:pt idx="4" formatCode="0%">
                  <c:v>2.7000000000000357E-3</c:v>
                </c:pt>
                <c:pt idx="5" formatCode="0%">
                  <c:v>2.9000000000000137E-3</c:v>
                </c:pt>
              </c:numCache>
            </c:numRef>
          </c:val>
        </c:ser>
        <c:dLbls>
          <c:dLblPos val="ctr"/>
          <c:showLegendKey val="0"/>
          <c:showVal val="1"/>
          <c:showCatName val="0"/>
          <c:showSerName val="0"/>
          <c:showPercent val="0"/>
          <c:showBubbleSize val="0"/>
        </c:dLbls>
        <c:gapWidth val="150"/>
        <c:overlap val="100"/>
        <c:axId val="477068336"/>
        <c:axId val="477063440"/>
      </c:barChart>
      <c:dateAx>
        <c:axId val="477068336"/>
        <c:scaling>
          <c:orientation val="minMax"/>
        </c:scaling>
        <c:delete val="0"/>
        <c:axPos val="l"/>
        <c:numFmt formatCode="[$-409]mmm\-yy;@"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77063440"/>
        <c:crosses val="autoZero"/>
        <c:auto val="1"/>
        <c:lblOffset val="100"/>
        <c:baseTimeUnit val="years"/>
      </c:dateAx>
      <c:valAx>
        <c:axId val="47706344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7706833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Piotroski Score</a:t>
            </a:r>
          </a:p>
        </c:rich>
      </c:tx>
      <c:overlay val="0"/>
    </c:title>
    <c:autoTitleDeleted val="0"/>
    <c:plotArea>
      <c:layout/>
      <c:doughnutChart>
        <c:varyColors val="1"/>
        <c:ser>
          <c:idx val="0"/>
          <c:order val="0"/>
          <c:tx>
            <c:strRef>
              <c:f>Piotroski!$F$11</c:f>
              <c:strCache>
                <c:ptCount val="1"/>
                <c:pt idx="0">
                  <c:v>169%</c:v>
                </c:pt>
              </c:strCache>
            </c:strRef>
          </c:tx>
          <c:dPt>
            <c:idx val="4"/>
            <c:bubble3D val="0"/>
            <c:spPr>
              <a:noFill/>
            </c:spPr>
          </c:dPt>
          <c:val>
            <c:numRef>
              <c:f>Piotroski!$I$12:$I$16</c:f>
              <c:numCache>
                <c:formatCode>General</c:formatCode>
                <c:ptCount val="5"/>
                <c:pt idx="0">
                  <c:v>0</c:v>
                </c:pt>
                <c:pt idx="1">
                  <c:v>30</c:v>
                </c:pt>
                <c:pt idx="2">
                  <c:v>40</c:v>
                </c:pt>
                <c:pt idx="3">
                  <c:v>30</c:v>
                </c:pt>
                <c:pt idx="4">
                  <c:v>100</c:v>
                </c:pt>
              </c:numCache>
            </c:numRef>
          </c:val>
        </c:ser>
        <c:dLbls>
          <c:showLegendKey val="0"/>
          <c:showVal val="0"/>
          <c:showCatName val="0"/>
          <c:showSerName val="0"/>
          <c:showPercent val="0"/>
          <c:showBubbleSize val="0"/>
          <c:showLeaderLines val="1"/>
        </c:dLbls>
        <c:firstSliceAng val="270"/>
        <c:holeSize val="50"/>
      </c:doughnutChart>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Piotroski!$D$11</c:f>
              <c:strCache>
                <c:ptCount val="1"/>
                <c:pt idx="0">
                  <c:v>151%</c:v>
                </c:pt>
              </c:strCache>
            </c:strRef>
          </c:tx>
          <c:explosion val="1"/>
          <c:dPt>
            <c:idx val="0"/>
            <c:bubble3D val="0"/>
            <c:spPr>
              <a:noFill/>
            </c:spPr>
          </c:dPt>
          <c:dPt>
            <c:idx val="1"/>
            <c:bubble3D val="0"/>
            <c:spPr>
              <a:solidFill>
                <a:schemeClr val="tx1"/>
              </a:solidFill>
            </c:spPr>
          </c:dPt>
          <c:dPt>
            <c:idx val="2"/>
            <c:bubble3D val="0"/>
            <c:spPr>
              <a:noFill/>
            </c:spPr>
          </c:dPt>
          <c:val>
            <c:numRef>
              <c:f>Piotroski!$K$12:$K$14</c:f>
              <c:numCache>
                <c:formatCode>General</c:formatCode>
                <c:ptCount val="3"/>
                <c:pt idx="0" formatCode="0">
                  <c:v>77.777777777777786</c:v>
                </c:pt>
                <c:pt idx="1">
                  <c:v>1</c:v>
                </c:pt>
                <c:pt idx="2">
                  <c:v>121.22222222222221</c:v>
                </c:pt>
              </c:numCache>
            </c:numRef>
          </c:val>
        </c:ser>
        <c:dLbls>
          <c:showLegendKey val="0"/>
          <c:showVal val="0"/>
          <c:showCatName val="0"/>
          <c:showSerName val="0"/>
          <c:showPercent val="0"/>
          <c:showBubbleSize val="0"/>
          <c:showLeaderLines val="1"/>
        </c:dLbls>
        <c:firstSliceAng val="270"/>
      </c:pieChart>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doughnutChart>
        <c:varyColors val="1"/>
        <c:ser>
          <c:idx val="0"/>
          <c:order val="0"/>
          <c:tx>
            <c:strRef>
              <c:f>Altman!$G$4</c:f>
              <c:strCache>
                <c:ptCount val="1"/>
                <c:pt idx="0">
                  <c:v>Altman Score</c:v>
                </c:pt>
              </c:strCache>
            </c:strRef>
          </c:tx>
          <c:dPt>
            <c:idx val="4"/>
            <c:bubble3D val="0"/>
            <c:spPr>
              <a:noFill/>
            </c:spPr>
          </c:dPt>
          <c:val>
            <c:numRef>
              <c:f>Altman!$H$5:$H$9</c:f>
              <c:numCache>
                <c:formatCode>General</c:formatCode>
                <c:ptCount val="5"/>
                <c:pt idx="0">
                  <c:v>0</c:v>
                </c:pt>
                <c:pt idx="1">
                  <c:v>30</c:v>
                </c:pt>
                <c:pt idx="2">
                  <c:v>20</c:v>
                </c:pt>
                <c:pt idx="3">
                  <c:v>50</c:v>
                </c:pt>
                <c:pt idx="4">
                  <c:v>100</c:v>
                </c:pt>
              </c:numCache>
            </c:numRef>
          </c:val>
        </c:ser>
        <c:dLbls>
          <c:showLegendKey val="0"/>
          <c:showVal val="0"/>
          <c:showCatName val="0"/>
          <c:showSerName val="0"/>
          <c:showPercent val="0"/>
          <c:showBubbleSize val="0"/>
          <c:showLeaderLines val="1"/>
        </c:dLbls>
        <c:firstSliceAng val="270"/>
        <c:holeSize val="50"/>
      </c:doughnutChart>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Altman!$I$4</c:f>
              <c:strCache>
                <c:ptCount val="1"/>
                <c:pt idx="0">
                  <c:v>Pointer</c:v>
                </c:pt>
              </c:strCache>
            </c:strRef>
          </c:tx>
          <c:dPt>
            <c:idx val="0"/>
            <c:bubble3D val="0"/>
            <c:spPr>
              <a:noFill/>
            </c:spPr>
          </c:dPt>
          <c:dPt>
            <c:idx val="1"/>
            <c:bubble3D val="0"/>
            <c:spPr>
              <a:solidFill>
                <a:schemeClr val="tx1"/>
              </a:solidFill>
            </c:spPr>
          </c:dPt>
          <c:dPt>
            <c:idx val="2"/>
            <c:bubble3D val="0"/>
            <c:spPr>
              <a:noFill/>
            </c:spPr>
          </c:dPt>
          <c:val>
            <c:numRef>
              <c:f>Altman!$J$5:$J$7</c:f>
              <c:numCache>
                <c:formatCode>General</c:formatCode>
                <c:ptCount val="3"/>
                <c:pt idx="0" formatCode="0">
                  <c:v>100</c:v>
                </c:pt>
                <c:pt idx="1">
                  <c:v>1</c:v>
                </c:pt>
                <c:pt idx="2">
                  <c:v>99</c:v>
                </c:pt>
              </c:numCache>
            </c:numRef>
          </c:val>
        </c:ser>
        <c:dLbls>
          <c:showLegendKey val="0"/>
          <c:showVal val="0"/>
          <c:showCatName val="0"/>
          <c:showSerName val="0"/>
          <c:showPercent val="0"/>
          <c:showBubbleSize val="0"/>
          <c:showLeaderLines val="1"/>
        </c:dLbls>
        <c:firstSliceAng val="270"/>
      </c:pieChart>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98035144968937E-2"/>
          <c:y val="3.2407407407407406E-2"/>
          <c:w val="0.95018868220539698"/>
          <c:h val="0.76388888888888884"/>
        </c:manualLayout>
      </c:layout>
      <c:barChart>
        <c:barDir val="col"/>
        <c:grouping val="clustered"/>
        <c:varyColors val="0"/>
        <c:ser>
          <c:idx val="0"/>
          <c:order val="0"/>
          <c:tx>
            <c:strRef>
              <c:f>'Screener Output.v0'!$A$184</c:f>
              <c:strCache>
                <c:ptCount val="1"/>
                <c:pt idx="0">
                  <c:v>Sales</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numFmt formatCode="#,##0" sourceLinked="0"/>
            <c:spPr>
              <a:solidFill>
                <a:schemeClr val="tx2">
                  <a:lumMod val="60000"/>
                  <a:lumOff val="40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Output.v0'!$D$183:$L$183</c:f>
              <c:numCache>
                <c:formatCode>[$-409]mmm\-yy;@</c:formatCode>
                <c:ptCount val="9"/>
                <c:pt idx="0">
                  <c:v>40238</c:v>
                </c:pt>
                <c:pt idx="1">
                  <c:v>40603</c:v>
                </c:pt>
                <c:pt idx="2">
                  <c:v>40969</c:v>
                </c:pt>
                <c:pt idx="3">
                  <c:v>41334</c:v>
                </c:pt>
                <c:pt idx="4">
                  <c:v>41699</c:v>
                </c:pt>
                <c:pt idx="5">
                  <c:v>42064</c:v>
                </c:pt>
                <c:pt idx="6">
                  <c:v>42430</c:v>
                </c:pt>
                <c:pt idx="7">
                  <c:v>42795</c:v>
                </c:pt>
                <c:pt idx="8">
                  <c:v>43160</c:v>
                </c:pt>
              </c:numCache>
            </c:numRef>
          </c:cat>
          <c:val>
            <c:numRef>
              <c:f>'Screener Output.v0'!$D$184:$L$184</c:f>
              <c:numCache>
                <c:formatCode>_(* #,##0_);_(* \(#,##0\);_(* "-"??_);_(@_)</c:formatCode>
                <c:ptCount val="9"/>
                <c:pt idx="0">
                  <c:v>557.82000000000005</c:v>
                </c:pt>
                <c:pt idx="1">
                  <c:v>676.82999999999993</c:v>
                </c:pt>
                <c:pt idx="2">
                  <c:v>845.79</c:v>
                </c:pt>
                <c:pt idx="3">
                  <c:v>982.11</c:v>
                </c:pt>
                <c:pt idx="4">
                  <c:v>1181.8599999999999</c:v>
                </c:pt>
                <c:pt idx="5">
                  <c:v>1441.21</c:v>
                </c:pt>
                <c:pt idx="6">
                  <c:v>1675.42</c:v>
                </c:pt>
                <c:pt idx="7">
                  <c:v>1644.76</c:v>
                </c:pt>
                <c:pt idx="8">
                  <c:v>1961.38</c:v>
                </c:pt>
              </c:numCache>
            </c:numRef>
          </c:val>
        </c:ser>
        <c:dLbls>
          <c:dLblPos val="inEnd"/>
          <c:showLegendKey val="0"/>
          <c:showVal val="1"/>
          <c:showCatName val="0"/>
          <c:showSerName val="0"/>
          <c:showPercent val="0"/>
          <c:showBubbleSize val="0"/>
        </c:dLbls>
        <c:gapWidth val="41"/>
        <c:axId val="298105392"/>
        <c:axId val="298105936"/>
      </c:barChart>
      <c:lineChart>
        <c:grouping val="standard"/>
        <c:varyColors val="0"/>
        <c:ser>
          <c:idx val="1"/>
          <c:order val="1"/>
          <c:tx>
            <c:strRef>
              <c:f>'Screener Output.v0'!$A$185</c:f>
              <c:strCache>
                <c:ptCount val="1"/>
                <c:pt idx="0">
                  <c:v>Sales YoY</c:v>
                </c:pt>
              </c:strCache>
            </c:strRef>
          </c:tx>
          <c:spPr>
            <a:ln w="28575" cap="rnd">
              <a:gradFill>
                <a:gsLst>
                  <a:gs pos="0">
                    <a:schemeClr val="accent2"/>
                  </a:gs>
                  <a:gs pos="100000">
                    <a:schemeClr val="accent2">
                      <a:lumMod val="84000"/>
                    </a:schemeClr>
                  </a:gs>
                </a:gsLst>
                <a:lin ang="5400000" scaled="1"/>
              </a:gradFill>
              <a:round/>
            </a:ln>
            <a:effectLst/>
          </c:spPr>
          <c:marker>
            <c:symbol val="none"/>
          </c:marker>
          <c:cat>
            <c:numRef>
              <c:f>'Screener Output.v0'!$D$183:$L$183</c:f>
              <c:numCache>
                <c:formatCode>[$-409]mmm\-yy;@</c:formatCode>
                <c:ptCount val="9"/>
                <c:pt idx="0">
                  <c:v>40238</c:v>
                </c:pt>
                <c:pt idx="1">
                  <c:v>40603</c:v>
                </c:pt>
                <c:pt idx="2">
                  <c:v>40969</c:v>
                </c:pt>
                <c:pt idx="3">
                  <c:v>41334</c:v>
                </c:pt>
                <c:pt idx="4">
                  <c:v>41699</c:v>
                </c:pt>
                <c:pt idx="5">
                  <c:v>42064</c:v>
                </c:pt>
                <c:pt idx="6">
                  <c:v>42430</c:v>
                </c:pt>
                <c:pt idx="7">
                  <c:v>42795</c:v>
                </c:pt>
                <c:pt idx="8">
                  <c:v>43160</c:v>
                </c:pt>
              </c:numCache>
            </c:numRef>
          </c:cat>
          <c:val>
            <c:numRef>
              <c:f>'Screener Output.v0'!$D$185:$L$185</c:f>
              <c:numCache>
                <c:formatCode>0%</c:formatCode>
                <c:ptCount val="9"/>
                <c:pt idx="0">
                  <c:v>0.3603706865016465</c:v>
                </c:pt>
                <c:pt idx="1">
                  <c:v>0.2133483919543937</c:v>
                </c:pt>
                <c:pt idx="2">
                  <c:v>0.24963432471964908</c:v>
                </c:pt>
                <c:pt idx="3">
                  <c:v>0.16117475969212225</c:v>
                </c:pt>
                <c:pt idx="4">
                  <c:v>0.20338862245573286</c:v>
                </c:pt>
                <c:pt idx="5">
                  <c:v>0.21944223512091132</c:v>
                </c:pt>
                <c:pt idx="6">
                  <c:v>0.16250928039633372</c:v>
                </c:pt>
                <c:pt idx="7">
                  <c:v>-1.8299888983061008E-2</c:v>
                </c:pt>
                <c:pt idx="8">
                  <c:v>0.19250224956832618</c:v>
                </c:pt>
              </c:numCache>
            </c:numRef>
          </c:val>
          <c:smooth val="0"/>
        </c:ser>
        <c:dLbls>
          <c:showLegendKey val="0"/>
          <c:showVal val="0"/>
          <c:showCatName val="0"/>
          <c:showSerName val="0"/>
          <c:showPercent val="0"/>
          <c:showBubbleSize val="0"/>
        </c:dLbls>
        <c:marker val="1"/>
        <c:smooth val="0"/>
        <c:axId val="298101584"/>
        <c:axId val="298107024"/>
      </c:lineChart>
      <c:dateAx>
        <c:axId val="298105392"/>
        <c:scaling>
          <c:orientation val="minMax"/>
        </c:scaling>
        <c:delete val="0"/>
        <c:axPos val="b"/>
        <c:majorGridlines>
          <c:spPr>
            <a:ln w="9525" cap="flat" cmpd="sng" algn="ctr">
              <a:solidFill>
                <a:schemeClr val="dk1">
                  <a:lumMod val="15000"/>
                  <a:lumOff val="85000"/>
                </a:schemeClr>
              </a:solidFill>
              <a:round/>
            </a:ln>
            <a:effectLst/>
          </c:spPr>
        </c:majorGridlines>
        <c:numFmt formatCode="[$-409]mmm\-yy;@"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0" baseline="0">
                <a:solidFill>
                  <a:schemeClr val="dk1">
                    <a:lumMod val="65000"/>
                    <a:lumOff val="35000"/>
                  </a:schemeClr>
                </a:solidFill>
                <a:effectLst/>
                <a:latin typeface="+mn-lt"/>
                <a:ea typeface="+mn-ea"/>
                <a:cs typeface="+mn-cs"/>
              </a:defRPr>
            </a:pPr>
            <a:endParaRPr lang="en-US"/>
          </a:p>
        </c:txPr>
        <c:crossAx val="298105936"/>
        <c:crosses val="autoZero"/>
        <c:auto val="1"/>
        <c:lblOffset val="100"/>
        <c:baseTimeUnit val="years"/>
      </c:dateAx>
      <c:valAx>
        <c:axId val="298105936"/>
        <c:scaling>
          <c:orientation val="minMax"/>
        </c:scaling>
        <c:delete val="0"/>
        <c:axPos val="l"/>
        <c:majorGridlines>
          <c:spPr>
            <a:ln w="9525" cap="flat" cmpd="sng" algn="ctr">
              <a:solidFill>
                <a:schemeClr val="dk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298105392"/>
        <c:crosses val="autoZero"/>
        <c:crossBetween val="between"/>
      </c:valAx>
      <c:valAx>
        <c:axId val="298107024"/>
        <c:scaling>
          <c:orientation val="minMax"/>
          <c:max val="0.60000000000000009"/>
          <c:min val="-0.60000000000000009"/>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298101584"/>
        <c:crosses val="max"/>
        <c:crossBetween val="between"/>
        <c:majorUnit val="0.2"/>
      </c:valAx>
      <c:dateAx>
        <c:axId val="298101584"/>
        <c:scaling>
          <c:orientation val="minMax"/>
        </c:scaling>
        <c:delete val="1"/>
        <c:axPos val="b"/>
        <c:numFmt formatCode="[$-409]mmm\-yy;@" sourceLinked="1"/>
        <c:majorTickMark val="out"/>
        <c:minorTickMark val="none"/>
        <c:tickLblPos val="nextTo"/>
        <c:crossAx val="298107024"/>
        <c:crosses val="autoZero"/>
        <c:auto val="1"/>
        <c:lblOffset val="100"/>
        <c:baseTimeUnit val="years"/>
      </c:dateAx>
      <c:spPr>
        <a:noFill/>
        <a:ln>
          <a:noFill/>
        </a:ln>
        <a:effectLst/>
      </c:spPr>
    </c:plotArea>
    <c:legend>
      <c:legendPos val="b"/>
      <c:layout>
        <c:manualLayout>
          <c:xMode val="edge"/>
          <c:yMode val="edge"/>
          <c:x val="6.0258501841719062E-4"/>
          <c:y val="0.92187445319335082"/>
          <c:w val="0.30534854818906265"/>
          <c:h val="7.812554680664916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555555555555555E-2"/>
          <c:y val="2.4675774164750371E-2"/>
          <c:w val="0.7583333333333333"/>
          <c:h val="0.78255128797312179"/>
        </c:manualLayout>
      </c:layout>
      <c:areaChart>
        <c:grouping val="percentStacked"/>
        <c:varyColors val="0"/>
        <c:ser>
          <c:idx val="0"/>
          <c:order val="0"/>
          <c:tx>
            <c:strRef>
              <c:f>'Screener Output.v0'!$A$171</c:f>
              <c:strCache>
                <c:ptCount val="1"/>
                <c:pt idx="0">
                  <c:v>Raw Mat + Invt change</c:v>
                </c:pt>
              </c:strCache>
            </c:strRef>
          </c:tx>
          <c:spPr>
            <a:solidFill>
              <a:srgbClr val="FF0000">
                <a:alpha val="85000"/>
              </a:srgb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Output.v0'!$C$171:$L$171</c:f>
              <c:numCache>
                <c:formatCode>0%</c:formatCode>
                <c:ptCount val="10"/>
                <c:pt idx="0">
                  <c:v>0.53188635532252171</c:v>
                </c:pt>
                <c:pt idx="1">
                  <c:v>0.52004230755440828</c:v>
                </c:pt>
                <c:pt idx="2">
                  <c:v>0.55498426488187591</c:v>
                </c:pt>
                <c:pt idx="3">
                  <c:v>0.54294801310017859</c:v>
                </c:pt>
                <c:pt idx="4">
                  <c:v>0.47797089939008863</c:v>
                </c:pt>
                <c:pt idx="5">
                  <c:v>0.46636657472120224</c:v>
                </c:pt>
                <c:pt idx="6">
                  <c:v>0.38665426967617489</c:v>
                </c:pt>
                <c:pt idx="7">
                  <c:v>0.42253882608539944</c:v>
                </c:pt>
                <c:pt idx="8">
                  <c:v>0.4412984265181546</c:v>
                </c:pt>
                <c:pt idx="9">
                  <c:v>0.45019832974742269</c:v>
                </c:pt>
              </c:numCache>
            </c:numRef>
          </c:val>
        </c:ser>
        <c:ser>
          <c:idx val="1"/>
          <c:order val="1"/>
          <c:tx>
            <c:strRef>
              <c:f>'Screener Output.v0'!$A$172</c:f>
              <c:strCache>
                <c:ptCount val="1"/>
                <c:pt idx="0">
                  <c:v>Power and Fuel</c:v>
                </c:pt>
              </c:strCache>
            </c:strRef>
          </c:tx>
          <c:spPr>
            <a:solidFill>
              <a:schemeClr val="accent2">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Output.v0'!$C$172:$L$172</c:f>
              <c:numCache>
                <c:formatCode>0%</c:formatCode>
                <c:ptCount val="10"/>
                <c:pt idx="0">
                  <c:v>4.6189489086696754E-2</c:v>
                </c:pt>
                <c:pt idx="1">
                  <c:v>4.0945107740848301E-2</c:v>
                </c:pt>
                <c:pt idx="2">
                  <c:v>4.119202754015041E-2</c:v>
                </c:pt>
                <c:pt idx="3">
                  <c:v>3.6711240378817442E-2</c:v>
                </c:pt>
                <c:pt idx="4">
                  <c:v>3.9527140544338209E-2</c:v>
                </c:pt>
                <c:pt idx="5">
                  <c:v>3.6603320190208656E-2</c:v>
                </c:pt>
                <c:pt idx="6">
                  <c:v>3.4186551578187771E-2</c:v>
                </c:pt>
                <c:pt idx="7">
                  <c:v>3.0141695813587041E-2</c:v>
                </c:pt>
                <c:pt idx="8">
                  <c:v>2.8958632262457748E-2</c:v>
                </c:pt>
                <c:pt idx="9">
                  <c:v>2.7531635889016914E-2</c:v>
                </c:pt>
              </c:numCache>
            </c:numRef>
          </c:val>
        </c:ser>
        <c:ser>
          <c:idx val="2"/>
          <c:order val="2"/>
          <c:tx>
            <c:strRef>
              <c:f>'Screener Output.v0'!$A$173</c:f>
              <c:strCache>
                <c:ptCount val="1"/>
                <c:pt idx="0">
                  <c:v>Other Mfr. Exp</c:v>
                </c:pt>
              </c:strCache>
            </c:strRef>
          </c:tx>
          <c:spPr>
            <a:solidFill>
              <a:schemeClr val="accent3">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Output.v0'!$C$173:$L$173</c:f>
              <c:numCache>
                <c:formatCode>0%</c:formatCode>
                <c:ptCount val="10"/>
                <c:pt idx="0">
                  <c:v>7.5283502011949777E-2</c:v>
                </c:pt>
                <c:pt idx="1">
                  <c:v>1.7765587465490659E-2</c:v>
                </c:pt>
                <c:pt idx="2">
                  <c:v>2.2915650901999027E-2</c:v>
                </c:pt>
                <c:pt idx="3">
                  <c:v>5.0154293618983437E-2</c:v>
                </c:pt>
                <c:pt idx="4">
                  <c:v>7.0226349390597798E-2</c:v>
                </c:pt>
                <c:pt idx="5">
                  <c:v>8.4671619311932039E-2</c:v>
                </c:pt>
                <c:pt idx="6">
                  <c:v>0.15813795352516288</c:v>
                </c:pt>
                <c:pt idx="7">
                  <c:v>0.10259517016628665</c:v>
                </c:pt>
                <c:pt idx="8">
                  <c:v>9.9248522580802065E-2</c:v>
                </c:pt>
                <c:pt idx="9">
                  <c:v>9.5009636072561146E-2</c:v>
                </c:pt>
              </c:numCache>
            </c:numRef>
          </c:val>
        </c:ser>
        <c:ser>
          <c:idx val="3"/>
          <c:order val="3"/>
          <c:tx>
            <c:strRef>
              <c:f>'Screener Output.v0'!$A$174</c:f>
              <c:strCache>
                <c:ptCount val="1"/>
                <c:pt idx="0">
                  <c:v>Employee Cost</c:v>
                </c:pt>
              </c:strCache>
            </c:strRef>
          </c:tx>
          <c:spPr>
            <a:solidFill>
              <a:schemeClr val="accent4">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Output.v0'!$C$174:$L$174</c:f>
              <c:numCache>
                <c:formatCode>0%</c:formatCode>
                <c:ptCount val="10"/>
                <c:pt idx="0">
                  <c:v>8.1502255822460692E-2</c:v>
                </c:pt>
                <c:pt idx="1">
                  <c:v>9.9261410490839322E-2</c:v>
                </c:pt>
                <c:pt idx="2">
                  <c:v>0.11004240355776193</c:v>
                </c:pt>
                <c:pt idx="3">
                  <c:v>9.7352770782345513E-2</c:v>
                </c:pt>
                <c:pt idx="4">
                  <c:v>0.11322560609300383</c:v>
                </c:pt>
                <c:pt idx="5">
                  <c:v>9.6957338432640081E-2</c:v>
                </c:pt>
                <c:pt idx="6">
                  <c:v>9.3324359392454953E-2</c:v>
                </c:pt>
                <c:pt idx="7">
                  <c:v>9.5999809003115638E-2</c:v>
                </c:pt>
                <c:pt idx="8">
                  <c:v>0.1076388044456334</c:v>
                </c:pt>
                <c:pt idx="9">
                  <c:v>0.1091476409466804</c:v>
                </c:pt>
              </c:numCache>
            </c:numRef>
          </c:val>
        </c:ser>
        <c:ser>
          <c:idx val="4"/>
          <c:order val="4"/>
          <c:tx>
            <c:strRef>
              <c:f>'Screener Output.v0'!$A$175</c:f>
              <c:strCache>
                <c:ptCount val="1"/>
                <c:pt idx="0">
                  <c:v>Selling and admin</c:v>
                </c:pt>
              </c:strCache>
            </c:strRef>
          </c:tx>
          <c:spPr>
            <a:solidFill>
              <a:schemeClr val="accent5">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Output.v0'!$C$175:$L$175</c:f>
              <c:numCache>
                <c:formatCode>0%</c:formatCode>
                <c:ptCount val="10"/>
                <c:pt idx="0">
                  <c:v>0.12344835995610293</c:v>
                </c:pt>
                <c:pt idx="1">
                  <c:v>0.14314653472446306</c:v>
                </c:pt>
                <c:pt idx="2">
                  <c:v>0.17921782426901883</c:v>
                </c:pt>
                <c:pt idx="3">
                  <c:v>0.16823324938814599</c:v>
                </c:pt>
                <c:pt idx="4">
                  <c:v>0.20721711417254685</c:v>
                </c:pt>
                <c:pt idx="5">
                  <c:v>0.21263093767451308</c:v>
                </c:pt>
                <c:pt idx="6">
                  <c:v>0.2116277294773142</c:v>
                </c:pt>
                <c:pt idx="7">
                  <c:v>0.22230246744099985</c:v>
                </c:pt>
                <c:pt idx="8">
                  <c:v>0.15650915635107859</c:v>
                </c:pt>
                <c:pt idx="9">
                  <c:v>0.14955796429044854</c:v>
                </c:pt>
              </c:numCache>
            </c:numRef>
          </c:val>
        </c:ser>
        <c:ser>
          <c:idx val="5"/>
          <c:order val="5"/>
          <c:tx>
            <c:strRef>
              <c:f>'Screener Output.v0'!$A$176</c:f>
              <c:strCache>
                <c:ptCount val="1"/>
                <c:pt idx="0">
                  <c:v>Other Expenses</c:v>
                </c:pt>
              </c:strCache>
            </c:strRef>
          </c:tx>
          <c:spPr>
            <a:solidFill>
              <a:schemeClr val="accent6">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Output.v0'!$C$176:$L$176</c:f>
              <c:numCache>
                <c:formatCode>0%</c:formatCode>
                <c:ptCount val="10"/>
                <c:pt idx="0">
                  <c:v>1.1023045970003658E-2</c:v>
                </c:pt>
                <c:pt idx="1">
                  <c:v>8.8559033379943357E-3</c:v>
                </c:pt>
                <c:pt idx="2">
                  <c:v>0</c:v>
                </c:pt>
                <c:pt idx="3">
                  <c:v>0</c:v>
                </c:pt>
                <c:pt idx="4">
                  <c:v>0</c:v>
                </c:pt>
                <c:pt idx="5">
                  <c:v>0</c:v>
                </c:pt>
                <c:pt idx="6">
                  <c:v>0</c:v>
                </c:pt>
                <c:pt idx="7">
                  <c:v>0</c:v>
                </c:pt>
                <c:pt idx="8">
                  <c:v>1.7680391060093874E-2</c:v>
                </c:pt>
                <c:pt idx="9">
                  <c:v>1.2261774872793644E-2</c:v>
                </c:pt>
              </c:numCache>
            </c:numRef>
          </c:val>
        </c:ser>
        <c:ser>
          <c:idx val="6"/>
          <c:order val="6"/>
          <c:tx>
            <c:strRef>
              <c:f>'Screener Output.v0'!$A$177</c:f>
              <c:strCache>
                <c:ptCount val="1"/>
                <c:pt idx="0">
                  <c:v>Depreciation</c:v>
                </c:pt>
              </c:strCache>
            </c:strRef>
          </c:tx>
          <c:spPr>
            <a:solidFill>
              <a:schemeClr val="accent1">
                <a:lumMod val="60000"/>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Output.v0'!$C$177:$L$177</c:f>
              <c:numCache>
                <c:formatCode>0%</c:formatCode>
                <c:ptCount val="10"/>
                <c:pt idx="0">
                  <c:v>2.5533471527862461E-2</c:v>
                </c:pt>
                <c:pt idx="1">
                  <c:v>2.7715033523358787E-2</c:v>
                </c:pt>
                <c:pt idx="2">
                  <c:v>3.0967894449123123E-2</c:v>
                </c:pt>
                <c:pt idx="3">
                  <c:v>2.7311744049941477E-2</c:v>
                </c:pt>
                <c:pt idx="4">
                  <c:v>2.5964504994348901E-2</c:v>
                </c:pt>
                <c:pt idx="5">
                  <c:v>2.636522092295196E-2</c:v>
                </c:pt>
                <c:pt idx="6">
                  <c:v>2.768507018408143E-2</c:v>
                </c:pt>
                <c:pt idx="7">
                  <c:v>2.8124291222499431E-2</c:v>
                </c:pt>
                <c:pt idx="8">
                  <c:v>3.128723947566818E-2</c:v>
                </c:pt>
                <c:pt idx="9">
                  <c:v>2.7704983226095912E-2</c:v>
                </c:pt>
              </c:numCache>
            </c:numRef>
          </c:val>
        </c:ser>
        <c:ser>
          <c:idx val="7"/>
          <c:order val="7"/>
          <c:tx>
            <c:strRef>
              <c:f>'Screener Output.v0'!$A$178</c:f>
              <c:strCache>
                <c:ptCount val="1"/>
                <c:pt idx="0">
                  <c:v>Interest</c:v>
                </c:pt>
              </c:strCache>
            </c:strRef>
          </c:tx>
          <c:spPr>
            <a:solidFill>
              <a:schemeClr val="accent2">
                <a:lumMod val="60000"/>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Output.v0'!$C$178:$L$178</c:f>
              <c:numCache>
                <c:formatCode>0%</c:formatCode>
                <c:ptCount val="10"/>
                <c:pt idx="0">
                  <c:v>4.6604072674064141E-2</c:v>
                </c:pt>
                <c:pt idx="1">
                  <c:v>4.5803305725861387E-2</c:v>
                </c:pt>
                <c:pt idx="2">
                  <c:v>2.3506641254081528E-2</c:v>
                </c:pt>
                <c:pt idx="3">
                  <c:v>2.2074037290580408E-2</c:v>
                </c:pt>
                <c:pt idx="4">
                  <c:v>1.802242111372453E-2</c:v>
                </c:pt>
                <c:pt idx="5">
                  <c:v>1.9173167718680724E-2</c:v>
                </c:pt>
                <c:pt idx="6">
                  <c:v>1.2822558822100873E-2</c:v>
                </c:pt>
                <c:pt idx="7">
                  <c:v>1.3662245884614007E-2</c:v>
                </c:pt>
                <c:pt idx="8">
                  <c:v>9.138111335392397E-3</c:v>
                </c:pt>
                <c:pt idx="9">
                  <c:v>4.3795694867899129E-3</c:v>
                </c:pt>
              </c:numCache>
            </c:numRef>
          </c:val>
        </c:ser>
        <c:ser>
          <c:idx val="8"/>
          <c:order val="8"/>
          <c:tx>
            <c:strRef>
              <c:f>'Screener Output.v0'!$A$179</c:f>
              <c:strCache>
                <c:ptCount val="1"/>
                <c:pt idx="0">
                  <c:v>Tax</c:v>
                </c:pt>
              </c:strCache>
            </c:strRef>
          </c:tx>
          <c:spPr>
            <a:solidFill>
              <a:schemeClr val="bg1">
                <a:lumMod val="65000"/>
                <a:alpha val="85000"/>
              </a:schemeClr>
            </a:solidFill>
            <a:ln w="9525" cap="flat" cmpd="sng" algn="ctr">
              <a:solidFill>
                <a:schemeClr val="bg1">
                  <a:lumMod val="65000"/>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Output.v0'!$C$179:$L$179</c:f>
              <c:numCache>
                <c:formatCode>0%</c:formatCode>
                <c:ptCount val="10"/>
                <c:pt idx="0">
                  <c:v>2.3826362638702598E-2</c:v>
                </c:pt>
                <c:pt idx="1">
                  <c:v>2.8898210892402566E-2</c:v>
                </c:pt>
                <c:pt idx="2">
                  <c:v>1.3046112022221239E-2</c:v>
                </c:pt>
                <c:pt idx="3">
                  <c:v>1.6067818252757778E-2</c:v>
                </c:pt>
                <c:pt idx="4">
                  <c:v>2.3296779383164816E-2</c:v>
                </c:pt>
                <c:pt idx="5">
                  <c:v>2.5299104800907045E-2</c:v>
                </c:pt>
                <c:pt idx="6">
                  <c:v>2.747691176164473E-2</c:v>
                </c:pt>
                <c:pt idx="7">
                  <c:v>3.4206348258944023E-2</c:v>
                </c:pt>
                <c:pt idx="8">
                  <c:v>3.5312142805029305E-2</c:v>
                </c:pt>
                <c:pt idx="9">
                  <c:v>4.208771375256197E-2</c:v>
                </c:pt>
              </c:numCache>
            </c:numRef>
          </c:val>
        </c:ser>
        <c:ser>
          <c:idx val="9"/>
          <c:order val="9"/>
          <c:tx>
            <c:strRef>
              <c:f>'Screener Output.v0'!$A$180</c:f>
              <c:strCache>
                <c:ptCount val="1"/>
                <c:pt idx="0">
                  <c:v>Net profit</c:v>
                </c:pt>
              </c:strCache>
            </c:strRef>
          </c:tx>
          <c:spPr>
            <a:solidFill>
              <a:srgbClr val="00B050">
                <a:alpha val="85000"/>
              </a:srgbClr>
            </a:solidFill>
            <a:ln w="9525" cap="flat" cmpd="sng" algn="ctr">
              <a:solidFill>
                <a:srgbClr val="00B050">
                  <a:alpha val="50000"/>
                </a:srgbClr>
              </a:solidFill>
              <a:round/>
            </a:ln>
            <a:effectLst/>
          </c:spPr>
          <c:dLbls>
            <c:spPr>
              <a:solidFill>
                <a:schemeClr val="tx1">
                  <a:lumMod val="65000"/>
                  <a:lumOff val="35000"/>
                </a:schemeClr>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Output.v0'!$C$4:$L$4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Output.v0'!$C$180:$L$180</c:f>
              <c:numCache>
                <c:formatCode>0%</c:formatCode>
                <c:ptCount val="10"/>
                <c:pt idx="0">
                  <c:v>3.4703084989635147E-2</c:v>
                </c:pt>
                <c:pt idx="1">
                  <c:v>6.7566598544333445E-2</c:v>
                </c:pt>
                <c:pt idx="2">
                  <c:v>2.4127181123767993E-2</c:v>
                </c:pt>
                <c:pt idx="3">
                  <c:v>3.9146833138249182E-2</c:v>
                </c:pt>
                <c:pt idx="4">
                  <c:v>2.4549184918186473E-2</c:v>
                </c:pt>
                <c:pt idx="5">
                  <c:v>3.1932716226964364E-2</c:v>
                </c:pt>
                <c:pt idx="6">
                  <c:v>4.8084595582878253E-2</c:v>
                </c:pt>
                <c:pt idx="7">
                  <c:v>5.0429146124553847E-2</c:v>
                </c:pt>
                <c:pt idx="8">
                  <c:v>7.2928573165689903E-2</c:v>
                </c:pt>
                <c:pt idx="9">
                  <c:v>8.2120751715628937E-2</c:v>
                </c:pt>
              </c:numCache>
            </c:numRef>
          </c:val>
        </c:ser>
        <c:dLbls>
          <c:showLegendKey val="0"/>
          <c:showVal val="1"/>
          <c:showCatName val="0"/>
          <c:showSerName val="0"/>
          <c:showPercent val="0"/>
          <c:showBubbleSize val="0"/>
        </c:dLbls>
        <c:axId val="298093968"/>
        <c:axId val="298102672"/>
      </c:areaChart>
      <c:dateAx>
        <c:axId val="298093968"/>
        <c:scaling>
          <c:orientation val="minMax"/>
        </c:scaling>
        <c:delete val="0"/>
        <c:axPos val="b"/>
        <c:numFmt formatCode="[$-409]mmm\-yy;@"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mn-lt"/>
                <a:ea typeface="+mn-ea"/>
                <a:cs typeface="+mn-cs"/>
              </a:defRPr>
            </a:pPr>
            <a:endParaRPr lang="en-US"/>
          </a:p>
        </c:txPr>
        <c:crossAx val="298102672"/>
        <c:crosses val="autoZero"/>
        <c:auto val="1"/>
        <c:lblOffset val="100"/>
        <c:baseTimeUnit val="years"/>
      </c:dateAx>
      <c:valAx>
        <c:axId val="29810267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98093968"/>
        <c:crosses val="autoZero"/>
        <c:crossBetween val="midCat"/>
      </c:valAx>
      <c:spPr>
        <a:noFill/>
        <a:ln>
          <a:noFill/>
        </a:ln>
        <a:effectLst/>
      </c:spPr>
    </c:plotArea>
    <c:legend>
      <c:legendPos val="r"/>
      <c:layout>
        <c:manualLayout>
          <c:xMode val="edge"/>
          <c:yMode val="edge"/>
          <c:x val="0.81952101689421786"/>
          <c:y val="5.9422592973785602E-4"/>
          <c:w val="0.17567055350778257"/>
          <c:h val="0.999405774070262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598035144968937E-2"/>
          <c:y val="0.10648148148148148"/>
          <c:w val="0.95018868220539698"/>
          <c:h val="0.70833333333333337"/>
        </c:manualLayout>
      </c:layout>
      <c:barChart>
        <c:barDir val="col"/>
        <c:grouping val="clustered"/>
        <c:varyColors val="0"/>
        <c:ser>
          <c:idx val="0"/>
          <c:order val="0"/>
          <c:tx>
            <c:strRef>
              <c:f>'Screener Output.v0'!$A$190</c:f>
              <c:strCache>
                <c:ptCount val="1"/>
                <c:pt idx="0">
                  <c:v>Sales </c:v>
                </c:pt>
              </c:strCache>
            </c:strRef>
          </c:tx>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numFmt formatCode="#,##0" sourceLinked="0"/>
            <c:spPr>
              <a:solidFill>
                <a:schemeClr val="tx2">
                  <a:lumMod val="60000"/>
                  <a:lumOff val="40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Output.v0'!$D$189:$L$189</c:f>
              <c:numCache>
                <c:formatCode>[$-409]mmm\-yy;@</c:formatCode>
                <c:ptCount val="9"/>
                <c:pt idx="0">
                  <c:v>42551</c:v>
                </c:pt>
                <c:pt idx="1">
                  <c:v>42643</c:v>
                </c:pt>
                <c:pt idx="2">
                  <c:v>42735</c:v>
                </c:pt>
                <c:pt idx="3">
                  <c:v>42825</c:v>
                </c:pt>
                <c:pt idx="4">
                  <c:v>42916</c:v>
                </c:pt>
                <c:pt idx="5">
                  <c:v>43008</c:v>
                </c:pt>
                <c:pt idx="6">
                  <c:v>43100</c:v>
                </c:pt>
                <c:pt idx="7">
                  <c:v>43190</c:v>
                </c:pt>
                <c:pt idx="8">
                  <c:v>43281</c:v>
                </c:pt>
              </c:numCache>
            </c:numRef>
          </c:cat>
          <c:val>
            <c:numRef>
              <c:f>'Screener Output.v0'!$D$190:$L$190</c:f>
              <c:numCache>
                <c:formatCode>0</c:formatCode>
                <c:ptCount val="9"/>
                <c:pt idx="0">
                  <c:v>408.02</c:v>
                </c:pt>
                <c:pt idx="1">
                  <c:v>393.36</c:v>
                </c:pt>
                <c:pt idx="2">
                  <c:v>367.84999999999997</c:v>
                </c:pt>
                <c:pt idx="3">
                  <c:v>475.53</c:v>
                </c:pt>
                <c:pt idx="4">
                  <c:v>483.71999999999997</c:v>
                </c:pt>
                <c:pt idx="5">
                  <c:v>461.3</c:v>
                </c:pt>
                <c:pt idx="6">
                  <c:v>459.15</c:v>
                </c:pt>
                <c:pt idx="7">
                  <c:v>557.21</c:v>
                </c:pt>
                <c:pt idx="8">
                  <c:v>568.9</c:v>
                </c:pt>
              </c:numCache>
            </c:numRef>
          </c:val>
        </c:ser>
        <c:dLbls>
          <c:dLblPos val="inEnd"/>
          <c:showLegendKey val="0"/>
          <c:showVal val="1"/>
          <c:showCatName val="0"/>
          <c:showSerName val="0"/>
          <c:showPercent val="0"/>
          <c:showBubbleSize val="0"/>
        </c:dLbls>
        <c:gapWidth val="0"/>
        <c:axId val="298096144"/>
        <c:axId val="298099952"/>
      </c:barChart>
      <c:lineChart>
        <c:grouping val="standard"/>
        <c:varyColors val="0"/>
        <c:ser>
          <c:idx val="1"/>
          <c:order val="1"/>
          <c:tx>
            <c:strRef>
              <c:f>'Screener Output.v0'!$A$191</c:f>
              <c:strCache>
                <c:ptCount val="1"/>
                <c:pt idx="0">
                  <c:v>Sales QoQ</c:v>
                </c:pt>
              </c:strCache>
            </c:strRef>
          </c:tx>
          <c:spPr>
            <a:ln w="28575" cap="rnd">
              <a:gradFill>
                <a:gsLst>
                  <a:gs pos="0">
                    <a:schemeClr val="accent2"/>
                  </a:gs>
                  <a:gs pos="100000">
                    <a:schemeClr val="accent2">
                      <a:lumMod val="84000"/>
                    </a:schemeClr>
                  </a:gs>
                </a:gsLst>
                <a:lin ang="5400000" scaled="1"/>
              </a:gradFill>
              <a:round/>
            </a:ln>
            <a:effectLst/>
          </c:spPr>
          <c:marker>
            <c:symbol val="none"/>
          </c:marker>
          <c:cat>
            <c:numRef>
              <c:f>'Screener Output.v0'!$D$189:$L$189</c:f>
              <c:numCache>
                <c:formatCode>[$-409]mmm\-yy;@</c:formatCode>
                <c:ptCount val="9"/>
                <c:pt idx="0">
                  <c:v>42551</c:v>
                </c:pt>
                <c:pt idx="1">
                  <c:v>42643</c:v>
                </c:pt>
                <c:pt idx="2">
                  <c:v>42735</c:v>
                </c:pt>
                <c:pt idx="3">
                  <c:v>42825</c:v>
                </c:pt>
                <c:pt idx="4">
                  <c:v>42916</c:v>
                </c:pt>
                <c:pt idx="5">
                  <c:v>43008</c:v>
                </c:pt>
                <c:pt idx="6">
                  <c:v>43100</c:v>
                </c:pt>
                <c:pt idx="7">
                  <c:v>43190</c:v>
                </c:pt>
                <c:pt idx="8">
                  <c:v>43281</c:v>
                </c:pt>
              </c:numCache>
            </c:numRef>
          </c:cat>
          <c:val>
            <c:numRef>
              <c:f>'Screener Output.v0'!$D$191:$L$191</c:f>
              <c:numCache>
                <c:formatCode>0%</c:formatCode>
                <c:ptCount val="9"/>
                <c:pt idx="3">
                  <c:v>-2.1845109534094576E-2</c:v>
                </c:pt>
                <c:pt idx="4">
                  <c:v>0.18553012107249645</c:v>
                </c:pt>
                <c:pt idx="5">
                  <c:v>0.1727171039251576</c:v>
                </c:pt>
                <c:pt idx="6">
                  <c:v>0.24819899415522628</c:v>
                </c:pt>
                <c:pt idx="7">
                  <c:v>0.1717662397745674</c:v>
                </c:pt>
                <c:pt idx="8">
                  <c:v>0.17609360787232275</c:v>
                </c:pt>
              </c:numCache>
            </c:numRef>
          </c:val>
          <c:smooth val="0"/>
        </c:ser>
        <c:dLbls>
          <c:showLegendKey val="0"/>
          <c:showVal val="0"/>
          <c:showCatName val="0"/>
          <c:showSerName val="0"/>
          <c:showPercent val="0"/>
          <c:showBubbleSize val="0"/>
        </c:dLbls>
        <c:marker val="1"/>
        <c:smooth val="0"/>
        <c:axId val="298096688"/>
        <c:axId val="298097776"/>
      </c:lineChart>
      <c:dateAx>
        <c:axId val="298096144"/>
        <c:scaling>
          <c:orientation val="minMax"/>
        </c:scaling>
        <c:delete val="0"/>
        <c:axPos val="b"/>
        <c:numFmt formatCode="[$-409]mmm\-yy;@"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n-US"/>
          </a:p>
        </c:txPr>
        <c:crossAx val="298099952"/>
        <c:crosses val="autoZero"/>
        <c:auto val="1"/>
        <c:lblOffset val="100"/>
        <c:baseTimeUnit val="months"/>
        <c:majorUnit val="3"/>
        <c:majorTimeUnit val="months"/>
      </c:dateAx>
      <c:valAx>
        <c:axId val="298099952"/>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298096144"/>
        <c:crosses val="autoZero"/>
        <c:crossBetween val="between"/>
      </c:valAx>
      <c:valAx>
        <c:axId val="298097776"/>
        <c:scaling>
          <c:orientation val="minMax"/>
          <c:max val="0.60000000000000009"/>
          <c:min val="-0.60000000000000009"/>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298096688"/>
        <c:crosses val="max"/>
        <c:crossBetween val="between"/>
        <c:majorUnit val="0.2"/>
      </c:valAx>
      <c:dateAx>
        <c:axId val="298096688"/>
        <c:scaling>
          <c:orientation val="minMax"/>
        </c:scaling>
        <c:delete val="1"/>
        <c:axPos val="b"/>
        <c:numFmt formatCode="[$-409]mmm\-yy;@" sourceLinked="1"/>
        <c:majorTickMark val="out"/>
        <c:minorTickMark val="none"/>
        <c:tickLblPos val="nextTo"/>
        <c:crossAx val="298097776"/>
        <c:crosses val="autoZero"/>
        <c:auto val="1"/>
        <c:lblOffset val="100"/>
        <c:baseTimeUnit val="months"/>
      </c:dateAx>
      <c:spPr>
        <a:noFill/>
        <a:ln>
          <a:noFill/>
        </a:ln>
        <a:effectLst/>
      </c:spPr>
    </c:plotArea>
    <c:legend>
      <c:legendPos val="b"/>
      <c:layout>
        <c:manualLayout>
          <c:xMode val="edge"/>
          <c:yMode val="edge"/>
          <c:x val="6.0258501841719062E-4"/>
          <c:y val="0.92187445319335082"/>
          <c:w val="0.30534854818906265"/>
          <c:h val="7.812554680664916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120044335545495E-2"/>
          <c:y val="8.5099999999999995E-2"/>
          <c:w val="0.77090653363363681"/>
          <c:h val="0.74193333333333333"/>
        </c:manualLayout>
      </c:layout>
      <c:areaChart>
        <c:grouping val="percentStacked"/>
        <c:varyColors val="0"/>
        <c:ser>
          <c:idx val="0"/>
          <c:order val="0"/>
          <c:tx>
            <c:strRef>
              <c:f>'Screener Output.v0'!$A$196</c:f>
              <c:strCache>
                <c:ptCount val="1"/>
                <c:pt idx="0">
                  <c:v>Expenses</c:v>
                </c:pt>
              </c:strCache>
            </c:strRef>
          </c:tx>
          <c:spPr>
            <a:solidFill>
              <a:srgbClr val="FF0000">
                <a:alpha val="85000"/>
              </a:srgb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Output.v0'!$C$195:$L$195</c:f>
              <c:numCache>
                <c:formatCode>[$-409]mmm\-yy;@</c:formatCode>
                <c:ptCount val="10"/>
                <c:pt idx="0">
                  <c:v>42460</c:v>
                </c:pt>
                <c:pt idx="1">
                  <c:v>42551</c:v>
                </c:pt>
                <c:pt idx="2">
                  <c:v>42643</c:v>
                </c:pt>
                <c:pt idx="3">
                  <c:v>42735</c:v>
                </c:pt>
                <c:pt idx="4">
                  <c:v>42825</c:v>
                </c:pt>
                <c:pt idx="5">
                  <c:v>42916</c:v>
                </c:pt>
                <c:pt idx="6">
                  <c:v>43008</c:v>
                </c:pt>
                <c:pt idx="7">
                  <c:v>43100</c:v>
                </c:pt>
                <c:pt idx="8">
                  <c:v>43190</c:v>
                </c:pt>
                <c:pt idx="9">
                  <c:v>43281</c:v>
                </c:pt>
              </c:numCache>
            </c:numRef>
          </c:cat>
          <c:val>
            <c:numRef>
              <c:f>'Screener Output.v0'!$C$196:$L$196</c:f>
              <c:numCache>
                <c:formatCode>0%</c:formatCode>
                <c:ptCount val="10"/>
                <c:pt idx="0">
                  <c:v>0.86088655764681676</c:v>
                </c:pt>
                <c:pt idx="1">
                  <c:v>0.82106269300524481</c:v>
                </c:pt>
                <c:pt idx="2">
                  <c:v>0.85827232052064273</c:v>
                </c:pt>
                <c:pt idx="3">
                  <c:v>0.85700693217344037</c:v>
                </c:pt>
                <c:pt idx="4">
                  <c:v>0.86717977835257509</c:v>
                </c:pt>
                <c:pt idx="5">
                  <c:v>0.85183577276110156</c:v>
                </c:pt>
                <c:pt idx="6">
                  <c:v>0.86351615001083881</c:v>
                </c:pt>
                <c:pt idx="7">
                  <c:v>0.83989981487531307</c:v>
                </c:pt>
                <c:pt idx="8">
                  <c:v>0.82338795068286641</c:v>
                </c:pt>
                <c:pt idx="9">
                  <c:v>0.85006152223589393</c:v>
                </c:pt>
              </c:numCache>
            </c:numRef>
          </c:val>
        </c:ser>
        <c:ser>
          <c:idx val="1"/>
          <c:order val="1"/>
          <c:tx>
            <c:strRef>
              <c:f>'Screener Output.v0'!$A$197</c:f>
              <c:strCache>
                <c:ptCount val="1"/>
                <c:pt idx="0">
                  <c:v>Depreciation</c:v>
                </c:pt>
              </c:strCache>
            </c:strRef>
          </c:tx>
          <c:spPr>
            <a:solidFill>
              <a:schemeClr val="accent2">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Output.v0'!$C$195:$L$195</c:f>
              <c:numCache>
                <c:formatCode>[$-409]mmm\-yy;@</c:formatCode>
                <c:ptCount val="10"/>
                <c:pt idx="0">
                  <c:v>42460</c:v>
                </c:pt>
                <c:pt idx="1">
                  <c:v>42551</c:v>
                </c:pt>
                <c:pt idx="2">
                  <c:v>42643</c:v>
                </c:pt>
                <c:pt idx="3">
                  <c:v>42735</c:v>
                </c:pt>
                <c:pt idx="4">
                  <c:v>42825</c:v>
                </c:pt>
                <c:pt idx="5">
                  <c:v>42916</c:v>
                </c:pt>
                <c:pt idx="6">
                  <c:v>43008</c:v>
                </c:pt>
                <c:pt idx="7">
                  <c:v>43100</c:v>
                </c:pt>
                <c:pt idx="8">
                  <c:v>43190</c:v>
                </c:pt>
                <c:pt idx="9">
                  <c:v>43281</c:v>
                </c:pt>
              </c:numCache>
            </c:numRef>
          </c:cat>
          <c:val>
            <c:numRef>
              <c:f>'Screener Output.v0'!$C$197:$L$197</c:f>
              <c:numCache>
                <c:formatCode>0%</c:formatCode>
                <c:ptCount val="10"/>
                <c:pt idx="0">
                  <c:v>2.73372415921012E-2</c:v>
                </c:pt>
                <c:pt idx="1">
                  <c:v>3.0684770354394392E-2</c:v>
                </c:pt>
                <c:pt idx="2">
                  <c:v>3.2870652837095789E-2</c:v>
                </c:pt>
                <c:pt idx="3">
                  <c:v>3.5394862036156043E-2</c:v>
                </c:pt>
                <c:pt idx="4">
                  <c:v>2.7316888524383322E-2</c:v>
                </c:pt>
                <c:pt idx="5">
                  <c:v>2.7763995699991731E-2</c:v>
                </c:pt>
                <c:pt idx="6">
                  <c:v>2.9308476045957075E-2</c:v>
                </c:pt>
                <c:pt idx="7">
                  <c:v>2.9685288032233477E-2</c:v>
                </c:pt>
                <c:pt idx="8">
                  <c:v>2.4694459898422495E-2</c:v>
                </c:pt>
                <c:pt idx="9">
                  <c:v>2.4573738794164177E-2</c:v>
                </c:pt>
              </c:numCache>
            </c:numRef>
          </c:val>
        </c:ser>
        <c:ser>
          <c:idx val="2"/>
          <c:order val="2"/>
          <c:tx>
            <c:strRef>
              <c:f>'Screener Output.v0'!$A$198</c:f>
              <c:strCache>
                <c:ptCount val="1"/>
                <c:pt idx="0">
                  <c:v>Interest</c:v>
                </c:pt>
              </c:strCache>
            </c:strRef>
          </c:tx>
          <c:spPr>
            <a:solidFill>
              <a:schemeClr val="accent3">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Output.v0'!$C$195:$L$195</c:f>
              <c:numCache>
                <c:formatCode>[$-409]mmm\-yy;@</c:formatCode>
                <c:ptCount val="10"/>
                <c:pt idx="0">
                  <c:v>42460</c:v>
                </c:pt>
                <c:pt idx="1">
                  <c:v>42551</c:v>
                </c:pt>
                <c:pt idx="2">
                  <c:v>42643</c:v>
                </c:pt>
                <c:pt idx="3">
                  <c:v>42735</c:v>
                </c:pt>
                <c:pt idx="4">
                  <c:v>42825</c:v>
                </c:pt>
                <c:pt idx="5">
                  <c:v>42916</c:v>
                </c:pt>
                <c:pt idx="6">
                  <c:v>43008</c:v>
                </c:pt>
                <c:pt idx="7">
                  <c:v>43100</c:v>
                </c:pt>
                <c:pt idx="8">
                  <c:v>43190</c:v>
                </c:pt>
                <c:pt idx="9">
                  <c:v>43281</c:v>
                </c:pt>
              </c:numCache>
            </c:numRef>
          </c:cat>
          <c:val>
            <c:numRef>
              <c:f>'Screener Output.v0'!$C$198:$L$198</c:f>
              <c:numCache>
                <c:formatCode>0%</c:formatCode>
                <c:ptCount val="10"/>
                <c:pt idx="0">
                  <c:v>1.1313380643834206E-2</c:v>
                </c:pt>
                <c:pt idx="1">
                  <c:v>1.1568060389196609E-2</c:v>
                </c:pt>
                <c:pt idx="2">
                  <c:v>9.3044539353264177E-3</c:v>
                </c:pt>
                <c:pt idx="3">
                  <c:v>1.0167187712382767E-2</c:v>
                </c:pt>
                <c:pt idx="4">
                  <c:v>6.1194877294807907E-3</c:v>
                </c:pt>
                <c:pt idx="5">
                  <c:v>4.7548168361862229E-3</c:v>
                </c:pt>
                <c:pt idx="6">
                  <c:v>4.0104053761109912E-3</c:v>
                </c:pt>
                <c:pt idx="7">
                  <c:v>4.3340956114559515E-3</c:v>
                </c:pt>
                <c:pt idx="8">
                  <c:v>4.3969060138906333E-3</c:v>
                </c:pt>
                <c:pt idx="9">
                  <c:v>3.4100896466865882E-3</c:v>
                </c:pt>
              </c:numCache>
            </c:numRef>
          </c:val>
        </c:ser>
        <c:ser>
          <c:idx val="3"/>
          <c:order val="3"/>
          <c:tx>
            <c:strRef>
              <c:f>'Screener Output.v0'!$A$199</c:f>
              <c:strCache>
                <c:ptCount val="1"/>
                <c:pt idx="0">
                  <c:v>Tax</c:v>
                </c:pt>
              </c:strCache>
            </c:strRef>
          </c:tx>
          <c:spPr>
            <a:solidFill>
              <a:schemeClr val="accent4">
                <a:alpha val="85000"/>
              </a:schemeClr>
            </a:solidFill>
            <a:ln w="9525" cap="flat" cmpd="sng" algn="ctr">
              <a:solidFill>
                <a:schemeClr val="lt1">
                  <a:alpha val="50000"/>
                </a:schemeClr>
              </a:solidFill>
              <a:round/>
            </a:ln>
            <a:effectLst/>
          </c:spP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Output.v0'!$C$195:$L$195</c:f>
              <c:numCache>
                <c:formatCode>[$-409]mmm\-yy;@</c:formatCode>
                <c:ptCount val="10"/>
                <c:pt idx="0">
                  <c:v>42460</c:v>
                </c:pt>
                <c:pt idx="1">
                  <c:v>42551</c:v>
                </c:pt>
                <c:pt idx="2">
                  <c:v>42643</c:v>
                </c:pt>
                <c:pt idx="3">
                  <c:v>42735</c:v>
                </c:pt>
                <c:pt idx="4">
                  <c:v>42825</c:v>
                </c:pt>
                <c:pt idx="5">
                  <c:v>42916</c:v>
                </c:pt>
                <c:pt idx="6">
                  <c:v>43008</c:v>
                </c:pt>
                <c:pt idx="7">
                  <c:v>43100</c:v>
                </c:pt>
                <c:pt idx="8">
                  <c:v>43190</c:v>
                </c:pt>
                <c:pt idx="9">
                  <c:v>43281</c:v>
                </c:pt>
              </c:numCache>
            </c:numRef>
          </c:cat>
          <c:val>
            <c:numRef>
              <c:f>'Screener Output.v0'!$C$199:$L$199</c:f>
              <c:numCache>
                <c:formatCode>0%</c:formatCode>
                <c:ptCount val="10"/>
                <c:pt idx="0">
                  <c:v>3.2952792348040723E-2</c:v>
                </c:pt>
                <c:pt idx="1">
                  <c:v>4.6051664134111076E-2</c:v>
                </c:pt>
                <c:pt idx="2">
                  <c:v>3.1014846451088058E-2</c:v>
                </c:pt>
                <c:pt idx="3">
                  <c:v>3.1262742965882835E-2</c:v>
                </c:pt>
                <c:pt idx="4">
                  <c:v>3.2784472062751036E-2</c:v>
                </c:pt>
                <c:pt idx="5">
                  <c:v>3.8431323906392131E-2</c:v>
                </c:pt>
                <c:pt idx="6">
                  <c:v>3.3622371558638627E-2</c:v>
                </c:pt>
                <c:pt idx="7">
                  <c:v>4.292714799085267E-2</c:v>
                </c:pt>
                <c:pt idx="8">
                  <c:v>5.157839952621094E-2</c:v>
                </c:pt>
                <c:pt idx="9">
                  <c:v>4.1184742485498332E-2</c:v>
                </c:pt>
              </c:numCache>
            </c:numRef>
          </c:val>
        </c:ser>
        <c:ser>
          <c:idx val="4"/>
          <c:order val="4"/>
          <c:tx>
            <c:strRef>
              <c:f>'Screener Output.v0'!$A$200</c:f>
              <c:strCache>
                <c:ptCount val="1"/>
                <c:pt idx="0">
                  <c:v>Net profit</c:v>
                </c:pt>
              </c:strCache>
            </c:strRef>
          </c:tx>
          <c:spPr>
            <a:solidFill>
              <a:srgbClr val="00B050">
                <a:alpha val="85000"/>
              </a:srgbClr>
            </a:solidFill>
            <a:ln w="9525" cap="flat" cmpd="sng" algn="ctr">
              <a:solidFill>
                <a:schemeClr val="lt1">
                  <a:alpha val="50000"/>
                </a:schemeClr>
              </a:solidFill>
              <a:round/>
            </a:ln>
            <a:effectLst/>
          </c:spPr>
          <c:dLbls>
            <c:spPr>
              <a:solidFill>
                <a:schemeClr val="tx1">
                  <a:lumMod val="65000"/>
                  <a:lumOff val="35000"/>
                </a:schemeClr>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Output.v0'!$C$195:$L$195</c:f>
              <c:numCache>
                <c:formatCode>[$-409]mmm\-yy;@</c:formatCode>
                <c:ptCount val="10"/>
                <c:pt idx="0">
                  <c:v>42460</c:v>
                </c:pt>
                <c:pt idx="1">
                  <c:v>42551</c:v>
                </c:pt>
                <c:pt idx="2">
                  <c:v>42643</c:v>
                </c:pt>
                <c:pt idx="3">
                  <c:v>42735</c:v>
                </c:pt>
                <c:pt idx="4">
                  <c:v>42825</c:v>
                </c:pt>
                <c:pt idx="5">
                  <c:v>42916</c:v>
                </c:pt>
                <c:pt idx="6">
                  <c:v>43008</c:v>
                </c:pt>
                <c:pt idx="7">
                  <c:v>43100</c:v>
                </c:pt>
                <c:pt idx="8">
                  <c:v>43190</c:v>
                </c:pt>
                <c:pt idx="9">
                  <c:v>43281</c:v>
                </c:pt>
              </c:numCache>
            </c:numRef>
          </c:cat>
          <c:val>
            <c:numRef>
              <c:f>'Screener Output.v0'!$C$200:$L$200</c:f>
              <c:numCache>
                <c:formatCode>0%</c:formatCode>
                <c:ptCount val="10"/>
                <c:pt idx="0">
                  <c:v>6.7510027769207115E-2</c:v>
                </c:pt>
                <c:pt idx="1">
                  <c:v>9.0632812117053096E-2</c:v>
                </c:pt>
                <c:pt idx="2">
                  <c:v>6.8537726255846976E-2</c:v>
                </c:pt>
                <c:pt idx="3">
                  <c:v>6.6168275112137964E-2</c:v>
                </c:pt>
                <c:pt idx="4">
                  <c:v>6.6599373330809786E-2</c:v>
                </c:pt>
                <c:pt idx="5">
                  <c:v>7.721409079632835E-2</c:v>
                </c:pt>
                <c:pt idx="6">
                  <c:v>6.9542597008454443E-2</c:v>
                </c:pt>
                <c:pt idx="7">
                  <c:v>8.3153653490144919E-2</c:v>
                </c:pt>
                <c:pt idx="8">
                  <c:v>9.5942283878609591E-2</c:v>
                </c:pt>
                <c:pt idx="9">
                  <c:v>8.0769906837757088E-2</c:v>
                </c:pt>
              </c:numCache>
            </c:numRef>
          </c:val>
        </c:ser>
        <c:dLbls>
          <c:showLegendKey val="0"/>
          <c:showVal val="1"/>
          <c:showCatName val="0"/>
          <c:showSerName val="0"/>
          <c:showPercent val="0"/>
          <c:showBubbleSize val="0"/>
        </c:dLbls>
        <c:axId val="298098864"/>
        <c:axId val="73479328"/>
      </c:areaChart>
      <c:dateAx>
        <c:axId val="298098864"/>
        <c:scaling>
          <c:orientation val="minMax"/>
        </c:scaling>
        <c:delete val="0"/>
        <c:axPos val="b"/>
        <c:numFmt formatCode="[$-409]mmm\-yy;@"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mn-lt"/>
                <a:ea typeface="+mn-ea"/>
                <a:cs typeface="+mn-cs"/>
              </a:defRPr>
            </a:pPr>
            <a:endParaRPr lang="en-US"/>
          </a:p>
        </c:txPr>
        <c:crossAx val="73479328"/>
        <c:crosses val="autoZero"/>
        <c:auto val="1"/>
        <c:lblOffset val="100"/>
        <c:baseTimeUnit val="months"/>
        <c:majorUnit val="3"/>
        <c:majorTimeUnit val="months"/>
      </c:dateAx>
      <c:valAx>
        <c:axId val="734793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298098864"/>
        <c:crosses val="autoZero"/>
        <c:crossBetween val="midCat"/>
      </c:valAx>
      <c:spPr>
        <a:noFill/>
        <a:ln>
          <a:noFill/>
        </a:ln>
        <a:effectLst/>
      </c:spPr>
    </c:plotArea>
    <c:legend>
      <c:legendPos val="r"/>
      <c:layout>
        <c:manualLayout>
          <c:xMode val="edge"/>
          <c:yMode val="edge"/>
          <c:x val="0.84500860930348598"/>
          <c:y val="7.9480687536486821E-2"/>
          <c:w val="0.13655561797582291"/>
          <c:h val="0.311528871391076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122807017543858E-2"/>
          <c:y val="7.2351391746976843E-2"/>
          <c:w val="0.95175438596491224"/>
          <c:h val="0.82326483824092522"/>
        </c:manualLayout>
      </c:layout>
      <c:barChart>
        <c:barDir val="col"/>
        <c:grouping val="clustered"/>
        <c:varyColors val="0"/>
        <c:ser>
          <c:idx val="3"/>
          <c:order val="0"/>
          <c:tx>
            <c:strRef>
              <c:f>'Screener Output.v0'!$A$120:$B$120</c:f>
              <c:strCache>
                <c:ptCount val="2"/>
                <c:pt idx="0">
                  <c:v>Sales/NFAT</c:v>
                </c:pt>
              </c:strCache>
            </c:strRef>
          </c:tx>
          <c:spPr>
            <a:gradFill>
              <a:gsLst>
                <a:gs pos="0">
                  <a:schemeClr val="accent4"/>
                </a:gs>
                <a:gs pos="100000">
                  <a:schemeClr val="accent4">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Output.v0'!$C$116:$L$116</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Output.v0'!$C$120:$L$120</c:f>
              <c:numCache>
                <c:formatCode>0.00</c:formatCode>
                <c:ptCount val="10"/>
                <c:pt idx="0">
                  <c:v>2.9006905389051041</c:v>
                </c:pt>
                <c:pt idx="1">
                  <c:v>3.0574268360022092</c:v>
                </c:pt>
                <c:pt idx="2">
                  <c:v>2.7595479027256404</c:v>
                </c:pt>
                <c:pt idx="3">
                  <c:v>3.129999814735906</c:v>
                </c:pt>
                <c:pt idx="4">
                  <c:v>3.280707621308899</c:v>
                </c:pt>
                <c:pt idx="5">
                  <c:v>3.4062608293866239</c:v>
                </c:pt>
                <c:pt idx="6">
                  <c:v>3.4405587726105904</c:v>
                </c:pt>
                <c:pt idx="7">
                  <c:v>3.3279454022988508</c:v>
                </c:pt>
                <c:pt idx="8">
                  <c:v>3.0444682935933929</c:v>
                </c:pt>
                <c:pt idx="9">
                  <c:v>3.6719330506248355</c:v>
                </c:pt>
              </c:numCache>
            </c:numRef>
          </c:val>
        </c:ser>
        <c:dLbls>
          <c:dLblPos val="inEnd"/>
          <c:showLegendKey val="0"/>
          <c:showVal val="1"/>
          <c:showCatName val="0"/>
          <c:showSerName val="0"/>
          <c:showPercent val="0"/>
          <c:showBubbleSize val="0"/>
        </c:dLbls>
        <c:gapWidth val="41"/>
        <c:axId val="476475584"/>
        <c:axId val="476470688"/>
      </c:barChart>
      <c:dateAx>
        <c:axId val="476475584"/>
        <c:scaling>
          <c:orientation val="minMax"/>
        </c:scaling>
        <c:delete val="0"/>
        <c:axPos val="b"/>
        <c:numFmt formatCode="[$-409]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en-US"/>
          </a:p>
        </c:txPr>
        <c:crossAx val="476470688"/>
        <c:crosses val="autoZero"/>
        <c:auto val="1"/>
        <c:lblOffset val="100"/>
        <c:baseTimeUnit val="years"/>
      </c:dateAx>
      <c:valAx>
        <c:axId val="476470688"/>
        <c:scaling>
          <c:orientation val="minMax"/>
        </c:scaling>
        <c:delete val="1"/>
        <c:axPos val="l"/>
        <c:numFmt formatCode="0.00" sourceLinked="1"/>
        <c:majorTickMark val="none"/>
        <c:minorTickMark val="none"/>
        <c:tickLblPos val="nextTo"/>
        <c:crossAx val="476475584"/>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'Screener Output.v0'!$A$95:$B$95</c:f>
              <c:strCache>
                <c:ptCount val="2"/>
                <c:pt idx="0">
                  <c:v>Cash Sales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Output.v0'!$C$94:$L$94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Output.v0'!$C$95:$L$95</c:f>
              <c:numCache>
                <c:formatCode>0%</c:formatCode>
                <c:ptCount val="10"/>
                <c:pt idx="0">
                  <c:v>0.9515780690129092</c:v>
                </c:pt>
                <c:pt idx="1">
                  <c:v>0.96232616940581539</c:v>
                </c:pt>
                <c:pt idx="2">
                  <c:v>0.96563705992813942</c:v>
                </c:pt>
                <c:pt idx="3">
                  <c:v>0.97282003930203376</c:v>
                </c:pt>
                <c:pt idx="4">
                  <c:v>0.96334464797202934</c:v>
                </c:pt>
                <c:pt idx="5">
                  <c:v>0.94216291372761796</c:v>
                </c:pt>
                <c:pt idx="6">
                  <c:v>0.94303243986063501</c:v>
                </c:pt>
                <c:pt idx="7">
                  <c:v>0.93482640762727109</c:v>
                </c:pt>
                <c:pt idx="8">
                  <c:v>0.92448272691046196</c:v>
                </c:pt>
                <c:pt idx="9">
                  <c:v>0.90170778570406562</c:v>
                </c:pt>
              </c:numCache>
            </c:numRef>
          </c:val>
        </c:ser>
        <c:ser>
          <c:idx val="1"/>
          <c:order val="1"/>
          <c:tx>
            <c:strRef>
              <c:f>'Screener Output.v0'!$A$96:$B$96</c:f>
              <c:strCache>
                <c:ptCount val="2"/>
                <c:pt idx="0">
                  <c:v>Credit Sales</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'Screener Output.v0'!$C$94:$L$94</c:f>
              <c:numCache>
                <c:formatCode>[$-409]mmm\-yy;@</c:formatCode>
                <c:ptCount val="10"/>
                <c:pt idx="0">
                  <c:v>39873</c:v>
                </c:pt>
                <c:pt idx="1">
                  <c:v>40238</c:v>
                </c:pt>
                <c:pt idx="2">
                  <c:v>40603</c:v>
                </c:pt>
                <c:pt idx="3">
                  <c:v>40969</c:v>
                </c:pt>
                <c:pt idx="4">
                  <c:v>41334</c:v>
                </c:pt>
                <c:pt idx="5">
                  <c:v>41699</c:v>
                </c:pt>
                <c:pt idx="6">
                  <c:v>42064</c:v>
                </c:pt>
                <c:pt idx="7">
                  <c:v>42430</c:v>
                </c:pt>
                <c:pt idx="8">
                  <c:v>42795</c:v>
                </c:pt>
                <c:pt idx="9">
                  <c:v>43160</c:v>
                </c:pt>
              </c:numCache>
            </c:numRef>
          </c:cat>
          <c:val>
            <c:numRef>
              <c:f>'Screener Output.v0'!$C$96:$L$96</c:f>
              <c:numCache>
                <c:formatCode>0%</c:formatCode>
                <c:ptCount val="10"/>
                <c:pt idx="0">
                  <c:v>4.84219309870908E-2</c:v>
                </c:pt>
                <c:pt idx="1">
                  <c:v>3.767383059418461E-2</c:v>
                </c:pt>
                <c:pt idx="2">
                  <c:v>3.4362940071860582E-2</c:v>
                </c:pt>
                <c:pt idx="3">
                  <c:v>2.7179960697966243E-2</c:v>
                </c:pt>
                <c:pt idx="4">
                  <c:v>3.6655352027970656E-2</c:v>
                </c:pt>
                <c:pt idx="5">
                  <c:v>5.7837086272382043E-2</c:v>
                </c:pt>
                <c:pt idx="6">
                  <c:v>5.6967560139364992E-2</c:v>
                </c:pt>
                <c:pt idx="7">
                  <c:v>6.5173592372728906E-2</c:v>
                </c:pt>
                <c:pt idx="8">
                  <c:v>7.551727308953804E-2</c:v>
                </c:pt>
                <c:pt idx="9">
                  <c:v>9.8292214295934377E-2</c:v>
                </c:pt>
              </c:numCache>
            </c:numRef>
          </c:val>
        </c:ser>
        <c:dLbls>
          <c:dLblPos val="ctr"/>
          <c:showLegendKey val="0"/>
          <c:showVal val="1"/>
          <c:showCatName val="0"/>
          <c:showSerName val="0"/>
          <c:showPercent val="0"/>
          <c:showBubbleSize val="0"/>
        </c:dLbls>
        <c:gapWidth val="150"/>
        <c:overlap val="100"/>
        <c:axId val="476465248"/>
        <c:axId val="476464704"/>
      </c:barChart>
      <c:dateAx>
        <c:axId val="476465248"/>
        <c:scaling>
          <c:orientation val="minMax"/>
        </c:scaling>
        <c:delete val="0"/>
        <c:axPos val="b"/>
        <c:numFmt formatCode="[$-409]mmm\-yy;@" sourceLinked="1"/>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76464704"/>
        <c:crosses val="autoZero"/>
        <c:auto val="1"/>
        <c:lblOffset val="100"/>
        <c:baseTimeUnit val="years"/>
      </c:dateAx>
      <c:valAx>
        <c:axId val="4764647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47646524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2840186430534E-2"/>
          <c:y val="2.7777777777777776E-2"/>
          <c:w val="0.95018868220539698"/>
          <c:h val="0.77314814814814814"/>
        </c:manualLayout>
      </c:layout>
      <c:barChart>
        <c:barDir val="col"/>
        <c:grouping val="clustered"/>
        <c:varyColors val="0"/>
        <c:ser>
          <c:idx val="0"/>
          <c:order val="0"/>
          <c:tx>
            <c:strRef>
              <c:f>'Screener Output.v0'!$A$186</c:f>
              <c:strCache>
                <c:ptCount val="1"/>
                <c:pt idx="0">
                  <c:v>EPS</c:v>
                </c:pt>
              </c:strCache>
            </c:strRef>
          </c:tx>
          <c:spPr>
            <a:solidFill>
              <a:srgbClr val="00B050"/>
            </a:solidFill>
            <a:ln>
              <a:noFill/>
            </a:ln>
            <a:effectLst>
              <a:outerShdw blurRad="76200" dir="18900000" sy="23000" kx="-1200000" algn="bl" rotWithShape="0">
                <a:prstClr val="black">
                  <a:alpha val="20000"/>
                </a:prstClr>
              </a:outerShdw>
            </a:effectLst>
          </c:spPr>
          <c:invertIfNegative val="0"/>
          <c:dLbls>
            <c:numFmt formatCode="#,##0.0" sourceLinked="0"/>
            <c:spPr>
              <a:solidFill>
                <a:srgbClr val="00B050"/>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'Screener Output.v0'!$D$183:$L$183</c:f>
              <c:numCache>
                <c:formatCode>[$-409]mmm\-yy;@</c:formatCode>
                <c:ptCount val="9"/>
                <c:pt idx="0">
                  <c:v>40238</c:v>
                </c:pt>
                <c:pt idx="1">
                  <c:v>40603</c:v>
                </c:pt>
                <c:pt idx="2">
                  <c:v>40969</c:v>
                </c:pt>
                <c:pt idx="3">
                  <c:v>41334</c:v>
                </c:pt>
                <c:pt idx="4">
                  <c:v>41699</c:v>
                </c:pt>
                <c:pt idx="5">
                  <c:v>42064</c:v>
                </c:pt>
                <c:pt idx="6">
                  <c:v>42430</c:v>
                </c:pt>
                <c:pt idx="7">
                  <c:v>42795</c:v>
                </c:pt>
                <c:pt idx="8">
                  <c:v>43160</c:v>
                </c:pt>
              </c:numCache>
            </c:numRef>
          </c:cat>
          <c:val>
            <c:numRef>
              <c:f>'Screener Output.v0'!$D$186:$L$186</c:f>
              <c:numCache>
                <c:formatCode>_(* #,##0.0_);_(* \(#,##0.0\);_(* "-"??_);_(@_)</c:formatCode>
                <c:ptCount val="9"/>
                <c:pt idx="0">
                  <c:v>3.1405192814051923</c:v>
                </c:pt>
                <c:pt idx="1">
                  <c:v>2.2256107722561076</c:v>
                </c:pt>
                <c:pt idx="2">
                  <c:v>3.3246675332466751</c:v>
                </c:pt>
                <c:pt idx="3">
                  <c:v>3.7337932873379329</c:v>
                </c:pt>
                <c:pt idx="4">
                  <c:v>5.4694530546945304</c:v>
                </c:pt>
                <c:pt idx="5">
                  <c:v>8.5866413358664122</c:v>
                </c:pt>
                <c:pt idx="6">
                  <c:v>10.020018377253525</c:v>
                </c:pt>
                <c:pt idx="7">
                  <c:v>9.9849954528522158</c:v>
                </c:pt>
                <c:pt idx="8">
                  <c:v>13.383062345777386</c:v>
                </c:pt>
              </c:numCache>
            </c:numRef>
          </c:val>
        </c:ser>
        <c:dLbls>
          <c:dLblPos val="inEnd"/>
          <c:showLegendKey val="0"/>
          <c:showVal val="1"/>
          <c:showCatName val="0"/>
          <c:showSerName val="0"/>
          <c:showPercent val="0"/>
          <c:showBubbleSize val="0"/>
        </c:dLbls>
        <c:gapWidth val="41"/>
        <c:axId val="476471232"/>
        <c:axId val="476471776"/>
      </c:barChart>
      <c:lineChart>
        <c:grouping val="standard"/>
        <c:varyColors val="0"/>
        <c:ser>
          <c:idx val="1"/>
          <c:order val="1"/>
          <c:tx>
            <c:strRef>
              <c:f>'Screener Output.v0'!$A$187</c:f>
              <c:strCache>
                <c:ptCount val="1"/>
                <c:pt idx="0">
                  <c:v>EPS YoY</c:v>
                </c:pt>
              </c:strCache>
            </c:strRef>
          </c:tx>
          <c:spPr>
            <a:ln w="28575" cap="rnd">
              <a:gradFill>
                <a:gsLst>
                  <a:gs pos="0">
                    <a:schemeClr val="accent2"/>
                  </a:gs>
                  <a:gs pos="100000">
                    <a:schemeClr val="accent2">
                      <a:lumMod val="84000"/>
                    </a:schemeClr>
                  </a:gs>
                </a:gsLst>
                <a:lin ang="5400000" scaled="1"/>
              </a:gradFill>
              <a:round/>
            </a:ln>
            <a:effectLst/>
          </c:spPr>
          <c:marker>
            <c:symbol val="none"/>
          </c:marker>
          <c:cat>
            <c:numRef>
              <c:f>'Screener Output.v0'!$D$183:$L$183</c:f>
              <c:numCache>
                <c:formatCode>[$-409]mmm\-yy;@</c:formatCode>
                <c:ptCount val="9"/>
                <c:pt idx="0">
                  <c:v>40238</c:v>
                </c:pt>
                <c:pt idx="1">
                  <c:v>40603</c:v>
                </c:pt>
                <c:pt idx="2">
                  <c:v>40969</c:v>
                </c:pt>
                <c:pt idx="3">
                  <c:v>41334</c:v>
                </c:pt>
                <c:pt idx="4">
                  <c:v>41699</c:v>
                </c:pt>
                <c:pt idx="5">
                  <c:v>42064</c:v>
                </c:pt>
                <c:pt idx="6">
                  <c:v>42430</c:v>
                </c:pt>
                <c:pt idx="7">
                  <c:v>42795</c:v>
                </c:pt>
                <c:pt idx="8">
                  <c:v>43160</c:v>
                </c:pt>
              </c:numCache>
            </c:numRef>
          </c:cat>
          <c:val>
            <c:numRef>
              <c:f>'Screener Output.v0'!$D$187:$L$187</c:f>
              <c:numCache>
                <c:formatCode>0%</c:formatCode>
                <c:ptCount val="9"/>
                <c:pt idx="0">
                  <c:v>1.6486296556570625</c:v>
                </c:pt>
                <c:pt idx="1">
                  <c:v>-0.29132395860971072</c:v>
                </c:pt>
                <c:pt idx="2">
                  <c:v>0.49382253837514045</c:v>
                </c:pt>
                <c:pt idx="3">
                  <c:v>0.12305764411027575</c:v>
                </c:pt>
                <c:pt idx="4">
                  <c:v>0.46485159562597622</c:v>
                </c:pt>
                <c:pt idx="5">
                  <c:v>0.56992687385740393</c:v>
                </c:pt>
                <c:pt idx="6">
                  <c:v>0.16693104851135399</c:v>
                </c:pt>
                <c:pt idx="7">
                  <c:v>-3.4952954258861135E-3</c:v>
                </c:pt>
                <c:pt idx="8">
                  <c:v>0.34031732001986148</c:v>
                </c:pt>
              </c:numCache>
            </c:numRef>
          </c:val>
          <c:smooth val="0"/>
        </c:ser>
        <c:dLbls>
          <c:showLegendKey val="0"/>
          <c:showVal val="0"/>
          <c:showCatName val="0"/>
          <c:showSerName val="0"/>
          <c:showPercent val="0"/>
          <c:showBubbleSize val="0"/>
        </c:dLbls>
        <c:marker val="1"/>
        <c:smooth val="0"/>
        <c:axId val="476466336"/>
        <c:axId val="476461984"/>
      </c:lineChart>
      <c:dateAx>
        <c:axId val="476471232"/>
        <c:scaling>
          <c:orientation val="minMax"/>
        </c:scaling>
        <c:delete val="0"/>
        <c:axPos val="b"/>
        <c:numFmt formatCode="[$-409]mmm\-yy;@" sourceLinked="1"/>
        <c:majorTickMark val="out"/>
        <c:minorTickMark val="none"/>
        <c:tickLblPos val="nextTo"/>
        <c:spPr>
          <a:noFill/>
          <a:ln>
            <a:noFill/>
          </a:ln>
          <a:effectLst/>
        </c:spPr>
        <c:txPr>
          <a:bodyPr rot="-60000000" spcFirstLastPara="1" vertOverflow="ellipsis" vert="horz" wrap="square" anchor="ctr" anchorCtr="1"/>
          <a:lstStyle/>
          <a:p>
            <a:pPr algn="ctr">
              <a:defRPr lang="en-US" sz="1000" b="0" i="0" u="none" strike="noStrike" kern="1200" baseline="0">
                <a:solidFill>
                  <a:schemeClr val="dk1">
                    <a:lumMod val="65000"/>
                    <a:lumOff val="35000"/>
                  </a:schemeClr>
                </a:solidFill>
                <a:effectLst/>
                <a:latin typeface="+mn-lt"/>
                <a:ea typeface="+mn-ea"/>
                <a:cs typeface="+mn-cs"/>
              </a:defRPr>
            </a:pPr>
            <a:endParaRPr lang="en-US"/>
          </a:p>
        </c:txPr>
        <c:crossAx val="476471776"/>
        <c:crosses val="autoZero"/>
        <c:auto val="1"/>
        <c:lblOffset val="100"/>
        <c:baseTimeUnit val="years"/>
      </c:dateAx>
      <c:valAx>
        <c:axId val="476471776"/>
        <c:scaling>
          <c:orientation val="minMax"/>
        </c:scaling>
        <c:delete val="0"/>
        <c:axPos val="l"/>
        <c:majorGridlines>
          <c:spPr>
            <a:ln w="9525" cap="flat" cmpd="sng" algn="ctr">
              <a:solidFill>
                <a:schemeClr val="dk1">
                  <a:lumMod val="15000"/>
                  <a:lumOff val="85000"/>
                </a:schemeClr>
              </a:solidFill>
              <a:round/>
            </a:ln>
            <a:effectLst/>
          </c:spPr>
        </c:majorGridlines>
        <c:numFmt formatCode="_(* #,##0.0_);_(* \(#,##0.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476471232"/>
        <c:crossesAt val="39875"/>
        <c:crossBetween val="between"/>
      </c:valAx>
      <c:valAx>
        <c:axId val="476461984"/>
        <c:scaling>
          <c:orientation val="minMax"/>
          <c:max val="0.60000000000000009"/>
          <c:min val="-0.60000000000000009"/>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latin typeface="+mn-lt"/>
                <a:ea typeface="+mn-ea"/>
                <a:cs typeface="+mn-cs"/>
              </a:defRPr>
            </a:pPr>
            <a:endParaRPr lang="en-US"/>
          </a:p>
        </c:txPr>
        <c:crossAx val="476466336"/>
        <c:crosses val="max"/>
        <c:crossBetween val="between"/>
        <c:majorUnit val="0.2"/>
      </c:valAx>
      <c:dateAx>
        <c:axId val="476466336"/>
        <c:scaling>
          <c:orientation val="minMax"/>
        </c:scaling>
        <c:delete val="1"/>
        <c:axPos val="b"/>
        <c:numFmt formatCode="[$-409]mmm\-yy;@" sourceLinked="1"/>
        <c:majorTickMark val="out"/>
        <c:minorTickMark val="none"/>
        <c:tickLblPos val="nextTo"/>
        <c:crossAx val="476461984"/>
        <c:crosses val="autoZero"/>
        <c:auto val="1"/>
        <c:lblOffset val="100"/>
        <c:baseTimeUnit val="years"/>
      </c:dateAx>
      <c:spPr>
        <a:noFill/>
        <a:ln>
          <a:noFill/>
        </a:ln>
        <a:effectLst/>
      </c:spPr>
    </c:plotArea>
    <c:legend>
      <c:legendPos val="b"/>
      <c:layout>
        <c:manualLayout>
          <c:xMode val="edge"/>
          <c:yMode val="edge"/>
          <c:x val="6.0258501841719062E-4"/>
          <c:y val="0.92187445319335082"/>
          <c:w val="0.28785147598564992"/>
          <c:h val="7.8125546806649182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79">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65000"/>
        <a:lumOff val="35000"/>
      </a:schemeClr>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effectLst>
        <a:innerShdw dist="12700" dir="16200000">
          <a:schemeClr val="lt1"/>
        </a:innerShdw>
      </a:effectLst>
    </cs:spPr>
  </cs:dataPoint>
  <cs:dataPoint3D>
    <cs:lnRef idx="0"/>
    <cs:fillRef idx="0">
      <cs:styleClr val="auto"/>
    </cs:fillRef>
    <cs:effectRef idx="0"/>
    <cs:fontRef idx="minor">
      <a:schemeClr val="dk1"/>
    </cs:fontRef>
    <cs:spPr>
      <a:solidFill>
        <a:schemeClr val="phClr">
          <a:alpha val="85000"/>
        </a:schemeClr>
      </a:solidFill>
      <a:effectLst>
        <a:innerShdw dist="12700" dir="16200000">
          <a:schemeClr val="lt1"/>
        </a:inn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28"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checked="Checked" firstButton="1" fmlaLink="$A$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fmlaLink="$A$30"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2</xdr:col>
      <xdr:colOff>66675</xdr:colOff>
      <xdr:row>0</xdr:row>
      <xdr:rowOff>123826</xdr:rowOff>
    </xdr:from>
    <xdr:to>
      <xdr:col>6</xdr:col>
      <xdr:colOff>683448</xdr:colOff>
      <xdr:row>10</xdr:row>
      <xdr:rowOff>423334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21168</xdr:colOff>
      <xdr:row>10</xdr:row>
      <xdr:rowOff>719667</xdr:rowOff>
    </xdr:from>
    <xdr:to>
      <xdr:col>6</xdr:col>
      <xdr:colOff>666750</xdr:colOff>
      <xdr:row>11</xdr:row>
      <xdr:rowOff>123826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332717</xdr:colOff>
      <xdr:row>1</xdr:row>
      <xdr:rowOff>173580</xdr:rowOff>
    </xdr:from>
    <xdr:to>
      <xdr:col>3</xdr:col>
      <xdr:colOff>524325</xdr:colOff>
      <xdr:row>3</xdr:row>
      <xdr:rowOff>13899</xdr:rowOff>
    </xdr:to>
    <xdr:sp macro="" textlink="">
      <xdr:nvSpPr>
        <xdr:cNvPr id="7" name="Flowchart: Process 6"/>
        <xdr:cNvSpPr/>
      </xdr:nvSpPr>
      <xdr:spPr>
        <a:xfrm rot="19947316">
          <a:off x="6904967" y="374663"/>
          <a:ext cx="890108" cy="221319"/>
        </a:xfrm>
        <a:prstGeom prst="flowChartProcess">
          <a:avLst/>
        </a:prstGeom>
        <a:solidFill>
          <a:srgbClr val="FFFF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rgbClr val="FF0000"/>
              </a:solidFill>
              <a:latin typeface="Arial" panose="020B0604020202020204" pitchFamily="34" charset="0"/>
              <a:cs typeface="Arial" panose="020B0604020202020204" pitchFamily="34" charset="0"/>
            </a:rPr>
            <a:t>Earnings</a:t>
          </a:r>
        </a:p>
      </xdr:txBody>
    </xdr:sp>
    <xdr:clientData/>
  </xdr:twoCellAnchor>
  <xdr:twoCellAnchor>
    <xdr:from>
      <xdr:col>2</xdr:col>
      <xdr:colOff>305103</xdr:colOff>
      <xdr:row>10</xdr:row>
      <xdr:rowOff>885252</xdr:rowOff>
    </xdr:from>
    <xdr:to>
      <xdr:col>3</xdr:col>
      <xdr:colOff>646180</xdr:colOff>
      <xdr:row>10</xdr:row>
      <xdr:rowOff>1084752</xdr:rowOff>
    </xdr:to>
    <xdr:sp macro="" textlink="">
      <xdr:nvSpPr>
        <xdr:cNvPr id="9" name="Flowchart: Process 8"/>
        <xdr:cNvSpPr/>
      </xdr:nvSpPr>
      <xdr:spPr>
        <a:xfrm rot="19947316">
          <a:off x="6877353" y="2800835"/>
          <a:ext cx="1039577" cy="199500"/>
        </a:xfrm>
        <a:prstGeom prst="flowChartProcess">
          <a:avLst/>
        </a:prstGeom>
        <a:solidFill>
          <a:srgbClr val="FFFF00"/>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rgbClr val="FF0000"/>
              </a:solidFill>
              <a:latin typeface="Arial" panose="020B0604020202020204" pitchFamily="34" charset="0"/>
              <a:cs typeface="Arial" panose="020B0604020202020204" pitchFamily="34" charset="0"/>
            </a:rPr>
            <a:t>Growth</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190500</xdr:colOff>
      <xdr:row>16</xdr:row>
      <xdr:rowOff>66675</xdr:rowOff>
    </xdr:from>
    <xdr:to>
      <xdr:col>7</xdr:col>
      <xdr:colOff>0</xdr:colOff>
      <xdr:row>18</xdr:row>
      <xdr:rowOff>85725</xdr:rowOff>
    </xdr:to>
    <xdr:sp macro="" textlink="">
      <xdr:nvSpPr>
        <xdr:cNvPr id="2" name="Rounded Rectangular Callout 1"/>
        <xdr:cNvSpPr/>
      </xdr:nvSpPr>
      <xdr:spPr>
        <a:xfrm>
          <a:off x="4333875" y="3000375"/>
          <a:ext cx="4972050" cy="381000"/>
        </a:xfrm>
        <a:prstGeom prst="wedgeRoundRectCallou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solidFill>
                <a:srgbClr val="FF0000"/>
              </a:solidFill>
            </a:rPr>
            <a:t>The output of Altman score test gauges a publicly traded company's likelihood of bankruptcy.</a:t>
          </a:r>
          <a:endParaRPr lang="en-GB"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1</xdr:col>
      <xdr:colOff>152400</xdr:colOff>
      <xdr:row>21</xdr:row>
      <xdr:rowOff>133350</xdr:rowOff>
    </xdr:from>
    <xdr:to>
      <xdr:col>2</xdr:col>
      <xdr:colOff>2867025</xdr:colOff>
      <xdr:row>36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514350</xdr:colOff>
      <xdr:row>23</xdr:row>
      <xdr:rowOff>152400</xdr:rowOff>
    </xdr:from>
    <xdr:to>
      <xdr:col>2</xdr:col>
      <xdr:colOff>2486025</xdr:colOff>
      <xdr:row>35</xdr:row>
      <xdr:rowOff>163830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142874</xdr:colOff>
      <xdr:row>31</xdr:row>
      <xdr:rowOff>133350</xdr:rowOff>
    </xdr:from>
    <xdr:to>
      <xdr:col>11</xdr:col>
      <xdr:colOff>66674</xdr:colOff>
      <xdr:row>33</xdr:row>
      <xdr:rowOff>123825</xdr:rowOff>
    </xdr:to>
    <xdr:sp macro="" textlink="">
      <xdr:nvSpPr>
        <xdr:cNvPr id="4" name="Rounded Rectangular Callout 3"/>
        <xdr:cNvSpPr/>
      </xdr:nvSpPr>
      <xdr:spPr>
        <a:xfrm>
          <a:off x="4981574" y="4343400"/>
          <a:ext cx="3629025" cy="314325"/>
        </a:xfrm>
        <a:prstGeom prst="wedgeRoundRectCallou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solidFill>
                <a:srgbClr val="FF0000"/>
              </a:solidFill>
              <a:latin typeface="Arial" panose="020B0604020202020204" pitchFamily="34" charset="0"/>
              <a:cs typeface="Arial" panose="020B0604020202020204" pitchFamily="34" charset="0"/>
            </a:rPr>
            <a:t>Return</a:t>
          </a:r>
          <a:r>
            <a:rPr lang="en-GB" sz="900" baseline="0">
              <a:solidFill>
                <a:srgbClr val="FF0000"/>
              </a:solidFill>
              <a:latin typeface="Arial" panose="020B0604020202020204" pitchFamily="34" charset="0"/>
              <a:cs typeface="Arial" panose="020B0604020202020204" pitchFamily="34" charset="0"/>
            </a:rPr>
            <a:t> on stock  when existing  ROE growth rate is extended</a:t>
          </a:r>
          <a:endParaRPr lang="en-GB" sz="900">
            <a:solidFill>
              <a:srgbClr val="FF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0</xdr:col>
          <xdr:colOff>361950</xdr:colOff>
          <xdr:row>1</xdr:row>
          <xdr:rowOff>133350</xdr:rowOff>
        </xdr:from>
        <xdr:to>
          <xdr:col>1</xdr:col>
          <xdr:colOff>352425</xdr:colOff>
          <xdr:row>4</xdr:row>
          <xdr:rowOff>114300</xdr:rowOff>
        </xdr:to>
        <xdr:sp macro="" textlink="">
          <xdr:nvSpPr>
            <xdr:cNvPr id="16386" name="Group Box 2" hidden="1">
              <a:extLst>
                <a:ext uri="{63B3BB69-23CF-44E3-9099-C40C66FF867C}">
                  <a14:compatExt spid="_x0000_s163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2</xdr:row>
          <xdr:rowOff>133350</xdr:rowOff>
        </xdr:from>
        <xdr:to>
          <xdr:col>0</xdr:col>
          <xdr:colOff>1133475</xdr:colOff>
          <xdr:row>4</xdr:row>
          <xdr:rowOff>28575</xdr:rowOff>
        </xdr:to>
        <xdr:sp macro="" textlink="">
          <xdr:nvSpPr>
            <xdr:cNvPr id="16387" name="Option Button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Bank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1381125</xdr:colOff>
          <xdr:row>2</xdr:row>
          <xdr:rowOff>133350</xdr:rowOff>
        </xdr:from>
        <xdr:to>
          <xdr:col>0</xdr:col>
          <xdr:colOff>2066925</xdr:colOff>
          <xdr:row>4</xdr:row>
          <xdr:rowOff>28575</xdr:rowOff>
        </xdr:to>
        <xdr:sp macro="" textlink="">
          <xdr:nvSpPr>
            <xdr:cNvPr id="16388" name="Option Button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Not Bank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xdr:row>
          <xdr:rowOff>133350</xdr:rowOff>
        </xdr:from>
        <xdr:to>
          <xdr:col>5</xdr:col>
          <xdr:colOff>0</xdr:colOff>
          <xdr:row>4</xdr:row>
          <xdr:rowOff>104775</xdr:rowOff>
        </xdr:to>
        <xdr:sp macro="" textlink="">
          <xdr:nvSpPr>
            <xdr:cNvPr id="16389" name="Group Box 5" hidden="1">
              <a:extLst>
                <a:ext uri="{63B3BB69-23CF-44E3-9099-C40C66FF867C}">
                  <a14:compatExt spid="_x0000_s163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Future Growth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2</xdr:row>
          <xdr:rowOff>142875</xdr:rowOff>
        </xdr:from>
        <xdr:to>
          <xdr:col>3</xdr:col>
          <xdr:colOff>1038225</xdr:colOff>
          <xdr:row>4</xdr:row>
          <xdr:rowOff>38100</xdr:rowOff>
        </xdr:to>
        <xdr:sp macro="" textlink="">
          <xdr:nvSpPr>
            <xdr:cNvPr id="16390" name="Option Button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Yr. CAGR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1390650</xdr:colOff>
          <xdr:row>2</xdr:row>
          <xdr:rowOff>152400</xdr:rowOff>
        </xdr:from>
        <xdr:to>
          <xdr:col>4</xdr:col>
          <xdr:colOff>323850</xdr:colOff>
          <xdr:row>4</xdr:row>
          <xdr:rowOff>47625</xdr:rowOff>
        </xdr:to>
        <xdr:sp macro="" textlink="">
          <xdr:nvSpPr>
            <xdr:cNvPr id="16391" name="Option Button 7" hidden="1">
              <a:extLst>
                <a:ext uri="{63B3BB69-23CF-44E3-9099-C40C66FF867C}">
                  <a14:compatExt spid="_x0000_s1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Conservative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xdr:row>
          <xdr:rowOff>152400</xdr:rowOff>
        </xdr:from>
        <xdr:to>
          <xdr:col>7</xdr:col>
          <xdr:colOff>704850</xdr:colOff>
          <xdr:row>4</xdr:row>
          <xdr:rowOff>123825</xdr:rowOff>
        </xdr:to>
        <xdr:sp macro="" textlink="">
          <xdr:nvSpPr>
            <xdr:cNvPr id="16392" name="Group Box 8" hidden="1">
              <a:extLst>
                <a:ext uri="{63B3BB69-23CF-44E3-9099-C40C66FF867C}">
                  <a14:compatExt spid="_x0000_s163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RoE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3</xdr:row>
          <xdr:rowOff>0</xdr:rowOff>
        </xdr:from>
        <xdr:to>
          <xdr:col>6</xdr:col>
          <xdr:colOff>361950</xdr:colOff>
          <xdr:row>4</xdr:row>
          <xdr:rowOff>57150</xdr:rowOff>
        </xdr:to>
        <xdr:sp macro="" textlink="">
          <xdr:nvSpPr>
            <xdr:cNvPr id="16393" name="Option Button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2</xdr:row>
          <xdr:rowOff>152400</xdr:rowOff>
        </xdr:from>
        <xdr:to>
          <xdr:col>7</xdr:col>
          <xdr:colOff>485775</xdr:colOff>
          <xdr:row>4</xdr:row>
          <xdr:rowOff>47625</xdr:rowOff>
        </xdr:to>
        <xdr:sp macro="" textlink="">
          <xdr:nvSpPr>
            <xdr:cNvPr id="16394" name="Option Button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Yr. Avg.</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21166</xdr:colOff>
      <xdr:row>10</xdr:row>
      <xdr:rowOff>10584</xdr:rowOff>
    </xdr:from>
    <xdr:to>
      <xdr:col>9</xdr:col>
      <xdr:colOff>0</xdr:colOff>
      <xdr:row>25</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486834</xdr:colOff>
      <xdr:row>14</xdr:row>
      <xdr:rowOff>52917</xdr:rowOff>
    </xdr:from>
    <xdr:to>
      <xdr:col>8</xdr:col>
      <xdr:colOff>266700</xdr:colOff>
      <xdr:row>14</xdr:row>
      <xdr:rowOff>66515</xdr:rowOff>
    </xdr:to>
    <xdr:cxnSp macro="">
      <xdr:nvCxnSpPr>
        <xdr:cNvPr id="9" name="Straight Connector 8"/>
        <xdr:cNvCxnSpPr/>
      </xdr:nvCxnSpPr>
      <xdr:spPr>
        <a:xfrm>
          <a:off x="867834" y="1205442"/>
          <a:ext cx="4047066" cy="13598"/>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480484</xdr:colOff>
      <xdr:row>16</xdr:row>
      <xdr:rowOff>28575</xdr:rowOff>
    </xdr:from>
    <xdr:to>
      <xdr:col>8</xdr:col>
      <xdr:colOff>295275</xdr:colOff>
      <xdr:row>16</xdr:row>
      <xdr:rowOff>46567</xdr:rowOff>
    </xdr:to>
    <xdr:cxnSp macro="">
      <xdr:nvCxnSpPr>
        <xdr:cNvPr id="10" name="Straight Connector 9"/>
        <xdr:cNvCxnSpPr/>
      </xdr:nvCxnSpPr>
      <xdr:spPr>
        <a:xfrm flipV="1">
          <a:off x="861484" y="1562100"/>
          <a:ext cx="4081991" cy="17992"/>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10</xdr:row>
      <xdr:rowOff>20110</xdr:rowOff>
    </xdr:from>
    <xdr:to>
      <xdr:col>21</xdr:col>
      <xdr:colOff>1</xdr:colOff>
      <xdr:row>25</xdr:row>
      <xdr:rowOff>9525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10581</xdr:colOff>
      <xdr:row>28</xdr:row>
      <xdr:rowOff>0</xdr:rowOff>
    </xdr:from>
    <xdr:to>
      <xdr:col>8</xdr:col>
      <xdr:colOff>600074</xdr:colOff>
      <xdr:row>43</xdr:row>
      <xdr:rowOff>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465667</xdr:colOff>
      <xdr:row>36</xdr:row>
      <xdr:rowOff>88689</xdr:rowOff>
    </xdr:from>
    <xdr:to>
      <xdr:col>2</xdr:col>
      <xdr:colOff>3591984</xdr:colOff>
      <xdr:row>36</xdr:row>
      <xdr:rowOff>88689</xdr:rowOff>
    </xdr:to>
    <xdr:cxnSp macro="">
      <xdr:nvCxnSpPr>
        <xdr:cNvPr id="13" name="Straight Connector 12"/>
        <xdr:cNvCxnSpPr/>
      </xdr:nvCxnSpPr>
      <xdr:spPr>
        <a:xfrm>
          <a:off x="465667" y="10718589"/>
          <a:ext cx="4993217" cy="0"/>
        </a:xfrm>
        <a:prstGeom prst="line">
          <a:avLst/>
        </a:prstGeom>
        <a:ln>
          <a:solidFill>
            <a:schemeClr val="tx1">
              <a:lumMod val="50000"/>
              <a:lumOff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352426</xdr:colOff>
      <xdr:row>35</xdr:row>
      <xdr:rowOff>8467</xdr:rowOff>
    </xdr:from>
    <xdr:to>
      <xdr:col>8</xdr:col>
      <xdr:colOff>371475</xdr:colOff>
      <xdr:row>35</xdr:row>
      <xdr:rowOff>8467</xdr:rowOff>
    </xdr:to>
    <xdr:cxnSp macro="">
      <xdr:nvCxnSpPr>
        <xdr:cNvPr id="14" name="Straight Connector 13"/>
        <xdr:cNvCxnSpPr/>
      </xdr:nvCxnSpPr>
      <xdr:spPr>
        <a:xfrm>
          <a:off x="733426" y="5171017"/>
          <a:ext cx="4286249"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325967</xdr:colOff>
      <xdr:row>33</xdr:row>
      <xdr:rowOff>31750</xdr:rowOff>
    </xdr:from>
    <xdr:to>
      <xdr:col>8</xdr:col>
      <xdr:colOff>228600</xdr:colOff>
      <xdr:row>33</xdr:row>
      <xdr:rowOff>31750</xdr:rowOff>
    </xdr:to>
    <xdr:cxnSp macro="">
      <xdr:nvCxnSpPr>
        <xdr:cNvPr id="15" name="Straight Connector 14"/>
        <xdr:cNvCxnSpPr/>
      </xdr:nvCxnSpPr>
      <xdr:spPr>
        <a:xfrm>
          <a:off x="706967" y="4813300"/>
          <a:ext cx="4169833"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10587</xdr:colOff>
      <xdr:row>28</xdr:row>
      <xdr:rowOff>10582</xdr:rowOff>
    </xdr:from>
    <xdr:to>
      <xdr:col>21</xdr:col>
      <xdr:colOff>9526</xdr:colOff>
      <xdr:row>43</xdr:row>
      <xdr:rowOff>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371476</xdr:colOff>
      <xdr:row>47</xdr:row>
      <xdr:rowOff>19050</xdr:rowOff>
    </xdr:from>
    <xdr:to>
      <xdr:col>9</xdr:col>
      <xdr:colOff>1</xdr:colOff>
      <xdr:row>59</xdr:row>
      <xdr:rowOff>114301</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485774</xdr:colOff>
      <xdr:row>47</xdr:row>
      <xdr:rowOff>9525</xdr:rowOff>
    </xdr:from>
    <xdr:to>
      <xdr:col>20</xdr:col>
      <xdr:colOff>609599</xdr:colOff>
      <xdr:row>59</xdr:row>
      <xdr:rowOff>114300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0.10517</cdr:x>
      <cdr:y>1</cdr:y>
    </cdr:from>
    <cdr:to>
      <cdr:x>1</cdr:x>
      <cdr:y>1</cdr:y>
    </cdr:to>
    <cdr:cxnSp macro="">
      <cdr:nvCxnSpPr>
        <cdr:cNvPr id="2" name="Straight Connector 1"/>
        <cdr:cNvCxnSpPr/>
      </cdr:nvCxnSpPr>
      <cdr:spPr>
        <a:xfrm xmlns:a="http://schemas.openxmlformats.org/drawingml/2006/main">
          <a:off x="6675966" y="6718089"/>
          <a:ext cx="5132918" cy="0"/>
        </a:xfrm>
        <a:prstGeom xmlns:a="http://schemas.openxmlformats.org/drawingml/2006/main" prst="line">
          <a:avLst/>
        </a:prstGeom>
        <a:ln xmlns:a="http://schemas.openxmlformats.org/drawingml/2006/main">
          <a:solidFill>
            <a:schemeClr val="tx1">
              <a:lumMod val="50000"/>
              <a:lumOff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1</xdr:col>
      <xdr:colOff>10583</xdr:colOff>
      <xdr:row>10</xdr:row>
      <xdr:rowOff>10582</xdr:rowOff>
    </xdr:from>
    <xdr:to>
      <xdr:col>9</xdr:col>
      <xdr:colOff>0</xdr:colOff>
      <xdr:row>25</xdr:row>
      <xdr:rowOff>19050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50800</xdr:colOff>
      <xdr:row>16</xdr:row>
      <xdr:rowOff>40217</xdr:rowOff>
    </xdr:from>
    <xdr:to>
      <xdr:col>8</xdr:col>
      <xdr:colOff>247650</xdr:colOff>
      <xdr:row>16</xdr:row>
      <xdr:rowOff>40217</xdr:rowOff>
    </xdr:to>
    <xdr:cxnSp macro="">
      <xdr:nvCxnSpPr>
        <xdr:cNvPr id="12" name="Straight Connector 11"/>
        <xdr:cNvCxnSpPr/>
      </xdr:nvCxnSpPr>
      <xdr:spPr>
        <a:xfrm>
          <a:off x="431800" y="3212042"/>
          <a:ext cx="4673600"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12</xdr:row>
      <xdr:rowOff>0</xdr:rowOff>
    </xdr:from>
    <xdr:to>
      <xdr:col>8</xdr:col>
      <xdr:colOff>161925</xdr:colOff>
      <xdr:row>12</xdr:row>
      <xdr:rowOff>0</xdr:rowOff>
    </xdr:to>
    <xdr:cxnSp macro="">
      <xdr:nvCxnSpPr>
        <xdr:cNvPr id="13" name="Straight Connector 12"/>
        <xdr:cNvCxnSpPr/>
      </xdr:nvCxnSpPr>
      <xdr:spPr>
        <a:xfrm>
          <a:off x="466725" y="2409825"/>
          <a:ext cx="4552950"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10583</xdr:colOff>
      <xdr:row>32</xdr:row>
      <xdr:rowOff>10583</xdr:rowOff>
    </xdr:from>
    <xdr:to>
      <xdr:col>8</xdr:col>
      <xdr:colOff>590550</xdr:colOff>
      <xdr:row>46</xdr:row>
      <xdr:rowOff>152401</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343958</xdr:colOff>
      <xdr:row>35</xdr:row>
      <xdr:rowOff>43392</xdr:rowOff>
    </xdr:from>
    <xdr:to>
      <xdr:col>8</xdr:col>
      <xdr:colOff>228600</xdr:colOff>
      <xdr:row>35</xdr:row>
      <xdr:rowOff>43392</xdr:rowOff>
    </xdr:to>
    <xdr:cxnSp macro="">
      <xdr:nvCxnSpPr>
        <xdr:cNvPr id="19" name="Straight Connector 18"/>
        <xdr:cNvCxnSpPr/>
      </xdr:nvCxnSpPr>
      <xdr:spPr>
        <a:xfrm>
          <a:off x="724958" y="6082242"/>
          <a:ext cx="4361392"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295275</xdr:colOff>
      <xdr:row>39</xdr:row>
      <xdr:rowOff>28575</xdr:rowOff>
    </xdr:from>
    <xdr:to>
      <xdr:col>8</xdr:col>
      <xdr:colOff>247650</xdr:colOff>
      <xdr:row>39</xdr:row>
      <xdr:rowOff>28575</xdr:rowOff>
    </xdr:to>
    <xdr:cxnSp macro="">
      <xdr:nvCxnSpPr>
        <xdr:cNvPr id="20" name="Straight Connector 19"/>
        <xdr:cNvCxnSpPr/>
      </xdr:nvCxnSpPr>
      <xdr:spPr>
        <a:xfrm>
          <a:off x="676275" y="6829425"/>
          <a:ext cx="4429125"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485774</xdr:colOff>
      <xdr:row>32</xdr:row>
      <xdr:rowOff>9525</xdr:rowOff>
    </xdr:from>
    <xdr:to>
      <xdr:col>17</xdr:col>
      <xdr:colOff>590549</xdr:colOff>
      <xdr:row>46</xdr:row>
      <xdr:rowOff>114300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9524</xdr:colOff>
      <xdr:row>10</xdr:row>
      <xdr:rowOff>19049</xdr:rowOff>
    </xdr:from>
    <xdr:to>
      <xdr:col>17</xdr:col>
      <xdr:colOff>600074</xdr:colOff>
      <xdr:row>25</xdr:row>
      <xdr:rowOff>28574</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17</xdr:row>
      <xdr:rowOff>152400</xdr:rowOff>
    </xdr:from>
    <xdr:to>
      <xdr:col>4</xdr:col>
      <xdr:colOff>352425</xdr:colOff>
      <xdr:row>21</xdr:row>
      <xdr:rowOff>57150</xdr:rowOff>
    </xdr:to>
    <xdr:pic>
      <xdr:nvPicPr>
        <xdr:cNvPr id="2" name="Picture 1" descr="capital allocation -10"/>
        <xdr:cNvPicPr>
          <a:picLocks noChangeAspect="1" noChangeArrowheads="1"/>
        </xdr:cNvPicPr>
      </xdr:nvPicPr>
      <xdr:blipFill>
        <a:blip xmlns:r="http://schemas.openxmlformats.org/officeDocument/2006/relationships" r:embed="rId1">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276225" y="3657600"/>
          <a:ext cx="25527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28573</xdr:colOff>
      <xdr:row>7</xdr:row>
      <xdr:rowOff>0</xdr:rowOff>
    </xdr:from>
    <xdr:to>
      <xdr:col>19</xdr:col>
      <xdr:colOff>561974</xdr:colOff>
      <xdr:row>19</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8</xdr:row>
      <xdr:rowOff>9525</xdr:rowOff>
    </xdr:from>
    <xdr:to>
      <xdr:col>8</xdr:col>
      <xdr:colOff>0</xdr:colOff>
      <xdr:row>20</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38</xdr:row>
      <xdr:rowOff>19050</xdr:rowOff>
    </xdr:from>
    <xdr:to>
      <xdr:col>17</xdr:col>
      <xdr:colOff>1</xdr:colOff>
      <xdr:row>50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24</xdr:row>
      <xdr:rowOff>19050</xdr:rowOff>
    </xdr:from>
    <xdr:to>
      <xdr:col>8</xdr:col>
      <xdr:colOff>0</xdr:colOff>
      <xdr:row>34</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9524</xdr:colOff>
      <xdr:row>8</xdr:row>
      <xdr:rowOff>19050</xdr:rowOff>
    </xdr:from>
    <xdr:to>
      <xdr:col>16</xdr:col>
      <xdr:colOff>609599</xdr:colOff>
      <xdr:row>20</xdr:row>
      <xdr:rowOff>9525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9524</xdr:colOff>
      <xdr:row>24</xdr:row>
      <xdr:rowOff>1</xdr:rowOff>
    </xdr:from>
    <xdr:to>
      <xdr:col>16</xdr:col>
      <xdr:colOff>609599</xdr:colOff>
      <xdr:row>33</xdr:row>
      <xdr:rowOff>190501</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152399</xdr:colOff>
      <xdr:row>38</xdr:row>
      <xdr:rowOff>19050</xdr:rowOff>
    </xdr:from>
    <xdr:to>
      <xdr:col>7</xdr:col>
      <xdr:colOff>895349</xdr:colOff>
      <xdr:row>50</xdr:row>
      <xdr:rowOff>142875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1060</xdr:colOff>
      <xdr:row>21</xdr:row>
      <xdr:rowOff>10583</xdr:rowOff>
    </xdr:from>
    <xdr:to>
      <xdr:col>14</xdr:col>
      <xdr:colOff>0</xdr:colOff>
      <xdr:row>34</xdr:row>
      <xdr:rowOff>161925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51</xdr:row>
      <xdr:rowOff>9525</xdr:rowOff>
    </xdr:from>
    <xdr:to>
      <xdr:col>6</xdr:col>
      <xdr:colOff>9526</xdr:colOff>
      <xdr:row>62</xdr:row>
      <xdr:rowOff>57150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xdr:row>
      <xdr:rowOff>9525</xdr:rowOff>
    </xdr:from>
    <xdr:to>
      <xdr:col>6</xdr:col>
      <xdr:colOff>609599</xdr:colOff>
      <xdr:row>17</xdr:row>
      <xdr:rowOff>57150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21</xdr:row>
      <xdr:rowOff>0</xdr:rowOff>
    </xdr:from>
    <xdr:to>
      <xdr:col>6</xdr:col>
      <xdr:colOff>0</xdr:colOff>
      <xdr:row>34</xdr:row>
      <xdr:rowOff>180975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609599</xdr:colOff>
      <xdr:row>6</xdr:row>
      <xdr:rowOff>0</xdr:rowOff>
    </xdr:from>
    <xdr:to>
      <xdr:col>13</xdr:col>
      <xdr:colOff>590549</xdr:colOff>
      <xdr:row>17</xdr:row>
      <xdr:rowOff>19050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600075</xdr:colOff>
      <xdr:row>36</xdr:row>
      <xdr:rowOff>9525</xdr:rowOff>
    </xdr:from>
    <xdr:to>
      <xdr:col>14</xdr:col>
      <xdr:colOff>95250</xdr:colOff>
      <xdr:row>48</xdr:row>
      <xdr:rowOff>9525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47625</xdr:colOff>
      <xdr:row>16</xdr:row>
      <xdr:rowOff>38100</xdr:rowOff>
    </xdr:from>
    <xdr:to>
      <xdr:col>9</xdr:col>
      <xdr:colOff>76200</xdr:colOff>
      <xdr:row>18</xdr:row>
      <xdr:rowOff>142875</xdr:rowOff>
    </xdr:to>
    <xdr:sp macro="" textlink="">
      <xdr:nvSpPr>
        <xdr:cNvPr id="2" name="Rounded Rectangular Callout 1"/>
        <xdr:cNvSpPr/>
      </xdr:nvSpPr>
      <xdr:spPr>
        <a:xfrm>
          <a:off x="2828925" y="2762250"/>
          <a:ext cx="4333875" cy="466725"/>
        </a:xfrm>
        <a:prstGeom prst="wedgeRoundRectCallou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000">
              <a:solidFill>
                <a:srgbClr val="FF0000"/>
              </a:solidFill>
            </a:rPr>
            <a:t>A discrete score between 0-9 which reflects nine criteria used to determine the strength of a firm's financial position.</a:t>
          </a:r>
          <a:endParaRPr lang="en-GB" sz="1000">
            <a:solidFill>
              <a:srgbClr val="FF0000"/>
            </a:solidFill>
            <a:latin typeface="Arial" panose="020B0604020202020204" pitchFamily="34" charset="0"/>
            <a:cs typeface="Arial" panose="020B0604020202020204" pitchFamily="34" charset="0"/>
          </a:endParaRPr>
        </a:p>
      </xdr:txBody>
    </xdr:sp>
    <xdr:clientData/>
  </xdr:twoCellAnchor>
  <xdr:twoCellAnchor>
    <xdr:from>
      <xdr:col>1</xdr:col>
      <xdr:colOff>200025</xdr:colOff>
      <xdr:row>24</xdr:row>
      <xdr:rowOff>123825</xdr:rowOff>
    </xdr:from>
    <xdr:to>
      <xdr:col>8</xdr:col>
      <xdr:colOff>504825</xdr:colOff>
      <xdr:row>39</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600075</xdr:colOff>
      <xdr:row>27</xdr:row>
      <xdr:rowOff>28575</xdr:rowOff>
    </xdr:from>
    <xdr:to>
      <xdr:col>8</xdr:col>
      <xdr:colOff>85725</xdr:colOff>
      <xdr:row>39</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adip%20Beriwal/Desktop/Create%20life%20you%20love/Reserach%20@%202016/Polished/Price_Valu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 (2)"/>
      <sheetName val="Data"/>
      <sheetName val="Pivot"/>
      <sheetName val="Jan31 2018"/>
    </sheetNames>
    <sheetDataSet>
      <sheetData sheetId="0" refreshError="1"/>
      <sheetData sheetId="1">
        <row r="4">
          <cell r="B4" t="str">
            <v>Asian Paints</v>
          </cell>
          <cell r="C4">
            <v>1293.3</v>
          </cell>
        </row>
        <row r="5">
          <cell r="B5" t="str">
            <v>Astral Poly</v>
          </cell>
          <cell r="C5">
            <v>984.6</v>
          </cell>
        </row>
        <row r="6">
          <cell r="B6" t="str">
            <v>AVANTI FEEDS LTD</v>
          </cell>
          <cell r="C6">
            <v>387.05</v>
          </cell>
        </row>
        <row r="7">
          <cell r="B7" t="str">
            <v>Bajaj Finance</v>
          </cell>
          <cell r="C7">
            <v>2168</v>
          </cell>
        </row>
        <row r="8">
          <cell r="B8" t="str">
            <v>Balkrishna Ind</v>
          </cell>
          <cell r="C8">
            <v>1018.55</v>
          </cell>
        </row>
        <row r="9">
          <cell r="B9" t="str">
            <v>Britannia</v>
          </cell>
          <cell r="C9">
            <v>5823.5</v>
          </cell>
        </row>
        <row r="10">
          <cell r="B10" t="str">
            <v>Caplin Labs</v>
          </cell>
          <cell r="C10">
            <v>410.95</v>
          </cell>
        </row>
        <row r="11">
          <cell r="B11" t="str">
            <v>Century Ply</v>
          </cell>
          <cell r="C11">
            <v>180.55</v>
          </cell>
        </row>
        <row r="12">
          <cell r="B12" t="str">
            <v>Cera Sanitary</v>
          </cell>
          <cell r="C12">
            <v>2567.15</v>
          </cell>
        </row>
        <row r="13">
          <cell r="B13" t="str">
            <v>Cholamandalam Finance</v>
          </cell>
          <cell r="C13">
            <v>1166.75</v>
          </cell>
        </row>
        <row r="14">
          <cell r="B14" t="str">
            <v>Dewan House</v>
          </cell>
          <cell r="C14">
            <v>274.95</v>
          </cell>
        </row>
        <row r="15">
          <cell r="B15" t="str">
            <v>Eicher Motors</v>
          </cell>
          <cell r="C15">
            <v>24185.4</v>
          </cell>
        </row>
        <row r="16">
          <cell r="B16" t="str">
            <v>Gruh Finance</v>
          </cell>
          <cell r="C16">
            <v>304.05</v>
          </cell>
        </row>
        <row r="17">
          <cell r="B17" t="str">
            <v>Havells India</v>
          </cell>
          <cell r="C17">
            <v>594.5</v>
          </cell>
        </row>
        <row r="18">
          <cell r="B18" t="str">
            <v>HDFC Bank</v>
          </cell>
          <cell r="C18">
            <v>2006.05</v>
          </cell>
        </row>
        <row r="19">
          <cell r="B19" t="str">
            <v>IGL</v>
          </cell>
          <cell r="C19">
            <v>242.95</v>
          </cell>
        </row>
        <row r="20">
          <cell r="B20" t="str">
            <v>IndusInd Bank</v>
          </cell>
          <cell r="C20">
            <v>1690.05</v>
          </cell>
        </row>
        <row r="21">
          <cell r="B21" t="str">
            <v>Kajaria Ceramic</v>
          </cell>
          <cell r="C21">
            <v>367.4</v>
          </cell>
        </row>
        <row r="22">
          <cell r="B22" t="str">
            <v>La Opala RG</v>
          </cell>
          <cell r="C22">
            <v>221.45</v>
          </cell>
        </row>
        <row r="23">
          <cell r="B23" t="str">
            <v>Page Industries</v>
          </cell>
          <cell r="C23">
            <v>32885.1</v>
          </cell>
        </row>
        <row r="24">
          <cell r="B24" t="str">
            <v>Pidilite Ind</v>
          </cell>
          <cell r="C24">
            <v>1045.8499999999999</v>
          </cell>
        </row>
        <row r="25">
          <cell r="B25" t="str">
            <v>PSP Projects</v>
          </cell>
          <cell r="C25">
            <v>411.3</v>
          </cell>
        </row>
        <row r="26">
          <cell r="B26" t="str">
            <v>Relaxo Footwear</v>
          </cell>
          <cell r="C26">
            <v>731.45</v>
          </cell>
        </row>
        <row r="27">
          <cell r="B27" t="str">
            <v>Sundaram Fasteners</v>
          </cell>
          <cell r="C27">
            <v>580.79999999999995</v>
          </cell>
        </row>
        <row r="28">
          <cell r="B28" t="str">
            <v>Symphony</v>
          </cell>
          <cell r="C28">
            <v>980.45</v>
          </cell>
        </row>
        <row r="29">
          <cell r="B29" t="str">
            <v>Tasty Bite</v>
          </cell>
          <cell r="C29">
            <v>8427.65</v>
          </cell>
        </row>
        <row r="30">
          <cell r="B30" t="str">
            <v>TV_Today</v>
          </cell>
          <cell r="C30">
            <v>407.65</v>
          </cell>
        </row>
        <row r="31">
          <cell r="B31" t="str">
            <v>V-Guard Ind</v>
          </cell>
          <cell r="C31">
            <v>176.25</v>
          </cell>
        </row>
        <row r="32">
          <cell r="B32" t="str">
            <v>YES BANK</v>
          </cell>
          <cell r="C32">
            <v>183.65</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screener.in/excel/"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www.bseindia.com/corporates/Sharehold_Searchnew.aspx?expandable=3"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N13"/>
  <sheetViews>
    <sheetView showGridLines="0" zoomScale="90" zoomScaleNormal="90" workbookViewId="0">
      <selection activeCell="M11" sqref="M11"/>
    </sheetView>
  </sheetViews>
  <sheetFormatPr defaultColWidth="9.140625" defaultRowHeight="15"/>
  <cols>
    <col min="1" max="1" width="28" style="2" customWidth="1"/>
    <col min="2" max="2" width="58.42578125" style="5" customWidth="1"/>
    <col min="3" max="9" width="9.140625" style="2"/>
    <col min="10" max="10" width="10.5703125" style="2" customWidth="1"/>
    <col min="11" max="11" width="9.140625" style="2"/>
    <col min="12" max="12" width="10.140625" style="2" customWidth="1"/>
    <col min="13" max="16384" width="9.140625" style="2"/>
  </cols>
  <sheetData>
    <row r="1" spans="1:14" ht="15.75">
      <c r="A1" s="371" t="s">
        <v>64</v>
      </c>
      <c r="B1" s="371"/>
      <c r="C1" s="371" t="s">
        <v>67</v>
      </c>
      <c r="D1" s="371"/>
      <c r="E1" s="371"/>
      <c r="F1" s="371"/>
      <c r="G1" s="371"/>
      <c r="H1" s="371"/>
      <c r="I1" s="371"/>
      <c r="J1" s="371"/>
      <c r="K1" s="371"/>
      <c r="L1" s="371"/>
      <c r="M1" s="371"/>
    </row>
    <row r="3" spans="1:14">
      <c r="A3" s="3" t="s">
        <v>0</v>
      </c>
      <c r="B3" s="17" t="str">
        <f>'Annual Report input'!D2</f>
        <v>Relaxo Footwear</v>
      </c>
    </row>
    <row r="4" spans="1:14">
      <c r="A4" s="3" t="s">
        <v>1</v>
      </c>
      <c r="B4" s="17" t="str">
        <f>'Annual Report input'!D3</f>
        <v>FMCG</v>
      </c>
    </row>
    <row r="5" spans="1:14" ht="15.75" thickBot="1">
      <c r="A5" s="3" t="s">
        <v>63</v>
      </c>
      <c r="B5" s="170">
        <f>'Annual Report input'!D5</f>
        <v>731.45</v>
      </c>
      <c r="K5" s="374"/>
      <c r="L5" s="374"/>
    </row>
    <row r="6" spans="1:14" ht="16.5" thickTop="1" thickBot="1">
      <c r="A6" s="3" t="s">
        <v>2</v>
      </c>
      <c r="B6" s="69">
        <f>'Screener Output.v0'!L40</f>
        <v>12.03</v>
      </c>
      <c r="I6" s="372" t="s">
        <v>329</v>
      </c>
      <c r="J6" s="372"/>
      <c r="K6" s="215">
        <f>(Valuation_Table!B8-Valuation_Table!B25)/Valuation_Table!B25</f>
        <v>3.6049217261057018E-2</v>
      </c>
      <c r="L6" s="215"/>
      <c r="N6" s="336" t="s">
        <v>269</v>
      </c>
    </row>
    <row r="7" spans="1:14" ht="15.75" thickTop="1">
      <c r="A7" s="3" t="s">
        <v>3</v>
      </c>
      <c r="B7" s="1">
        <f>'Screener Output.v0'!B38</f>
        <v>8803.27</v>
      </c>
      <c r="I7" s="238" t="s">
        <v>554</v>
      </c>
      <c r="K7" s="366">
        <f>POWER(Valuation_Table!E24/Valuation_Table!B8, 1/10)-1</f>
        <v>0.21119394102921318</v>
      </c>
      <c r="N7" s="368">
        <f>Valuation_Table!B17</f>
        <v>1.7838005693647749</v>
      </c>
    </row>
    <row r="8" spans="1:14" ht="15.75" thickBot="1">
      <c r="A8" s="3" t="s">
        <v>4</v>
      </c>
      <c r="B8" s="18">
        <f>SUM('Shareholding input'!C6:C7)</f>
        <v>0.74250000000000005</v>
      </c>
      <c r="I8" s="373" t="s">
        <v>555</v>
      </c>
      <c r="J8" s="373"/>
      <c r="K8" s="367">
        <f>Valuation_Table!C53</f>
        <v>0.1627836423157043</v>
      </c>
      <c r="L8" s="367">
        <f>Valuation_Table!E55</f>
        <v>0.21234072338970478</v>
      </c>
      <c r="N8" s="369"/>
    </row>
    <row r="9" spans="1:14" ht="15.75" thickTop="1"/>
    <row r="11" spans="1:14" ht="185.25" customHeight="1">
      <c r="A11" s="3" t="s">
        <v>5</v>
      </c>
      <c r="B11" s="19" t="str">
        <f>'Annual Report input'!D4</f>
        <v>Numbers look very consistent. Valuation formulas manually adjusted.
Quantitative tab - equity manually inserted
Check - NP margin &lt;10%</v>
      </c>
    </row>
    <row r="12" spans="1:14">
      <c r="A12" s="370"/>
      <c r="B12" s="370"/>
    </row>
    <row r="13" spans="1:14">
      <c r="A13" s="77"/>
      <c r="B13" s="77"/>
    </row>
  </sheetData>
  <mergeCells count="7">
    <mergeCell ref="N7:N8"/>
    <mergeCell ref="A12:B12"/>
    <mergeCell ref="A1:B1"/>
    <mergeCell ref="I6:J6"/>
    <mergeCell ref="I8:J8"/>
    <mergeCell ref="C1:M1"/>
    <mergeCell ref="K5:L5"/>
  </mergeCells>
  <conditionalFormatting sqref="K6:L6">
    <cfRule type="dataBar" priority="5">
      <dataBar>
        <cfvo type="min"/>
        <cfvo type="num" val="1"/>
        <color rgb="FFFF0000"/>
      </dataBar>
      <extLst>
        <ext xmlns:x14="http://schemas.microsoft.com/office/spreadsheetml/2009/9/main" uri="{B025F937-C7B1-47D3-B67F-A62EFF666E3E}">
          <x14:id>{7F8777E6-534C-4D31-907C-2BBD50CE4320}</x14:id>
        </ext>
      </extLst>
    </cfRule>
  </conditionalFormatting>
  <conditionalFormatting sqref="K8:L8">
    <cfRule type="dataBar" priority="2">
      <dataBar>
        <cfvo type="min"/>
        <cfvo type="num" val="1"/>
        <color rgb="FF00B050"/>
      </dataBar>
      <extLst>
        <ext xmlns:x14="http://schemas.microsoft.com/office/spreadsheetml/2009/9/main" uri="{B025F937-C7B1-47D3-B67F-A62EFF666E3E}">
          <x14:id>{B4F8D0DA-DE5F-48F8-8839-E2483F39CA3E}</x14:id>
        </ext>
      </extLst>
    </cfRule>
  </conditionalFormatting>
  <conditionalFormatting sqref="K7">
    <cfRule type="dataBar" priority="1">
      <dataBar>
        <cfvo type="min"/>
        <cfvo type="num" val="1"/>
        <color rgb="FFFF0000"/>
      </dataBar>
      <extLst>
        <ext xmlns:x14="http://schemas.microsoft.com/office/spreadsheetml/2009/9/main" uri="{B025F937-C7B1-47D3-B67F-A62EFF666E3E}">
          <x14:id>{06AEAA10-E9E8-493A-B1F0-557A6BD9DF57}</x14:id>
        </ext>
      </extLst>
    </cfRule>
  </conditionalFormatting>
  <pageMargins left="0.70866141732283472" right="0.70866141732283472" top="0.74803149606299213" bottom="0.74803149606299213" header="0.31496062992125984" footer="0.31496062992125984"/>
  <pageSetup paperSize="9" scale="56" orientation="landscape" r:id="rId1"/>
  <headerFooter>
    <oddHeader xml:space="preserve">&amp;C
</oddHeader>
  </headerFooter>
  <ignoredErrors>
    <ignoredError sqref="B5:B6 B3:B4 B11 K6:L6"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dataBar" id="{7F8777E6-534C-4D31-907C-2BBD50CE4320}">
            <x14:dataBar minLength="0" maxLength="100" gradient="0">
              <x14:cfvo type="autoMin"/>
              <x14:cfvo type="num">
                <xm:f>1</xm:f>
              </x14:cfvo>
              <x14:negativeFillColor rgb="FFFF0000"/>
              <x14:axisColor rgb="FF000000"/>
            </x14:dataBar>
          </x14:cfRule>
          <xm:sqref>K6:L6</xm:sqref>
        </x14:conditionalFormatting>
        <x14:conditionalFormatting xmlns:xm="http://schemas.microsoft.com/office/excel/2006/main">
          <x14:cfRule type="dataBar" id="{B4F8D0DA-DE5F-48F8-8839-E2483F39CA3E}">
            <x14:dataBar minLength="0" maxLength="100" gradient="0">
              <x14:cfvo type="autoMin"/>
              <x14:cfvo type="num">
                <xm:f>1</xm:f>
              </x14:cfvo>
              <x14:negativeFillColor rgb="FFFF0000"/>
              <x14:axisColor rgb="FF000000"/>
            </x14:dataBar>
          </x14:cfRule>
          <xm:sqref>K8:L8</xm:sqref>
        </x14:conditionalFormatting>
        <x14:conditionalFormatting xmlns:xm="http://schemas.microsoft.com/office/excel/2006/main">
          <x14:cfRule type="dataBar" id="{06AEAA10-E9E8-493A-B1F0-557A6BD9DF57}">
            <x14:dataBar minLength="0" maxLength="100" gradient="0">
              <x14:cfvo type="autoMin"/>
              <x14:cfvo type="num">
                <xm:f>1</xm:f>
              </x14:cfvo>
              <x14:negativeFillColor rgb="FFFF0000"/>
              <x14:axisColor rgb="FF000000"/>
            </x14:dataBar>
          </x14:cfRule>
          <xm:sqref>K7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L38"/>
  <sheetViews>
    <sheetView showGridLines="0" workbookViewId="0">
      <selection activeCell="H22" sqref="H22"/>
    </sheetView>
  </sheetViews>
  <sheetFormatPr defaultColWidth="9.140625" defaultRowHeight="14.25"/>
  <cols>
    <col min="1" max="1" width="6" style="29" customWidth="1"/>
    <col min="2" max="2" width="56.42578125" style="29" customWidth="1"/>
    <col min="3" max="7" width="11.5703125" style="29" bestFit="1" customWidth="1"/>
    <col min="8" max="16384" width="9.140625" style="29"/>
  </cols>
  <sheetData>
    <row r="1" spans="2:12">
      <c r="B1" s="410"/>
      <c r="C1" s="411"/>
      <c r="D1" s="411"/>
      <c r="E1" s="411"/>
      <c r="F1" s="411"/>
      <c r="G1" s="411"/>
    </row>
    <row r="2" spans="2:12" ht="15">
      <c r="B2" s="412" t="s">
        <v>88</v>
      </c>
      <c r="C2" s="412"/>
      <c r="D2" s="412"/>
      <c r="E2" s="412"/>
      <c r="F2" s="412"/>
      <c r="G2" s="412"/>
    </row>
    <row r="3" spans="2:12">
      <c r="B3" s="30" t="s">
        <v>84</v>
      </c>
      <c r="C3" s="31" t="s">
        <v>90</v>
      </c>
      <c r="D3" s="31" t="s">
        <v>91</v>
      </c>
      <c r="E3" s="31" t="s">
        <v>92</v>
      </c>
      <c r="F3" s="31" t="s">
        <v>93</v>
      </c>
      <c r="G3" s="31" t="s">
        <v>94</v>
      </c>
    </row>
    <row r="4" spans="2:12">
      <c r="B4" s="22" t="s">
        <v>50</v>
      </c>
      <c r="C4" s="166">
        <f>SUM('Screener Output.v0'!L35:L35)/SUM('Screener Output.v0'!L60:L60)</f>
        <v>0.12488273102956332</v>
      </c>
      <c r="D4" s="166">
        <f>SUM('Screener Output.v0'!K35:K35)/SUM('Screener Output.v0'!K60:K60)</f>
        <v>0.10991377335495889</v>
      </c>
      <c r="E4" s="166">
        <f>SUM('Screener Output.v0'!J35:J35)/SUM('Screener Output.v0'!J60:J60)</f>
        <v>0.11863687922276474</v>
      </c>
      <c r="F4" s="166">
        <f>SUM('Screener Output.v0'!I35:I35)/SUM('Screener Output.v0'!I60:I60)</f>
        <v>0.12067834723133145</v>
      </c>
      <c r="G4" s="166">
        <f>SUM('Screener Output.v0'!H35:H35)/SUM('Screener Output.v0'!H60:H60)</f>
        <v>9.8494287901760902E-2</v>
      </c>
    </row>
    <row r="5" spans="2:12">
      <c r="B5" s="22" t="s">
        <v>293</v>
      </c>
      <c r="C5" s="23">
        <f>'Screener Output.v0'!L45/'Screener Output.v0'!L60</f>
        <v>0.11890492103243215</v>
      </c>
      <c r="D5" s="23">
        <f>'Screener Output.v0'!K45/'Screener Output.v0'!K60</f>
        <v>0.16341827711649304</v>
      </c>
      <c r="E5" s="23">
        <f>'Screener Output.v0'!J45/'Screener Output.v0'!J60</f>
        <v>0.2331607239729743</v>
      </c>
      <c r="F5" s="23">
        <f>'Screener Output.v0'!I45/'Screener Output.v0'!I60</f>
        <v>0.28036868734189074</v>
      </c>
      <c r="G5" s="23">
        <f>'Screener Output.v0'!H45/'Screener Output.v0'!H60</f>
        <v>0.29776470058397009</v>
      </c>
    </row>
    <row r="6" spans="2:12">
      <c r="B6" s="22" t="s">
        <v>51</v>
      </c>
      <c r="C6" s="23">
        <f>SUM('Screener Output.v0'!L9:L9)/SUM('Screener Output.v0'!L10:L10)</f>
        <v>1.6701226012793178</v>
      </c>
      <c r="D6" s="23">
        <f>SUM('Screener Output.v0'!K9:K9)/SUM('Screener Output.v0'!K10:K10)</f>
        <v>1.5889432485322896</v>
      </c>
      <c r="E6" s="23">
        <f>SUM('Screener Output.v0'!J9:J9)/SUM('Screener Output.v0'!J10:J10)</f>
        <v>1.5281363453005243</v>
      </c>
      <c r="F6" s="23">
        <f>SUM('Screener Output.v0'!I9:I9)/SUM('Screener Output.v0'!I10:I10)</f>
        <v>1.5406073875846409</v>
      </c>
      <c r="G6" s="23">
        <f>SUM('Screener Output.v0'!H9:H9)/SUM('Screener Output.v0'!H10:H10)</f>
        <v>1.4434159606735697</v>
      </c>
    </row>
    <row r="7" spans="2:12">
      <c r="B7" s="22" t="s">
        <v>52</v>
      </c>
      <c r="C7" s="25">
        <f>'Screener Output.v0'!L29/'Screener Output.v0'!L26</f>
        <v>0.1566492242912331</v>
      </c>
      <c r="D7" s="25">
        <f>'Screener Output.v0'!K29/'Screener Output.v0'!K26</f>
        <v>0.14990650767863176</v>
      </c>
      <c r="E7" s="25">
        <f>'Screener Output.v0'!J29/'Screener Output.v0'!J26</f>
        <v>0.14846794987107995</v>
      </c>
      <c r="F7" s="25">
        <f>'Screener Output.v0'!I29/'Screener Output.v0'!I26</f>
        <v>0.13951777460057471</v>
      </c>
      <c r="G7" s="25">
        <f>'Screener Output.v0'!H29/'Screener Output.v0'!H26</f>
        <v>0.12660234671730872</v>
      </c>
    </row>
    <row r="8" spans="2:12">
      <c r="B8" s="22" t="s">
        <v>229</v>
      </c>
      <c r="C8" s="22">
        <f>'Screener Output.v0'!L35</f>
        <v>161.06999999999988</v>
      </c>
      <c r="D8" s="22">
        <f>'Screener Output.v0'!K35</f>
        <v>119.95000000000017</v>
      </c>
      <c r="E8" s="22">
        <f>'Screener Output.v0'!J35</f>
        <v>120.28000000000003</v>
      </c>
      <c r="F8" s="22">
        <f>'Screener Output.v0'!I35</f>
        <v>103.04000000000005</v>
      </c>
      <c r="G8" s="22">
        <f>'Screener Output.v0'!H35</f>
        <v>65.609999999999985</v>
      </c>
    </row>
    <row r="9" spans="2:12">
      <c r="B9" s="22" t="s">
        <v>54</v>
      </c>
      <c r="C9" s="22">
        <f>'Screener Output.v0'!L62</f>
        <v>154.25</v>
      </c>
      <c r="D9" s="22">
        <f>'Screener Output.v0'!K62</f>
        <v>180.2</v>
      </c>
      <c r="E9" s="22">
        <f>'Screener Output.v0'!J62</f>
        <v>159.43</v>
      </c>
      <c r="F9" s="22">
        <f>'Screener Output.v0'!I62</f>
        <v>107.48</v>
      </c>
      <c r="G9" s="22">
        <f>'Screener Output.v0'!H62</f>
        <v>124.88</v>
      </c>
    </row>
    <row r="10" spans="2:12">
      <c r="B10" s="22" t="s">
        <v>23</v>
      </c>
      <c r="C10" s="27">
        <f>'Screener Output.v0'!L40</f>
        <v>12.03</v>
      </c>
      <c r="D10" s="27">
        <f>'Screener Output.v0'!K40</f>
        <v>12.01</v>
      </c>
      <c r="E10" s="27">
        <f>'Screener Output.v0'!J40</f>
        <v>12</v>
      </c>
      <c r="F10" s="27">
        <f>'Screener Output.v0'!I40</f>
        <v>6</v>
      </c>
      <c r="G10" s="27">
        <f>'Screener Output.v0'!H40</f>
        <v>6</v>
      </c>
      <c r="L10" s="169"/>
    </row>
    <row r="11" spans="2:12">
      <c r="B11" s="22" t="s">
        <v>55</v>
      </c>
      <c r="C11" s="165">
        <f>'Screener Output.v0'!L25/'Screener Output.v0'!L49</f>
        <v>1.520720748660614</v>
      </c>
      <c r="D11" s="165">
        <f>'Screener Output.v0'!K25/'Screener Output.v0'!K49</f>
        <v>1.5071427916907203</v>
      </c>
      <c r="E11" s="165">
        <f>'Screener Output.v0'!J25/'Screener Output.v0'!J49</f>
        <v>1.6525324259012675</v>
      </c>
      <c r="F11" s="165">
        <f>'Screener Output.v0'!I25/'Screener Output.v0'!I49</f>
        <v>1.6879157687622974</v>
      </c>
      <c r="G11" s="165">
        <f>'Screener Output.v0'!H25/'Screener Output.v0'!H49</f>
        <v>1.7742182456877784</v>
      </c>
    </row>
    <row r="12" spans="2:12">
      <c r="B12" s="22"/>
      <c r="C12" s="33"/>
      <c r="D12" s="28"/>
      <c r="E12" s="28"/>
      <c r="F12" s="28"/>
      <c r="G12" s="28"/>
      <c r="H12" s="32" t="s">
        <v>70</v>
      </c>
      <c r="I12" s="32">
        <v>0</v>
      </c>
      <c r="J12" s="32" t="s">
        <v>65</v>
      </c>
      <c r="K12" s="34">
        <f>(C23/9)*100</f>
        <v>77.777777777777786</v>
      </c>
    </row>
    <row r="13" spans="2:12">
      <c r="B13" s="22"/>
      <c r="C13" s="22"/>
      <c r="D13" s="28"/>
      <c r="E13" s="28"/>
      <c r="F13" s="28"/>
      <c r="G13" s="28"/>
      <c r="H13" s="32" t="s">
        <v>71</v>
      </c>
      <c r="I13" s="32">
        <v>30</v>
      </c>
      <c r="J13" s="32" t="s">
        <v>75</v>
      </c>
      <c r="K13" s="32">
        <v>1</v>
      </c>
    </row>
    <row r="14" spans="2:12">
      <c r="B14" s="24" t="s">
        <v>290</v>
      </c>
      <c r="C14" s="35">
        <f>--(C8&gt;0)</f>
        <v>1</v>
      </c>
      <c r="D14" s="36"/>
      <c r="E14" s="36"/>
      <c r="F14" s="36"/>
      <c r="G14" s="36"/>
      <c r="H14" s="32" t="s">
        <v>72</v>
      </c>
      <c r="I14" s="32">
        <v>40</v>
      </c>
      <c r="J14" s="32" t="s">
        <v>73</v>
      </c>
      <c r="K14" s="32">
        <f>SUM(I12:I16) - SUM(K12:K13)</f>
        <v>121.22222222222221</v>
      </c>
    </row>
    <row r="15" spans="2:12">
      <c r="B15" s="24" t="s">
        <v>123</v>
      </c>
      <c r="C15" s="35">
        <f>--(C9&gt;0)</f>
        <v>1</v>
      </c>
      <c r="D15" s="36"/>
      <c r="E15" s="36"/>
      <c r="F15" s="36"/>
      <c r="G15" s="36"/>
      <c r="H15" s="32" t="s">
        <v>73</v>
      </c>
      <c r="I15" s="32">
        <v>30</v>
      </c>
      <c r="J15" s="32"/>
      <c r="K15" s="32"/>
    </row>
    <row r="16" spans="2:12">
      <c r="B16" s="24" t="s">
        <v>124</v>
      </c>
      <c r="C16" s="37">
        <f>--(C4&gt;D4)</f>
        <v>1</v>
      </c>
      <c r="D16" s="38"/>
      <c r="E16" s="38"/>
      <c r="F16" s="38"/>
      <c r="G16" s="28"/>
      <c r="H16" s="32" t="s">
        <v>74</v>
      </c>
      <c r="I16" s="32">
        <v>100</v>
      </c>
      <c r="J16" s="32"/>
      <c r="K16" s="32"/>
    </row>
    <row r="17" spans="2:8">
      <c r="B17" s="24" t="s">
        <v>291</v>
      </c>
      <c r="C17" s="37">
        <f>--(C9&gt;C8)</f>
        <v>0</v>
      </c>
      <c r="D17" s="38"/>
      <c r="E17" s="38"/>
      <c r="F17" s="38"/>
      <c r="G17" s="28"/>
    </row>
    <row r="18" spans="2:8">
      <c r="B18" s="24" t="s">
        <v>294</v>
      </c>
      <c r="C18" s="37">
        <f>--(C5&lt;D5)</f>
        <v>1</v>
      </c>
      <c r="D18" s="38"/>
      <c r="E18" s="38"/>
      <c r="F18" s="38"/>
      <c r="G18" s="28"/>
    </row>
    <row r="19" spans="2:8">
      <c r="B19" s="24" t="s">
        <v>295</v>
      </c>
      <c r="C19" s="37">
        <f>--(C6&gt;D6)</f>
        <v>1</v>
      </c>
      <c r="D19" s="38"/>
      <c r="E19" s="38"/>
      <c r="F19" s="38"/>
      <c r="G19" s="28"/>
    </row>
    <row r="20" spans="2:8">
      <c r="B20" s="22" t="s">
        <v>125</v>
      </c>
      <c r="C20" s="37">
        <f>--(C10&lt;D10)</f>
        <v>0</v>
      </c>
      <c r="D20" s="38"/>
      <c r="E20" s="38"/>
      <c r="F20" s="38"/>
      <c r="G20" s="28"/>
    </row>
    <row r="21" spans="2:8">
      <c r="B21" s="22" t="s">
        <v>126</v>
      </c>
      <c r="C21" s="37">
        <f>--(C7&gt;D7)</f>
        <v>1</v>
      </c>
      <c r="D21" s="38"/>
      <c r="E21" s="38"/>
      <c r="F21" s="38"/>
      <c r="G21" s="28"/>
    </row>
    <row r="22" spans="2:8">
      <c r="B22" s="22" t="s">
        <v>127</v>
      </c>
      <c r="C22" s="37">
        <f>--(C11&gt;D11)</f>
        <v>1</v>
      </c>
      <c r="D22" s="38"/>
      <c r="E22" s="38"/>
      <c r="F22" s="38"/>
      <c r="G22" s="28"/>
    </row>
    <row r="23" spans="2:8" ht="15">
      <c r="B23" s="39" t="s">
        <v>49</v>
      </c>
      <c r="C23" s="40">
        <f>SUM(C14:C22)</f>
        <v>7</v>
      </c>
      <c r="D23" s="41"/>
      <c r="E23" s="41"/>
      <c r="F23" s="41"/>
      <c r="G23" s="28"/>
    </row>
    <row r="26" spans="2:8" ht="15">
      <c r="B26" s="2"/>
      <c r="C26" s="2"/>
      <c r="D26" s="2"/>
      <c r="E26" s="2"/>
      <c r="F26" s="2"/>
      <c r="G26" s="2"/>
      <c r="H26" s="2"/>
    </row>
    <row r="27" spans="2:8" ht="15">
      <c r="B27" s="2"/>
      <c r="C27" s="2"/>
      <c r="D27" s="2"/>
      <c r="E27" s="2"/>
      <c r="F27" s="2"/>
      <c r="G27" s="2"/>
      <c r="H27" s="2"/>
    </row>
    <row r="28" spans="2:8" ht="15">
      <c r="B28" s="2"/>
      <c r="C28" s="2"/>
      <c r="D28" s="2"/>
      <c r="E28" s="2"/>
      <c r="F28" s="2"/>
      <c r="G28" s="2"/>
      <c r="H28" s="2"/>
    </row>
    <row r="29" spans="2:8" ht="15">
      <c r="B29" s="2"/>
      <c r="C29" s="2"/>
      <c r="D29" s="2"/>
      <c r="E29" s="2"/>
      <c r="F29" s="2"/>
      <c r="G29" s="2"/>
      <c r="H29" s="2"/>
    </row>
    <row r="30" spans="2:8" ht="15">
      <c r="B30" s="2"/>
      <c r="C30" s="2"/>
      <c r="D30" s="2"/>
      <c r="E30" s="2"/>
      <c r="F30" s="2"/>
      <c r="G30" s="2"/>
      <c r="H30" s="2"/>
    </row>
    <row r="31" spans="2:8" ht="15">
      <c r="B31" s="2"/>
      <c r="C31" s="2"/>
      <c r="D31" s="2"/>
      <c r="E31" s="2"/>
      <c r="F31" s="2"/>
      <c r="G31" s="2"/>
      <c r="H31" s="2"/>
    </row>
    <row r="32" spans="2:8" ht="15">
      <c r="B32" s="2"/>
      <c r="C32" s="2"/>
      <c r="D32" s="2"/>
      <c r="E32" s="2"/>
      <c r="F32" s="2"/>
      <c r="G32" s="2"/>
      <c r="H32" s="2"/>
    </row>
    <row r="33" spans="2:8" ht="15">
      <c r="B33" s="2"/>
      <c r="C33" s="2"/>
      <c r="D33" s="2"/>
      <c r="E33" s="2"/>
      <c r="F33" s="2"/>
      <c r="G33" s="2"/>
      <c r="H33" s="2"/>
    </row>
    <row r="34" spans="2:8" ht="15">
      <c r="B34" s="2"/>
      <c r="C34" s="2"/>
      <c r="D34" s="2"/>
      <c r="E34" s="2"/>
      <c r="F34" s="2"/>
      <c r="G34" s="2"/>
      <c r="H34" s="2"/>
    </row>
    <row r="35" spans="2:8" ht="15">
      <c r="B35" s="413" t="s">
        <v>85</v>
      </c>
      <c r="C35" s="413"/>
      <c r="D35" s="413"/>
      <c r="E35" s="2"/>
      <c r="F35" s="2"/>
      <c r="G35" s="2"/>
      <c r="H35" s="2"/>
    </row>
    <row r="36" spans="2:8" ht="15">
      <c r="B36" s="414" t="s">
        <v>86</v>
      </c>
      <c r="C36" s="414"/>
      <c r="D36" s="414"/>
      <c r="E36" s="2"/>
      <c r="F36" s="2"/>
      <c r="G36" s="2"/>
      <c r="H36" s="2"/>
    </row>
    <row r="37" spans="2:8" ht="15">
      <c r="B37" s="415" t="s">
        <v>87</v>
      </c>
      <c r="C37" s="415"/>
      <c r="D37" s="415"/>
      <c r="E37" s="2"/>
      <c r="F37" s="2"/>
      <c r="G37" s="2"/>
      <c r="H37" s="2"/>
    </row>
    <row r="38" spans="2:8" ht="15">
      <c r="B38" s="2"/>
      <c r="C38" s="2"/>
      <c r="D38" s="2"/>
      <c r="E38" s="2"/>
      <c r="F38" s="2"/>
      <c r="G38" s="2"/>
      <c r="H38" s="2"/>
    </row>
  </sheetData>
  <mergeCells count="5">
    <mergeCell ref="B1:G1"/>
    <mergeCell ref="B2:G2"/>
    <mergeCell ref="B35:D35"/>
    <mergeCell ref="B36:D36"/>
    <mergeCell ref="B37:D37"/>
  </mergeCells>
  <pageMargins left="0.70866141732283472" right="0.70866141732283472" top="0.74803149606299213" bottom="0.74803149606299213" header="0.31496062992125984" footer="0.31496062992125984"/>
  <pageSetup paperSize="9" orientation="landscape" r:id="rId1"/>
  <ignoredErrors>
    <ignoredError sqref="K12:K14"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K36"/>
  <sheetViews>
    <sheetView showGridLines="0" workbookViewId="0">
      <selection activeCell="O64" sqref="O64"/>
    </sheetView>
  </sheetViews>
  <sheetFormatPr defaultColWidth="9.140625" defaultRowHeight="14.25"/>
  <cols>
    <col min="1" max="1" width="9.140625" style="29"/>
    <col min="2" max="2" width="36.140625" style="29" bestFit="1" customWidth="1"/>
    <col min="3" max="4" width="9.140625" style="29"/>
    <col min="5" max="5" width="40.42578125" style="29" bestFit="1" customWidth="1"/>
    <col min="6" max="6" width="9.140625" style="29"/>
    <col min="7" max="7" width="9.140625" style="29" customWidth="1"/>
    <col min="8" max="16384" width="9.140625" style="29"/>
  </cols>
  <sheetData>
    <row r="1" spans="2:11">
      <c r="B1" s="410"/>
      <c r="C1" s="411"/>
      <c r="D1" s="411"/>
      <c r="E1" s="411"/>
      <c r="F1" s="411"/>
    </row>
    <row r="2" spans="2:11" ht="15">
      <c r="B2" s="412" t="s">
        <v>89</v>
      </c>
      <c r="C2" s="412"/>
      <c r="D2" s="412"/>
      <c r="E2" s="412"/>
      <c r="F2" s="412"/>
    </row>
    <row r="3" spans="2:11" ht="15">
      <c r="B3" s="416" t="s">
        <v>66</v>
      </c>
      <c r="C3" s="417"/>
      <c r="D3" s="417"/>
      <c r="E3" s="417"/>
      <c r="F3" s="418"/>
    </row>
    <row r="4" spans="2:11" ht="15">
      <c r="B4" s="22" t="s">
        <v>27</v>
      </c>
      <c r="C4" s="42" t="s">
        <v>90</v>
      </c>
      <c r="D4" s="22"/>
      <c r="E4" s="22" t="s">
        <v>60</v>
      </c>
      <c r="F4" s="23">
        <f>C5/C6</f>
        <v>0.1949417337974988</v>
      </c>
      <c r="G4" s="32" t="s">
        <v>76</v>
      </c>
      <c r="I4" s="29" t="s">
        <v>75</v>
      </c>
    </row>
    <row r="5" spans="2:11">
      <c r="B5" s="22" t="s">
        <v>56</v>
      </c>
      <c r="C5" s="22">
        <f>'Screener Output.v0'!L52</f>
        <v>251.43</v>
      </c>
      <c r="D5" s="22"/>
      <c r="E5" s="22" t="s">
        <v>292</v>
      </c>
      <c r="F5" s="23">
        <f>C8/C6</f>
        <v>0.5808632546888205</v>
      </c>
      <c r="G5" s="32" t="s">
        <v>70</v>
      </c>
      <c r="H5" s="29">
        <v>0</v>
      </c>
      <c r="I5" s="29" t="s">
        <v>65</v>
      </c>
      <c r="J5" s="233">
        <f>(C14/6)*100</f>
        <v>100</v>
      </c>
    </row>
    <row r="6" spans="2:11">
      <c r="B6" s="22" t="s">
        <v>12</v>
      </c>
      <c r="C6" s="22">
        <f>'Screener Output.v0'!L60</f>
        <v>1289.77</v>
      </c>
      <c r="D6" s="22"/>
      <c r="E6" s="22" t="s">
        <v>61</v>
      </c>
      <c r="F6" s="23">
        <f>C9/C6</f>
        <v>0.23767803561875367</v>
      </c>
      <c r="G6" s="32" t="s">
        <v>71</v>
      </c>
      <c r="H6" s="29">
        <v>30</v>
      </c>
      <c r="I6" s="29" t="s">
        <v>75</v>
      </c>
      <c r="J6" s="29">
        <v>1</v>
      </c>
    </row>
    <row r="7" spans="2:11">
      <c r="B7" s="22" t="s">
        <v>9</v>
      </c>
      <c r="C7" s="22">
        <f>'Screener Output.v0'!L60</f>
        <v>1289.77</v>
      </c>
      <c r="D7" s="22"/>
      <c r="E7" s="22" t="s">
        <v>296</v>
      </c>
      <c r="F7" s="23">
        <f>'Screener Output.v0'!B38/'Screener Output.v0'!L60</f>
        <v>6.8254572520681984</v>
      </c>
      <c r="G7" s="32" t="s">
        <v>72</v>
      </c>
      <c r="H7" s="29">
        <v>20</v>
      </c>
      <c r="I7" s="29" t="s">
        <v>73</v>
      </c>
      <c r="J7" s="29">
        <f>SUM(H5:H9) - SUM(J5:J6)</f>
        <v>99</v>
      </c>
    </row>
    <row r="8" spans="2:11">
      <c r="B8" s="22" t="s">
        <v>253</v>
      </c>
      <c r="C8" s="22">
        <f>'Screener Output.v0'!L41</f>
        <v>749.18</v>
      </c>
      <c r="D8" s="22"/>
      <c r="E8" s="22" t="s">
        <v>62</v>
      </c>
      <c r="F8" s="23">
        <f>C11/C6</f>
        <v>1.5172627677803019</v>
      </c>
      <c r="G8" s="32" t="s">
        <v>73</v>
      </c>
      <c r="H8" s="29">
        <v>50</v>
      </c>
    </row>
    <row r="9" spans="2:11">
      <c r="B9" s="22" t="s">
        <v>57</v>
      </c>
      <c r="C9" s="22">
        <f>'Screener Output.v0'!L29</f>
        <v>306.5499999999999</v>
      </c>
      <c r="D9" s="22"/>
      <c r="E9" s="22"/>
      <c r="F9" s="22"/>
      <c r="G9" s="32" t="s">
        <v>74</v>
      </c>
      <c r="H9" s="29">
        <v>100</v>
      </c>
    </row>
    <row r="10" spans="2:11">
      <c r="B10" s="22" t="s">
        <v>58</v>
      </c>
      <c r="C10" s="23">
        <f>'Screener Output.v0'!B38</f>
        <v>8803.27</v>
      </c>
      <c r="D10" s="22"/>
      <c r="E10" s="22"/>
      <c r="F10" s="22"/>
      <c r="G10" s="32">
        <f>IF(SUM(C1:D1)&gt;=20,20,SUM(C1:D1))</f>
        <v>0</v>
      </c>
    </row>
    <row r="11" spans="2:11">
      <c r="B11" s="22" t="s">
        <v>13</v>
      </c>
      <c r="C11" s="22">
        <f>'Screener Output.v0'!L26</f>
        <v>1956.92</v>
      </c>
      <c r="D11" s="22"/>
      <c r="E11" s="22"/>
      <c r="F11" s="22"/>
      <c r="G11" s="43"/>
    </row>
    <row r="12" spans="2:11">
      <c r="B12" s="22"/>
      <c r="C12" s="22"/>
      <c r="D12" s="22"/>
      <c r="E12" s="22"/>
      <c r="F12" s="22"/>
      <c r="G12" s="43"/>
    </row>
    <row r="13" spans="2:11">
      <c r="B13" s="22"/>
      <c r="C13" s="22"/>
      <c r="D13" s="22"/>
      <c r="E13" s="22"/>
      <c r="F13" s="22"/>
      <c r="G13" s="43"/>
    </row>
    <row r="14" spans="2:11">
      <c r="B14" s="26" t="s">
        <v>59</v>
      </c>
      <c r="C14" s="44">
        <f>IF((1.2*F4+1.4*F5+3.3*F6+0.6*F7+0.999*F8)&gt;=6,6,(1.2*F4+1.4*F5+3.3*F6+0.6*F7+0.999*F8))</f>
        <v>6</v>
      </c>
      <c r="D14" s="22"/>
      <c r="E14" s="22"/>
      <c r="F14" s="22"/>
      <c r="G14" s="43"/>
      <c r="H14" s="43"/>
      <c r="I14" s="43"/>
      <c r="J14" s="43"/>
      <c r="K14" s="43"/>
    </row>
    <row r="16" spans="2:11" ht="15">
      <c r="B16" s="45" t="s">
        <v>81</v>
      </c>
    </row>
    <row r="17" spans="2:3">
      <c r="B17" s="29" t="s">
        <v>79</v>
      </c>
      <c r="C17" s="29" t="s">
        <v>78</v>
      </c>
    </row>
    <row r="18" spans="2:3">
      <c r="B18" s="29" t="s">
        <v>82</v>
      </c>
      <c r="C18" s="29" t="s">
        <v>80</v>
      </c>
    </row>
    <row r="19" spans="2:3">
      <c r="B19" s="29" t="s">
        <v>83</v>
      </c>
      <c r="C19" s="29" t="s">
        <v>77</v>
      </c>
    </row>
    <row r="23" spans="2:3" ht="15">
      <c r="B23" s="2"/>
      <c r="C23" s="5"/>
    </row>
    <row r="24" spans="2:3" ht="15">
      <c r="B24" s="2"/>
      <c r="C24" s="5"/>
    </row>
    <row r="25" spans="2:3" ht="15">
      <c r="B25" s="2"/>
      <c r="C25" s="5"/>
    </row>
    <row r="26" spans="2:3" ht="15">
      <c r="B26" s="2"/>
      <c r="C26" s="5"/>
    </row>
    <row r="27" spans="2:3" ht="15">
      <c r="B27" s="2"/>
      <c r="C27" s="5"/>
    </row>
    <row r="28" spans="2:3" ht="15">
      <c r="B28" s="2"/>
      <c r="C28" s="5"/>
    </row>
    <row r="29" spans="2:3" ht="15">
      <c r="B29" s="2"/>
      <c r="C29" s="5"/>
    </row>
    <row r="30" spans="2:3" ht="15">
      <c r="B30" s="2"/>
      <c r="C30" s="5"/>
    </row>
    <row r="31" spans="2:3" ht="15">
      <c r="B31" s="2"/>
      <c r="C31" s="5"/>
    </row>
    <row r="32" spans="2:3" ht="15">
      <c r="B32" s="4" t="s">
        <v>83</v>
      </c>
      <c r="C32" s="5"/>
    </row>
    <row r="33" spans="2:3" ht="15">
      <c r="B33" s="6" t="s">
        <v>79</v>
      </c>
      <c r="C33" s="5"/>
    </row>
    <row r="34" spans="2:3" ht="15">
      <c r="B34" s="7" t="s">
        <v>82</v>
      </c>
      <c r="C34" s="5"/>
    </row>
    <row r="35" spans="2:3" ht="15">
      <c r="B35" s="2"/>
      <c r="C35" s="5"/>
    </row>
    <row r="36" spans="2:3" ht="15">
      <c r="B36" s="2"/>
      <c r="C36" s="5"/>
    </row>
  </sheetData>
  <mergeCells count="3">
    <mergeCell ref="B3:F3"/>
    <mergeCell ref="B1:F1"/>
    <mergeCell ref="B2:F2"/>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G10" sqref="G10"/>
    </sheetView>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AA17"/>
  <sheetViews>
    <sheetView showGridLines="0" zoomScaleNormal="100" workbookViewId="0">
      <selection activeCell="J14" sqref="J14"/>
    </sheetView>
  </sheetViews>
  <sheetFormatPr defaultColWidth="14.42578125" defaultRowHeight="15" customHeight="1"/>
  <cols>
    <col min="1" max="1" width="3" style="115" customWidth="1"/>
    <col min="2" max="2" width="10.5703125" style="115" customWidth="1"/>
    <col min="3" max="3" width="10.5703125" style="102" customWidth="1"/>
    <col min="4" max="4" width="17.28515625" style="102" customWidth="1"/>
    <col min="5" max="6" width="10.5703125" style="102" customWidth="1"/>
    <col min="7" max="7" width="12.140625" style="102" customWidth="1"/>
    <col min="8" max="15" width="10.5703125" style="102" customWidth="1"/>
    <col min="16" max="16" width="12" style="102" customWidth="1"/>
    <col min="17" max="17" width="15.28515625" style="102" customWidth="1"/>
    <col min="18" max="19" width="14.42578125" style="102"/>
    <col min="20" max="20" width="15.85546875" style="102" customWidth="1"/>
    <col min="21" max="16384" width="14.42578125" style="102"/>
  </cols>
  <sheetData>
    <row r="1" spans="2:27" ht="15" customHeight="1">
      <c r="D1" s="111"/>
      <c r="E1" s="112"/>
      <c r="F1" s="113"/>
      <c r="G1" s="113"/>
      <c r="H1" s="114"/>
      <c r="I1" s="114"/>
      <c r="J1" s="113"/>
    </row>
    <row r="2" spans="2:27" ht="36">
      <c r="B2" s="101" t="s">
        <v>307</v>
      </c>
      <c r="C2" s="101" t="s">
        <v>308</v>
      </c>
      <c r="D2" s="100" t="s">
        <v>217</v>
      </c>
      <c r="E2" s="101" t="s">
        <v>218</v>
      </c>
      <c r="F2" s="101" t="s">
        <v>219</v>
      </c>
      <c r="G2" s="101" t="s">
        <v>220</v>
      </c>
      <c r="H2" s="101" t="s">
        <v>306</v>
      </c>
      <c r="I2" s="101" t="s">
        <v>221</v>
      </c>
      <c r="J2" s="101" t="s">
        <v>222</v>
      </c>
      <c r="K2" s="101" t="s">
        <v>223</v>
      </c>
      <c r="L2" s="101" t="s">
        <v>328</v>
      </c>
      <c r="M2" s="101" t="s">
        <v>35</v>
      </c>
      <c r="N2" s="101" t="s">
        <v>224</v>
      </c>
      <c r="O2" s="101" t="s">
        <v>50</v>
      </c>
    </row>
    <row r="3" spans="2:27" ht="15" customHeight="1">
      <c r="B3" s="103">
        <f>AVERAGE('Screener Output.v0'!H76:L76)</f>
        <v>43.374383323993143</v>
      </c>
      <c r="C3" s="103">
        <f>AVERAGE('Screener Output.v0'!H78:L78)</f>
        <v>10.120640428092472</v>
      </c>
      <c r="D3" s="101" t="s">
        <v>215</v>
      </c>
      <c r="E3" s="109">
        <f>SUM('Screener Output.v0'!H29:L29)/SUM('Screener Output.v0'!H26:L26)</f>
        <v>0.14588673850416006</v>
      </c>
      <c r="F3" s="106">
        <f>SUM('Screener Output.v0'!H35:M35)/SUM('Screener Output.v0'!H26:M26)</f>
        <v>7.4584406875375014E-2</v>
      </c>
      <c r="G3" s="109">
        <f>SUM('Screener Output.v0'!H6:L6)/SUM('Screener Output.v0'!H26:L26)</f>
        <v>0.1653938302029809</v>
      </c>
      <c r="H3" s="109">
        <f>SUM('Screener Output.v0'!H7:L7)/SUM('Screener Output.v0'!H26:L26)</f>
        <v>7.2944638914387933E-2</v>
      </c>
      <c r="I3" s="104">
        <f>SUM('Screener Output.v0'!H55:L55)/SUM('Screener Output.v0'!H60:L60)</f>
        <v>4.1038474841807561E-3</v>
      </c>
      <c r="J3" s="104">
        <f>SUM('Screener Output.v0'!H9:L9)/SUM('Screener Output.v0'!H10:L10)</f>
        <v>1.5696231115000034</v>
      </c>
      <c r="K3" s="103">
        <f>SUM('Screener Input'!G66:K66)/SUM('Screener Input'!G57:K58)</f>
        <v>1.9723187556682744</v>
      </c>
      <c r="L3" s="103">
        <f>SUM('Screener Output.v0'!H45:L45)/SUM('Screener Output.v0'!H35:L35)</f>
        <v>1.7647688393718746</v>
      </c>
      <c r="M3" s="190">
        <f>SUM('Screener Output.v0'!H35:L35)/SUM('Screener Output.v0'!H40:L41)</f>
        <v>0.2287173848487524</v>
      </c>
      <c r="N3" s="104">
        <f>SUM('Screener Output.v0'!H35:L35)/SUM('Screener Output.v0'!H42:L45)</f>
        <v>0.16294667745449246</v>
      </c>
      <c r="O3" s="104">
        <f>SUM('Screener Output.v0'!H35:L35)/SUM('Screener Output.v0'!H60:L60)</f>
        <v>0.11596370221164216</v>
      </c>
    </row>
    <row r="4" spans="2:27" ht="15" customHeight="1">
      <c r="B4" s="103">
        <f>'Screener Output.v0'!L76</f>
        <v>51.386025352933018</v>
      </c>
      <c r="C4" s="103">
        <f>'Screener Output.v0'!L78</f>
        <v>10.873145523044787</v>
      </c>
      <c r="D4" s="101" t="s">
        <v>216</v>
      </c>
      <c r="E4" s="107">
        <f>'Screener Output.v0'!L29/'Screener Output.v0'!L26</f>
        <v>0.1566492242912331</v>
      </c>
      <c r="F4" s="106">
        <f>'Screener Output.v0'!M35/'Screener Output.v0'!M26</f>
        <v>8.3153633530022947E-2</v>
      </c>
      <c r="G4" s="109">
        <f>SUM('Screener Output.v0'!L6:L6)/SUM('Screener Output.v0'!L26:L26)</f>
        <v>0.1604204566359381</v>
      </c>
      <c r="H4" s="109">
        <f>SUM('Screener Output.v0'!L7:L7)/SUM('Screener Output.v0'!L26:L26)</f>
        <v>9.8292214295934419E-2</v>
      </c>
      <c r="I4" s="116">
        <f>'Screener Output.v0'!L55/'Screener Output.v0'!L60</f>
        <v>3.1013281437775727E-3</v>
      </c>
      <c r="J4" s="104">
        <f>SUM('Screener Output.v0'!L9:L9)/SUM('Screener Output.v0'!L10:L10)</f>
        <v>1.6701226012793178</v>
      </c>
      <c r="K4" s="103">
        <f>SUM('Screener Input'!K66:K66)/SUM('Screener Input'!K57:K58)</f>
        <v>1.694368176981385</v>
      </c>
      <c r="L4" s="103">
        <f>SUM('Screener Output.v0'!L45:L45)/SUM('Screener Output.v0'!M35:M35)</f>
        <v>0.90387222254965516</v>
      </c>
      <c r="M4" s="190">
        <f>Dupont!H10</f>
        <v>0.22289512749438398</v>
      </c>
      <c r="N4" s="104">
        <f>SUM('Screener Output.v0'!L35:L35)/SUM('Screener Output.v0'!L42:L45)</f>
        <v>0.17611555157068337</v>
      </c>
      <c r="O4" s="104">
        <f>SUM('Screener Output.v0'!L35:L35)/SUM('Screener Output.v0'!L60:L60)</f>
        <v>0.12488273102956332</v>
      </c>
    </row>
    <row r="5" spans="2:27" ht="12.95" customHeight="1">
      <c r="B5" s="103">
        <f>MAX('Screener Output.v0'!H76:L76)</f>
        <v>51.386025352933018</v>
      </c>
      <c r="C5" s="103">
        <f>MAX('Screener Output.v0'!H78:L78)</f>
        <v>11.980842963027857</v>
      </c>
      <c r="D5" s="101" t="s">
        <v>304</v>
      </c>
      <c r="E5" s="107"/>
      <c r="F5" s="106"/>
      <c r="G5" s="109"/>
      <c r="H5" s="109"/>
      <c r="I5" s="116"/>
      <c r="J5" s="104"/>
      <c r="K5" s="103"/>
      <c r="L5" s="103"/>
      <c r="M5" s="104"/>
      <c r="N5" s="104"/>
      <c r="O5" s="104"/>
    </row>
    <row r="6" spans="2:27" ht="15" customHeight="1">
      <c r="D6" s="102" t="s">
        <v>305</v>
      </c>
      <c r="O6" s="117"/>
      <c r="S6" s="117"/>
      <c r="Z6" s="119"/>
    </row>
    <row r="7" spans="2:27" ht="26.25" customHeight="1">
      <c r="D7" s="100" t="s">
        <v>206</v>
      </c>
      <c r="E7" s="101" t="s">
        <v>95</v>
      </c>
      <c r="F7" s="101" t="s">
        <v>207</v>
      </c>
      <c r="G7" s="101" t="s">
        <v>208</v>
      </c>
      <c r="H7" s="101" t="s">
        <v>209</v>
      </c>
      <c r="I7" s="101" t="s">
        <v>210</v>
      </c>
      <c r="J7" s="101" t="s">
        <v>211</v>
      </c>
      <c r="K7" s="101" t="s">
        <v>212</v>
      </c>
      <c r="L7" s="101" t="s">
        <v>213</v>
      </c>
      <c r="M7" s="101" t="s">
        <v>310</v>
      </c>
      <c r="N7" s="101" t="s">
        <v>214</v>
      </c>
      <c r="S7" s="117"/>
      <c r="Z7" s="120"/>
      <c r="AA7" s="119"/>
    </row>
    <row r="8" spans="2:27" s="115" customFormat="1" ht="26.25" customHeight="1">
      <c r="D8" s="101" t="s">
        <v>215</v>
      </c>
      <c r="E8" s="103">
        <f>AVERAGE('Screener Output.v0'!H62:L62)</f>
        <v>145.24799999999999</v>
      </c>
      <c r="F8" s="104">
        <f>SUM('Screener Output.v0'!H65:L65)/SUM('Screener Output.v0'!H62:L62)</f>
        <v>-0.27154935007710951</v>
      </c>
      <c r="G8" s="105">
        <f>SUM('Screener Output.v0'!H23:L23)/SUM('Screener Output.v0'!H62:L62)</f>
        <v>0.73799294998898435</v>
      </c>
      <c r="H8" s="104">
        <f>SUM('Screener Output.v0'!H62:L62)/SUM('Screener Output.v0'!H35:L35)</f>
        <v>1.2742170365821563</v>
      </c>
      <c r="I8" s="106">
        <f>SUM('Screener Output.v0'!H62:L62)/SUM('Screener Output.v0'!H26:L26)</f>
        <v>9.2207955450088933E-2</v>
      </c>
      <c r="J8" s="107">
        <f>SUM('Screener Output.v0'!H62:L62)/SUM('Screener Output.v0'!H60:L60)</f>
        <v>0.14776292498321433</v>
      </c>
      <c r="K8" s="108">
        <f>SUM('Screener Output.v0'!H62:L62)/SUM('Screener Output.v0'!H48:L48)</f>
        <v>0.51247239138258305</v>
      </c>
      <c r="L8" s="108">
        <f>SUM('Screener Output.v0'!H62:L62)/SUM('Screener Output.v0'!H45:L45)</f>
        <v>0.72203056182456282</v>
      </c>
      <c r="M8" s="109">
        <f>SUM('Screener Output.v0'!H63:L63)/SUM('Screener Output.v0'!H62:L62)</f>
        <v>0.2620070500110156</v>
      </c>
      <c r="N8" s="104">
        <f>SUM('Screener Output.v0'!H23:L23)/SUM('Screener Output.v0'!H63:L63)</f>
        <v>2.8166911919276862</v>
      </c>
      <c r="S8" s="117"/>
      <c r="Z8" s="120"/>
      <c r="AA8" s="119"/>
    </row>
    <row r="9" spans="2:27" s="115" customFormat="1" ht="26.25" customHeight="1">
      <c r="D9" s="101" t="s">
        <v>216</v>
      </c>
      <c r="E9" s="103">
        <f>'Screener Output.v0'!L62</f>
        <v>154.25</v>
      </c>
      <c r="F9" s="110">
        <f>SUM('Screener Output.v0'!L65:L65)/SUM('Screener Output.v0'!L62:L62)</f>
        <v>-0.29996758508914101</v>
      </c>
      <c r="G9" s="104">
        <f>SUM('Screener Output.v0'!L23:L23)/SUM('Screener Output.v0'!L62:L62)</f>
        <v>0.73478119935170205</v>
      </c>
      <c r="H9" s="104">
        <f>SUM('Screener Output.v0'!L62:L62)/SUM('Screener Output.v0'!L35:L35)</f>
        <v>0.95765816104799228</v>
      </c>
      <c r="I9" s="109">
        <f>SUM('Screener Output.v0'!L62:L62)/SUM('Screener Output.v0'!L26:L26)</f>
        <v>7.8822844061075564E-2</v>
      </c>
      <c r="J9" s="109">
        <f>SUM('Screener Output.v0'!L62:L62)/SUM('Screener Output.v0'!L60:L60)</f>
        <v>0.11959496654442266</v>
      </c>
      <c r="K9" s="109">
        <f>SUM('Screener Output.v0'!L62:L62)/SUM('Screener Output.v0'!L48:L48)</f>
        <v>0.41111407249466952</v>
      </c>
      <c r="L9" s="109">
        <f>SUM('Screener Output.v0'!L62:L62)/SUM('Screener Output.v0'!L45:L45)</f>
        <v>1.0058033385498173</v>
      </c>
      <c r="M9" s="109">
        <f>SUM('Screener Output.v0'!L63:L63)/SUM('Screener Output.v0'!L62:L62)</f>
        <v>0.26521880064829789</v>
      </c>
      <c r="N9" s="104">
        <f>SUM('Screener Output.v0'!L23:L23)/SUM('Screener Output.v0'!L63:L63)</f>
        <v>2.7704717672940644</v>
      </c>
      <c r="S9" s="117"/>
      <c r="Z9" s="120"/>
      <c r="AA9" s="119"/>
    </row>
    <row r="10" spans="2:27" s="115" customFormat="1" ht="26.25" customHeight="1">
      <c r="S10" s="117"/>
      <c r="Z10" s="120"/>
      <c r="AA10" s="119"/>
    </row>
    <row r="11" spans="2:27" ht="12">
      <c r="D11" s="100" t="s">
        <v>225</v>
      </c>
      <c r="E11" s="101" t="s">
        <v>226</v>
      </c>
      <c r="F11" s="101" t="s">
        <v>227</v>
      </c>
      <c r="G11" s="101" t="s">
        <v>228</v>
      </c>
      <c r="H11" s="101" t="s">
        <v>229</v>
      </c>
      <c r="I11" s="101" t="s">
        <v>28</v>
      </c>
      <c r="J11" s="101" t="s">
        <v>30</v>
      </c>
      <c r="K11" s="101" t="s">
        <v>95</v>
      </c>
      <c r="L11" s="101" t="s">
        <v>25</v>
      </c>
      <c r="M11" s="101" t="s">
        <v>6</v>
      </c>
      <c r="N11" s="101"/>
      <c r="AA11" s="120"/>
    </row>
    <row r="12" spans="2:27" ht="12.95" customHeight="1">
      <c r="D12" s="101" t="s">
        <v>230</v>
      </c>
      <c r="E12" s="107">
        <f>POWER('Screener Output.v0'!M25/'Screener Output.v0'!C25,1/9)-1</f>
        <v>0.19557384952762624</v>
      </c>
      <c r="F12" s="104">
        <f>('Screener Output.v0'!L6/'Screener Output.v0'!C6)^(1/9)-1</f>
        <v>0.2579082349871209</v>
      </c>
      <c r="G12" s="104">
        <f>('Screener Output.v0'!L7/'Screener Output.v0'!C7)^(1/9)-1</f>
        <v>0.28790850659548561</v>
      </c>
      <c r="H12" s="107">
        <f>POWER('Screener Output.v0'!M35/'Screener Output.v0'!C35,1/9)-1</f>
        <v>0.31704319203095133</v>
      </c>
      <c r="I12" s="107">
        <f>('Screener Output.v0'!M74/'Screener Output.v0'!C74)^(1/9)-1</f>
        <v>0.31662729084920693</v>
      </c>
      <c r="J12" s="107">
        <f>('Screener Output.v0'!L73/'Screener Output.v0'!C73)^(1/9)-1</f>
        <v>0.29528005311664596</v>
      </c>
      <c r="K12" s="107">
        <f>('Screener Output.v0'!L62/'Screener Output.v0'!C62)^(1/9)-1</f>
        <v>0.15845485064314335</v>
      </c>
      <c r="L12" s="107">
        <f>('Screener Output.v0'!L63/'Screener Output.v0'!C62)^(1/9)-1</f>
        <v>-3.7951729365581777E-4</v>
      </c>
      <c r="M12" s="107">
        <f>('Screener Output.v0'!L42/'Screener Output.v0'!C42)^(1/9)-1</f>
        <v>0.29568921105262747</v>
      </c>
      <c r="N12" s="121"/>
      <c r="AA12" s="120"/>
    </row>
    <row r="13" spans="2:27" ht="12.95" customHeight="1">
      <c r="D13" s="101" t="s">
        <v>231</v>
      </c>
      <c r="E13" s="107">
        <f>POWER('Screener Output.v0'!M25/'Screener Output.v0'!G25,1/5)-1</f>
        <v>0.15817148927251967</v>
      </c>
      <c r="F13" s="104">
        <f>('Screener Output.v0'!L6/'Screener Output.v0'!G6)^(1/5)-1</f>
        <v>0.14510973523019621</v>
      </c>
      <c r="G13" s="104">
        <f>('Screener Output.v0'!L7/'Screener Output.v0'!G7)^(1/5)-1</f>
        <v>0.39847433812279598</v>
      </c>
      <c r="H13" s="107">
        <f>POWER('Screener Output.v0'!M35/'Screener Output.v0'!G35,1/5)-1</f>
        <v>0.30510671196386419</v>
      </c>
      <c r="I13" s="107">
        <f>('Screener Output.v0'!M74/'Screener Output.v0'!G74)^(1/5)-1</f>
        <v>0.30436496837203419</v>
      </c>
      <c r="J13" s="107">
        <f>('Screener Output.v0'!L73/'Screener Output.v0'!G73)^(1/5)-1</f>
        <v>0.28763519995896658</v>
      </c>
      <c r="K13" s="107">
        <f>('Screener Output.v0'!L62/'Screener Output.v0'!G62)^(1/5)-1</f>
        <v>0.23353137157130455</v>
      </c>
      <c r="L13" s="107">
        <f>('Screener Output.v0'!L63/'Screener Output.v0'!G63)^(1/5)-1</f>
        <v>-2.0686716163298251</v>
      </c>
      <c r="M13" s="107">
        <f>('Screener Output.v0'!L42/'Screener Output.v0'!G42)^(1/5)-1</f>
        <v>0.28836742995696807</v>
      </c>
      <c r="N13" s="122"/>
      <c r="P13" s="120"/>
    </row>
    <row r="14" spans="2:27" ht="23.25" customHeight="1"/>
    <row r="15" spans="2:27" ht="12.95" customHeight="1"/>
    <row r="16" spans="2:27" ht="12.95" customHeight="1">
      <c r="D16" s="111"/>
      <c r="E16" s="117"/>
      <c r="F16" s="113"/>
      <c r="G16" s="113"/>
      <c r="H16" s="117"/>
      <c r="I16" s="114"/>
      <c r="J16" s="114"/>
      <c r="K16" s="113"/>
      <c r="L16" s="118"/>
      <c r="M16" s="118"/>
      <c r="N16" s="118"/>
    </row>
    <row r="17" spans="6:11" ht="15" customHeight="1">
      <c r="F17" s="118"/>
      <c r="G17" s="118"/>
      <c r="H17" s="118"/>
      <c r="I17" s="118"/>
      <c r="J17" s="118"/>
      <c r="K17" s="118"/>
    </row>
  </sheetData>
  <sheetProtection selectLockedCells="1" selectUnlockedCells="1"/>
  <pageMargins left="0.7" right="0.7" top="0.75" bottom="0.75" header="0.51180555555555551" footer="0.51180555555555551"/>
  <pageSetup firstPageNumber="0" orientation="portrait" horizontalDpi="300" verticalDpi="300" r:id="rId1"/>
  <headerFooter alignWithMargins="0"/>
  <ignoredErrors>
    <ignoredError sqref="K3" formulaRange="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
  <sheetViews>
    <sheetView showGridLines="0" workbookViewId="0">
      <selection activeCell="D15" sqref="D15"/>
    </sheetView>
  </sheetViews>
  <sheetFormatPr defaultRowHeight="15"/>
  <cols>
    <col min="1" max="1" width="25.5703125" customWidth="1"/>
    <col min="2" max="2" width="5.5703125" bestFit="1" customWidth="1"/>
    <col min="3" max="3" width="24.5703125" bestFit="1" customWidth="1"/>
    <col min="4" max="4" width="5" bestFit="1" customWidth="1"/>
    <col min="5" max="24" width="5.140625" bestFit="1" customWidth="1"/>
  </cols>
  <sheetData>
    <row r="1" spans="1:24">
      <c r="A1" s="424" t="s">
        <v>27</v>
      </c>
      <c r="B1" s="424"/>
      <c r="C1" s="55" t="s">
        <v>21</v>
      </c>
      <c r="D1" s="55">
        <v>0</v>
      </c>
      <c r="E1" s="55">
        <v>1</v>
      </c>
      <c r="F1" s="55">
        <v>2</v>
      </c>
      <c r="G1" s="55">
        <v>3</v>
      </c>
      <c r="H1" s="55">
        <v>4</v>
      </c>
      <c r="I1" s="55">
        <v>5</v>
      </c>
      <c r="J1" s="55">
        <v>6</v>
      </c>
      <c r="K1" s="55">
        <v>7</v>
      </c>
      <c r="L1" s="55">
        <v>8</v>
      </c>
      <c r="M1" s="55">
        <v>9</v>
      </c>
      <c r="N1" s="55">
        <v>10</v>
      </c>
      <c r="O1" s="55">
        <v>11</v>
      </c>
      <c r="P1" s="55">
        <v>12</v>
      </c>
      <c r="Q1" s="55">
        <v>13</v>
      </c>
      <c r="R1" s="55">
        <v>14</v>
      </c>
      <c r="S1" s="55">
        <v>15</v>
      </c>
      <c r="T1" s="55">
        <v>16</v>
      </c>
      <c r="U1" s="55">
        <v>17</v>
      </c>
      <c r="V1" s="55">
        <v>18</v>
      </c>
      <c r="W1" s="55">
        <v>19</v>
      </c>
      <c r="X1" s="55">
        <v>20</v>
      </c>
    </row>
    <row r="2" spans="1:24">
      <c r="A2" s="56" t="s">
        <v>109</v>
      </c>
      <c r="B2" s="65">
        <v>0.25</v>
      </c>
      <c r="C2" s="57" t="s">
        <v>103</v>
      </c>
      <c r="D2" s="57">
        <v>1</v>
      </c>
      <c r="E2" s="57">
        <f>D2+B2</f>
        <v>1.25</v>
      </c>
      <c r="F2" s="57">
        <f>E2</f>
        <v>1.25</v>
      </c>
      <c r="G2" s="57">
        <f t="shared" ref="G2:X2" si="0">F2</f>
        <v>1.25</v>
      </c>
      <c r="H2" s="57">
        <f t="shared" si="0"/>
        <v>1.25</v>
      </c>
      <c r="I2" s="57">
        <f t="shared" si="0"/>
        <v>1.25</v>
      </c>
      <c r="J2" s="57">
        <f t="shared" si="0"/>
        <v>1.25</v>
      </c>
      <c r="K2" s="57">
        <f t="shared" si="0"/>
        <v>1.25</v>
      </c>
      <c r="L2" s="57">
        <f t="shared" si="0"/>
        <v>1.25</v>
      </c>
      <c r="M2" s="57">
        <f t="shared" si="0"/>
        <v>1.25</v>
      </c>
      <c r="N2" s="57">
        <f t="shared" si="0"/>
        <v>1.25</v>
      </c>
      <c r="O2" s="57">
        <f t="shared" si="0"/>
        <v>1.25</v>
      </c>
      <c r="P2" s="57">
        <f t="shared" si="0"/>
        <v>1.25</v>
      </c>
      <c r="Q2" s="57">
        <f t="shared" si="0"/>
        <v>1.25</v>
      </c>
      <c r="R2" s="57">
        <f t="shared" si="0"/>
        <v>1.25</v>
      </c>
      <c r="S2" s="57">
        <f t="shared" si="0"/>
        <v>1.25</v>
      </c>
      <c r="T2" s="57">
        <f t="shared" si="0"/>
        <v>1.25</v>
      </c>
      <c r="U2" s="57">
        <f t="shared" si="0"/>
        <v>1.25</v>
      </c>
      <c r="V2" s="57">
        <f t="shared" si="0"/>
        <v>1.25</v>
      </c>
      <c r="W2" s="57">
        <f t="shared" si="0"/>
        <v>1.25</v>
      </c>
      <c r="X2" s="57">
        <f t="shared" si="0"/>
        <v>1.25</v>
      </c>
    </row>
    <row r="3" spans="1:24">
      <c r="A3" s="56" t="s">
        <v>110</v>
      </c>
      <c r="B3" s="67">
        <v>25</v>
      </c>
      <c r="C3" s="57" t="s">
        <v>25</v>
      </c>
      <c r="D3" s="58">
        <f>B3</f>
        <v>25</v>
      </c>
      <c r="E3" s="58">
        <f>D3*E2</f>
        <v>31.25</v>
      </c>
      <c r="F3" s="58">
        <f>E3*F2</f>
        <v>39.0625</v>
      </c>
      <c r="G3" s="58">
        <f t="shared" ref="G3:X3" si="1">F3*G2</f>
        <v>48.828125</v>
      </c>
      <c r="H3" s="58">
        <f t="shared" si="1"/>
        <v>61.03515625</v>
      </c>
      <c r="I3" s="58">
        <f t="shared" si="1"/>
        <v>76.2939453125</v>
      </c>
      <c r="J3" s="58">
        <f t="shared" si="1"/>
        <v>95.367431640625</v>
      </c>
      <c r="K3" s="58">
        <f t="shared" si="1"/>
        <v>119.20928955078125</v>
      </c>
      <c r="L3" s="58">
        <f t="shared" si="1"/>
        <v>149.01161193847656</v>
      </c>
      <c r="M3" s="58">
        <f t="shared" si="1"/>
        <v>186.2645149230957</v>
      </c>
      <c r="N3" s="58">
        <f t="shared" si="1"/>
        <v>232.83064365386963</v>
      </c>
      <c r="O3" s="58">
        <f t="shared" si="1"/>
        <v>291.03830456733704</v>
      </c>
      <c r="P3" s="58">
        <f t="shared" si="1"/>
        <v>363.7978807091713</v>
      </c>
      <c r="Q3" s="58">
        <f t="shared" si="1"/>
        <v>454.74735088646412</v>
      </c>
      <c r="R3" s="58">
        <f t="shared" si="1"/>
        <v>568.43418860808015</v>
      </c>
      <c r="S3" s="58">
        <f>R3*S2</f>
        <v>710.54273576010019</v>
      </c>
      <c r="T3" s="58">
        <f t="shared" si="1"/>
        <v>888.17841970012523</v>
      </c>
      <c r="U3" s="58">
        <f t="shared" si="1"/>
        <v>1110.2230246251565</v>
      </c>
      <c r="V3" s="58">
        <f t="shared" si="1"/>
        <v>1387.7787807814457</v>
      </c>
      <c r="W3" s="58">
        <f t="shared" si="1"/>
        <v>1734.7234759768071</v>
      </c>
      <c r="X3" s="58">
        <f t="shared" si="1"/>
        <v>2168.4043449710089</v>
      </c>
    </row>
    <row r="4" spans="1:24">
      <c r="A4" s="63" t="s">
        <v>29</v>
      </c>
      <c r="B4" s="64">
        <f>Valuation_Chart!B5</f>
        <v>731.45</v>
      </c>
      <c r="C4" s="57" t="s">
        <v>34</v>
      </c>
      <c r="D4" s="59">
        <f>1+B5</f>
        <v>1.0900000000000001</v>
      </c>
      <c r="E4" s="59">
        <f>D4</f>
        <v>1.0900000000000001</v>
      </c>
      <c r="F4" s="59">
        <f t="shared" ref="F4:X4" si="2">E4</f>
        <v>1.0900000000000001</v>
      </c>
      <c r="G4" s="59">
        <f t="shared" si="2"/>
        <v>1.0900000000000001</v>
      </c>
      <c r="H4" s="59">
        <f t="shared" si="2"/>
        <v>1.0900000000000001</v>
      </c>
      <c r="I4" s="59">
        <f t="shared" si="2"/>
        <v>1.0900000000000001</v>
      </c>
      <c r="J4" s="59">
        <f t="shared" si="2"/>
        <v>1.0900000000000001</v>
      </c>
      <c r="K4" s="59">
        <f t="shared" si="2"/>
        <v>1.0900000000000001</v>
      </c>
      <c r="L4" s="59">
        <f t="shared" si="2"/>
        <v>1.0900000000000001</v>
      </c>
      <c r="M4" s="59">
        <f t="shared" si="2"/>
        <v>1.0900000000000001</v>
      </c>
      <c r="N4" s="59">
        <f t="shared" si="2"/>
        <v>1.0900000000000001</v>
      </c>
      <c r="O4" s="59">
        <f t="shared" si="2"/>
        <v>1.0900000000000001</v>
      </c>
      <c r="P4" s="59">
        <f t="shared" si="2"/>
        <v>1.0900000000000001</v>
      </c>
      <c r="Q4" s="59">
        <f t="shared" si="2"/>
        <v>1.0900000000000001</v>
      </c>
      <c r="R4" s="59">
        <f t="shared" si="2"/>
        <v>1.0900000000000001</v>
      </c>
      <c r="S4" s="59">
        <f t="shared" si="2"/>
        <v>1.0900000000000001</v>
      </c>
      <c r="T4" s="59">
        <f t="shared" si="2"/>
        <v>1.0900000000000001</v>
      </c>
      <c r="U4" s="59">
        <f t="shared" si="2"/>
        <v>1.0900000000000001</v>
      </c>
      <c r="V4" s="59">
        <f t="shared" si="2"/>
        <v>1.0900000000000001</v>
      </c>
      <c r="W4" s="59">
        <f t="shared" si="2"/>
        <v>1.0900000000000001</v>
      </c>
      <c r="X4" s="59">
        <f t="shared" si="2"/>
        <v>1.0900000000000001</v>
      </c>
    </row>
    <row r="5" spans="1:24">
      <c r="A5" s="56" t="s">
        <v>34</v>
      </c>
      <c r="B5" s="65">
        <v>0.09</v>
      </c>
      <c r="C5" s="57" t="s">
        <v>104</v>
      </c>
      <c r="D5" s="58">
        <f>D3</f>
        <v>25</v>
      </c>
      <c r="E5" s="58">
        <f>E3/E4^E1</f>
        <v>28.669724770642201</v>
      </c>
      <c r="F5" s="58">
        <f t="shared" ref="F5:X5" si="3">F3/F4^F1</f>
        <v>32.878124736974996</v>
      </c>
      <c r="G5" s="58">
        <f t="shared" si="3"/>
        <v>37.70427148735665</v>
      </c>
      <c r="H5" s="58">
        <f t="shared" si="3"/>
        <v>43.238843448803493</v>
      </c>
      <c r="I5" s="58">
        <f t="shared" si="3"/>
        <v>49.585829643123269</v>
      </c>
      <c r="J5" s="58">
        <f t="shared" si="3"/>
        <v>56.864483535691818</v>
      </c>
      <c r="K5" s="58">
        <f t="shared" si="3"/>
        <v>65.211563687719973</v>
      </c>
      <c r="L5" s="58">
        <f t="shared" si="3"/>
        <v>74.783903311605471</v>
      </c>
      <c r="M5" s="58">
        <f t="shared" si="3"/>
        <v>85.761357008721859</v>
      </c>
      <c r="N5" s="58">
        <f t="shared" si="3"/>
        <v>98.350180055873679</v>
      </c>
      <c r="O5" s="58">
        <f t="shared" si="3"/>
        <v>112.7869037338001</v>
      </c>
      <c r="P5" s="58">
        <f t="shared" si="3"/>
        <v>129.34277951123866</v>
      </c>
      <c r="Q5" s="58">
        <f t="shared" si="3"/>
        <v>148.32887558628283</v>
      </c>
      <c r="R5" s="58">
        <f t="shared" si="3"/>
        <v>170.10192154390231</v>
      </c>
      <c r="S5" s="58">
        <f t="shared" si="3"/>
        <v>195.0710109448421</v>
      </c>
      <c r="T5" s="58">
        <f t="shared" si="3"/>
        <v>223.70528778078221</v>
      </c>
      <c r="U5" s="58">
        <f t="shared" si="3"/>
        <v>256.54276121649337</v>
      </c>
      <c r="V5" s="58">
        <f t="shared" si="3"/>
        <v>294.20041423909788</v>
      </c>
      <c r="W5" s="58">
        <f t="shared" si="3"/>
        <v>337.3857961457544</v>
      </c>
      <c r="X5" s="58">
        <f t="shared" si="3"/>
        <v>386.91031668091102</v>
      </c>
    </row>
    <row r="6" spans="1:24">
      <c r="A6" s="63" t="s">
        <v>105</v>
      </c>
      <c r="B6" s="64">
        <f>MIN(D9:X9)</f>
        <v>11</v>
      </c>
      <c r="C6" s="57" t="s">
        <v>106</v>
      </c>
      <c r="D6" s="58">
        <f>SUM($D$5:D5)</f>
        <v>25</v>
      </c>
      <c r="E6" s="58">
        <f>SUM($D$5:E5)</f>
        <v>53.669724770642205</v>
      </c>
      <c r="F6" s="58">
        <f>SUM($D$5:F5)</f>
        <v>86.547849507617201</v>
      </c>
      <c r="G6" s="58">
        <f>SUM($D$5:G5)</f>
        <v>124.25212099497385</v>
      </c>
      <c r="H6" s="58">
        <f>SUM($D$5:H5)</f>
        <v>167.49096444377733</v>
      </c>
      <c r="I6" s="58">
        <f>SUM($D$5:I5)</f>
        <v>217.07679408690061</v>
      </c>
      <c r="J6" s="58">
        <f>SUM($D$5:J5)</f>
        <v>273.94127762259245</v>
      </c>
      <c r="K6" s="58">
        <f>SUM($D$5:K5)</f>
        <v>339.1528413103124</v>
      </c>
      <c r="L6" s="58">
        <f>SUM($D$5:L5)</f>
        <v>413.93674462191785</v>
      </c>
      <c r="M6" s="58">
        <f>SUM($D$5:M5)</f>
        <v>499.69810163063971</v>
      </c>
      <c r="N6" s="58">
        <f>SUM($D$5:N5)</f>
        <v>598.04828168651341</v>
      </c>
      <c r="O6" s="58">
        <f>SUM($D$5:O5)</f>
        <v>710.83518542031356</v>
      </c>
      <c r="P6" s="58">
        <f>SUM($D$5:P5)</f>
        <v>840.1779649315522</v>
      </c>
      <c r="Q6" s="58">
        <f>SUM($D$5:Q5)</f>
        <v>988.50684051783503</v>
      </c>
      <c r="R6" s="58">
        <f>SUM($D$5:R5)</f>
        <v>1158.6087620617373</v>
      </c>
      <c r="S6" s="58">
        <f>SUM($D$5:S5)</f>
        <v>1353.6797730065794</v>
      </c>
      <c r="T6" s="58">
        <f>SUM($D$5:T5)</f>
        <v>1577.3850607873615</v>
      </c>
      <c r="U6" s="58">
        <f>SUM($D$5:U5)</f>
        <v>1833.9278220038548</v>
      </c>
      <c r="V6" s="58">
        <f>SUM($D$5:V5)</f>
        <v>2128.1282362429529</v>
      </c>
      <c r="W6" s="58">
        <f>SUM($D$5:W5)</f>
        <v>2465.5140323887072</v>
      </c>
      <c r="X6" s="58">
        <f>SUM($D$5:X5)</f>
        <v>2852.4243490696181</v>
      </c>
    </row>
    <row r="7" spans="1:24">
      <c r="A7" s="420"/>
      <c r="B7" s="421"/>
      <c r="C7" s="57" t="s">
        <v>107</v>
      </c>
      <c r="D7" s="58">
        <f>B3/B5</f>
        <v>277.77777777777777</v>
      </c>
      <c r="E7" s="58">
        <f>(B3/B5)/(1+B5)^E1</f>
        <v>254.84199796126398</v>
      </c>
      <c r="F7" s="58">
        <f>(B3/B5)/(1+B5)^F1</f>
        <v>233.79999812959997</v>
      </c>
      <c r="G7" s="58">
        <f>(B3/B5)/(1+B5)^G1</f>
        <v>214.49541112807336</v>
      </c>
      <c r="H7" s="58">
        <f>(B3/B5)/(1+B5)^H1</f>
        <v>196.78478085144346</v>
      </c>
      <c r="I7" s="58">
        <f>(B3/B5)/(1+B5)^I1</f>
        <v>180.53649619398479</v>
      </c>
      <c r="J7" s="58">
        <f>(B3/B5)/(1+B5)^J1</f>
        <v>165.62981302200438</v>
      </c>
      <c r="K7" s="58">
        <f>(B3/B5)/(1+B5)^K1</f>
        <v>151.95395690092147</v>
      </c>
      <c r="L7" s="58">
        <f>(B3/B5)/(1+B5)^L1</f>
        <v>139.40729990910225</v>
      </c>
      <c r="M7" s="58">
        <f>(B3/B5)/(1+B5)^M1</f>
        <v>127.89660542119471</v>
      </c>
      <c r="N7" s="58">
        <f>(B3/B5)/(1+B5)^N1</f>
        <v>117.33633524880247</v>
      </c>
      <c r="O7" s="58">
        <f>(B3/B5)/(1+B5)^O1</f>
        <v>107.64801398972705</v>
      </c>
      <c r="P7" s="58">
        <f>(B3/B5)/(1+B5)^P1</f>
        <v>98.759645862134903</v>
      </c>
      <c r="Q7" s="58">
        <f>(B3/B5)/(1+B5)^Q1</f>
        <v>90.605179690032003</v>
      </c>
      <c r="R7" s="58">
        <f>(B3/B5)/(1+B5)^R1</f>
        <v>83.12401806424954</v>
      </c>
      <c r="S7" s="58">
        <f>(B3/B5)/(1+B5)^S1</f>
        <v>76.260567031421601</v>
      </c>
      <c r="T7" s="58">
        <f>(B3/B5)/(1+B5)^T1</f>
        <v>69.963822964606962</v>
      </c>
      <c r="U7" s="58">
        <f>(B3/B5)/(1+B5)^U1</f>
        <v>64.186993545510987</v>
      </c>
      <c r="V7" s="58">
        <f>(B3/B5)/(1+B5)^V1</f>
        <v>58.887150041753188</v>
      </c>
      <c r="W7" s="58">
        <f>(B3/B5)/(1+B5)^W1</f>
        <v>54.024908295186407</v>
      </c>
      <c r="X7" s="58">
        <f>(B3/B5)/(1+B5)^X1</f>
        <v>49.564136050629735</v>
      </c>
    </row>
    <row r="8" spans="1:24">
      <c r="A8" s="422"/>
      <c r="B8" s="423"/>
      <c r="C8" s="57" t="s">
        <v>108</v>
      </c>
      <c r="D8" s="58">
        <f t="shared" ref="D8:X8" si="4">D7+D6</f>
        <v>302.77777777777777</v>
      </c>
      <c r="E8" s="58">
        <f t="shared" si="4"/>
        <v>308.51172273190616</v>
      </c>
      <c r="F8" s="58">
        <f t="shared" si="4"/>
        <v>320.34784763721717</v>
      </c>
      <c r="G8" s="58">
        <f t="shared" si="4"/>
        <v>338.74753212304722</v>
      </c>
      <c r="H8" s="58">
        <f t="shared" si="4"/>
        <v>364.27574529522076</v>
      </c>
      <c r="I8" s="58">
        <f t="shared" si="4"/>
        <v>397.61329028088539</v>
      </c>
      <c r="J8" s="58">
        <f t="shared" si="4"/>
        <v>439.57109064459684</v>
      </c>
      <c r="K8" s="58">
        <f t="shared" si="4"/>
        <v>491.10679821123387</v>
      </c>
      <c r="L8" s="58">
        <f t="shared" si="4"/>
        <v>553.34404453102013</v>
      </c>
      <c r="M8" s="58">
        <f t="shared" si="4"/>
        <v>627.59470705183446</v>
      </c>
      <c r="N8" s="58">
        <f t="shared" si="4"/>
        <v>715.38461693531588</v>
      </c>
      <c r="O8" s="58">
        <f t="shared" si="4"/>
        <v>818.48319941004058</v>
      </c>
      <c r="P8" s="58">
        <f t="shared" si="4"/>
        <v>938.9376107936871</v>
      </c>
      <c r="Q8" s="58">
        <f t="shared" si="4"/>
        <v>1079.1120202078671</v>
      </c>
      <c r="R8" s="58">
        <f t="shared" si="4"/>
        <v>1241.7327801259869</v>
      </c>
      <c r="S8" s="58">
        <f t="shared" si="4"/>
        <v>1429.9403400380011</v>
      </c>
      <c r="T8" s="58">
        <f t="shared" si="4"/>
        <v>1647.3488837519685</v>
      </c>
      <c r="U8" s="58">
        <f t="shared" si="4"/>
        <v>1898.1148155493659</v>
      </c>
      <c r="V8" s="58">
        <f t="shared" si="4"/>
        <v>2187.015386284706</v>
      </c>
      <c r="W8" s="58">
        <f t="shared" si="4"/>
        <v>2519.5389406838935</v>
      </c>
      <c r="X8" s="58">
        <f t="shared" si="4"/>
        <v>2901.9884851202478</v>
      </c>
    </row>
    <row r="9" spans="1:24" ht="15" customHeight="1">
      <c r="A9" s="61"/>
      <c r="B9" s="62"/>
      <c r="C9" s="60"/>
      <c r="D9" s="57" t="str">
        <f>IF(D8&gt;B4,1*D1,"No")</f>
        <v>No</v>
      </c>
      <c r="E9" s="57" t="str">
        <f>IF(E8&gt;B4,E1*1,"No")</f>
        <v>No</v>
      </c>
      <c r="F9" s="57" t="str">
        <f>IF(F8&gt;B4,F1*1,"No")</f>
        <v>No</v>
      </c>
      <c r="G9" s="57" t="str">
        <f>IF(G8&gt;B4,G1*1,"No")</f>
        <v>No</v>
      </c>
      <c r="H9" s="57" t="str">
        <f>IF(H8&gt;B4,H1*1,"No")</f>
        <v>No</v>
      </c>
      <c r="I9" s="57" t="str">
        <f>IF(I8&gt;B4,I1*1,"No")</f>
        <v>No</v>
      </c>
      <c r="J9" s="57" t="str">
        <f>IF(J8&gt;B4,J1*1,"No")</f>
        <v>No</v>
      </c>
      <c r="K9" s="57" t="str">
        <f>IF(K8&gt;B4,1*K1,"No")</f>
        <v>No</v>
      </c>
      <c r="L9" s="57" t="str">
        <f>IF(L8&gt;B4,L1*1,"No")</f>
        <v>No</v>
      </c>
      <c r="M9" s="57" t="str">
        <f>IF(M8&gt;B4,M1*1,"No")</f>
        <v>No</v>
      </c>
      <c r="N9" s="57" t="str">
        <f>IF(N8&gt;B4,N1*1,"No")</f>
        <v>No</v>
      </c>
      <c r="O9" s="57">
        <f>IF(O8&gt;B4,O1*1,"No")</f>
        <v>11</v>
      </c>
      <c r="P9" s="57">
        <f>IF(P8&gt;B4,P1*1,"No")</f>
        <v>12</v>
      </c>
      <c r="Q9" s="57">
        <f>IF(Q8&gt;B4,Q1*1,"No")</f>
        <v>13</v>
      </c>
      <c r="R9" s="57">
        <f>IF(R8&gt;B4,1*R1,"No")</f>
        <v>14</v>
      </c>
      <c r="S9" s="57">
        <f>IF(S8&gt;B4,S1*1,"No")</f>
        <v>15</v>
      </c>
      <c r="T9" s="57">
        <f>IF(T8&gt;B4,T1*1,"No")</f>
        <v>16</v>
      </c>
      <c r="U9" s="57">
        <f>IF(U8&gt;B4,U1*1,"No")</f>
        <v>17</v>
      </c>
      <c r="V9" s="57">
        <f>IF(V8&gt;B4,V1*1,"No")</f>
        <v>18</v>
      </c>
      <c r="W9" s="57">
        <f>IF(W8&gt;B4,W1*1,"No")</f>
        <v>19</v>
      </c>
      <c r="X9" s="57">
        <f>IF(X8&gt;B4,X1*1,"No")</f>
        <v>20</v>
      </c>
    </row>
    <row r="10" spans="1:24">
      <c r="C10" s="54"/>
    </row>
    <row r="11" spans="1:24">
      <c r="A11" s="419" t="s">
        <v>111</v>
      </c>
      <c r="B11" s="419"/>
      <c r="C11" s="419"/>
      <c r="D11" s="419"/>
      <c r="E11" s="419"/>
      <c r="F11" s="419"/>
    </row>
    <row r="12" spans="1:24">
      <c r="A12" s="66" t="s">
        <v>112</v>
      </c>
      <c r="B12" s="68" t="e">
        <f>(#REF!/Valuation_Chart!B6)*10^7</f>
        <v>#REF!</v>
      </c>
      <c r="C12" s="70" t="s">
        <v>119</v>
      </c>
    </row>
    <row r="13" spans="1:24" ht="15.75" thickBot="1">
      <c r="A13" s="430" t="s">
        <v>117</v>
      </c>
      <c r="B13" s="430"/>
      <c r="C13" s="430"/>
    </row>
    <row r="14" spans="1:24">
      <c r="A14" s="425" t="s">
        <v>118</v>
      </c>
      <c r="B14" s="426"/>
      <c r="C14" s="426"/>
      <c r="D14" s="426"/>
      <c r="E14" s="426"/>
      <c r="F14" s="426"/>
      <c r="G14" s="426"/>
      <c r="H14" s="426"/>
      <c r="I14" s="426"/>
      <c r="J14" s="426"/>
      <c r="K14" s="426"/>
      <c r="L14" s="426"/>
      <c r="M14" s="426"/>
      <c r="N14" s="426"/>
      <c r="O14" s="426"/>
      <c r="P14" s="426"/>
      <c r="Q14" s="426"/>
      <c r="R14" s="426"/>
      <c r="S14" s="426"/>
      <c r="T14" s="426"/>
      <c r="U14" s="426"/>
      <c r="V14" s="426"/>
      <c r="W14" s="426"/>
      <c r="X14" s="427"/>
    </row>
    <row r="15" spans="1:24">
      <c r="A15" s="63" t="s">
        <v>53</v>
      </c>
      <c r="B15" s="75" t="e">
        <f>#REF!</f>
        <v>#REF!</v>
      </c>
      <c r="C15" s="71"/>
      <c r="D15" s="71"/>
      <c r="E15" s="71"/>
      <c r="F15" s="71"/>
      <c r="G15" s="71"/>
      <c r="H15" s="71"/>
      <c r="I15" s="71"/>
      <c r="J15" s="71"/>
      <c r="K15" s="71"/>
      <c r="L15" s="71"/>
      <c r="M15" s="71"/>
      <c r="N15" s="71"/>
      <c r="O15" s="71"/>
      <c r="P15" s="71"/>
      <c r="Q15" s="71"/>
      <c r="R15" s="71"/>
      <c r="S15" s="71"/>
      <c r="T15" s="71"/>
      <c r="U15" s="71"/>
      <c r="V15" s="71"/>
      <c r="W15" s="71"/>
      <c r="X15" s="72"/>
    </row>
    <row r="16" spans="1:24">
      <c r="A16" s="63" t="s">
        <v>115</v>
      </c>
      <c r="B16" s="75" t="e">
        <f>#REF!</f>
        <v>#REF!</v>
      </c>
      <c r="C16" s="71"/>
      <c r="D16" s="71"/>
      <c r="E16" s="71"/>
      <c r="F16" s="71"/>
      <c r="G16" s="71"/>
      <c r="H16" s="71"/>
      <c r="I16" s="71"/>
      <c r="J16" s="71"/>
      <c r="K16" s="71"/>
      <c r="L16" s="71"/>
      <c r="M16" s="71"/>
      <c r="N16" s="71"/>
      <c r="O16" s="71"/>
      <c r="P16" s="71"/>
      <c r="Q16" s="71"/>
      <c r="R16" s="71"/>
      <c r="S16" s="71"/>
      <c r="T16" s="71"/>
      <c r="U16" s="71"/>
      <c r="V16" s="71"/>
      <c r="W16" s="71"/>
      <c r="X16" s="72"/>
    </row>
    <row r="17" spans="1:24">
      <c r="A17" s="63" t="s">
        <v>116</v>
      </c>
      <c r="B17" s="75" t="e">
        <f>MAX(#REF!,#REF!)</f>
        <v>#REF!</v>
      </c>
      <c r="C17" s="428"/>
      <c r="D17" s="428"/>
      <c r="E17" s="428"/>
      <c r="F17" s="428"/>
      <c r="G17" s="428"/>
      <c r="H17" s="428"/>
      <c r="I17" s="428"/>
      <c r="J17" s="428"/>
      <c r="K17" s="428"/>
      <c r="L17" s="428"/>
      <c r="M17" s="428"/>
      <c r="N17" s="428"/>
      <c r="O17" s="428"/>
      <c r="P17" s="428"/>
      <c r="Q17" s="428"/>
      <c r="R17" s="428"/>
      <c r="S17" s="428"/>
      <c r="T17" s="428"/>
      <c r="U17" s="428"/>
      <c r="V17" s="428"/>
      <c r="W17" s="428"/>
      <c r="X17" s="429"/>
    </row>
    <row r="18" spans="1:24" ht="15.75" thickBot="1">
      <c r="A18" s="63" t="s">
        <v>114</v>
      </c>
      <c r="B18" s="75" t="e">
        <f>B15+B16+B17</f>
        <v>#REF!</v>
      </c>
      <c r="C18" s="73"/>
      <c r="D18" s="73"/>
      <c r="E18" s="73"/>
      <c r="F18" s="73"/>
      <c r="G18" s="73"/>
      <c r="H18" s="73"/>
      <c r="I18" s="73"/>
      <c r="J18" s="73"/>
      <c r="K18" s="73"/>
      <c r="L18" s="73"/>
      <c r="M18" s="73"/>
      <c r="N18" s="73"/>
      <c r="O18" s="73"/>
      <c r="P18" s="73"/>
      <c r="Q18" s="73"/>
      <c r="R18" s="73"/>
      <c r="S18" s="73"/>
      <c r="T18" s="73"/>
      <c r="U18" s="73"/>
      <c r="V18" s="73"/>
      <c r="W18" s="73"/>
      <c r="X18" s="74"/>
    </row>
  </sheetData>
  <mergeCells count="6">
    <mergeCell ref="A11:F11"/>
    <mergeCell ref="A7:B8"/>
    <mergeCell ref="A1:B1"/>
    <mergeCell ref="A14:X14"/>
    <mergeCell ref="C17:X17"/>
    <mergeCell ref="A13:C13"/>
  </mergeCells>
  <conditionalFormatting sqref="D8:X8">
    <cfRule type="cellIs" dxfId="1" priority="1" operator="greaterThan">
      <formula>$B$4</formula>
    </cfRule>
  </conditionalFormatting>
  <pageMargins left="0.7" right="0.7" top="0.75" bottom="0.75" header="0.3" footer="0.3"/>
  <pageSetup scale="55" fitToHeight="0" orientation="portrait" r:id="rId1"/>
  <ignoredErrors>
    <ignoredError sqref="F3:X3" 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O205"/>
  <sheetViews>
    <sheetView topLeftCell="A25" workbookViewId="0">
      <selection activeCell="L45" sqref="L45"/>
    </sheetView>
  </sheetViews>
  <sheetFormatPr defaultRowHeight="15"/>
  <cols>
    <col min="1" max="1" width="30" bestFit="1" customWidth="1"/>
    <col min="12" max="12" width="11" customWidth="1"/>
  </cols>
  <sheetData>
    <row r="1" spans="1:14">
      <c r="A1" s="123" t="str">
        <f>'Annual Report input'!D2</f>
        <v>Relaxo Footwear</v>
      </c>
      <c r="B1" s="124"/>
      <c r="C1" s="124"/>
      <c r="D1" s="124"/>
      <c r="E1" s="124"/>
      <c r="F1" s="124"/>
      <c r="G1" s="124"/>
      <c r="H1" s="124"/>
      <c r="I1" s="124"/>
      <c r="J1" s="124"/>
      <c r="K1" s="124"/>
      <c r="L1" s="124"/>
      <c r="M1" s="124"/>
      <c r="N1" s="124"/>
    </row>
    <row r="2" spans="1:14">
      <c r="A2" s="123"/>
      <c r="B2" s="124"/>
      <c r="C2" s="124"/>
      <c r="D2" s="124"/>
      <c r="E2" s="124"/>
      <c r="F2" s="124"/>
      <c r="G2" s="124"/>
      <c r="H2" s="124"/>
      <c r="I2" s="124"/>
      <c r="J2" s="124"/>
      <c r="K2" s="124"/>
      <c r="L2" s="124"/>
      <c r="M2" s="124"/>
      <c r="N2" s="124"/>
    </row>
    <row r="3" spans="1:14">
      <c r="A3" s="432" t="s">
        <v>232</v>
      </c>
      <c r="B3" s="432"/>
      <c r="C3" s="432"/>
      <c r="D3" s="432"/>
      <c r="E3" s="432"/>
      <c r="F3" s="432"/>
      <c r="G3" s="432"/>
      <c r="H3" s="432"/>
      <c r="I3" s="432"/>
      <c r="J3" s="432"/>
      <c r="K3" s="125"/>
      <c r="L3" s="126"/>
      <c r="M3" s="126"/>
      <c r="N3" s="126"/>
    </row>
    <row r="4" spans="1:14">
      <c r="A4" s="127" t="str">
        <f>'Screener Input'!A1</f>
        <v>COMPANY NAME</v>
      </c>
      <c r="B4" s="180"/>
      <c r="C4" s="180">
        <f>EOMONTH('Screener Input'!B$16,-1)+1</f>
        <v>39873</v>
      </c>
      <c r="D4" s="180">
        <f>EOMONTH('Screener Input'!C$16,-1)+1</f>
        <v>40238</v>
      </c>
      <c r="E4" s="180">
        <f>EOMONTH('Screener Input'!D$16,-1)+1</f>
        <v>40603</v>
      </c>
      <c r="F4" s="180">
        <f>EOMONTH('Screener Input'!E$16,-1)+1</f>
        <v>40969</v>
      </c>
      <c r="G4" s="180">
        <f>EOMONTH('Screener Input'!F$16,-1)+1</f>
        <v>41334</v>
      </c>
      <c r="H4" s="180">
        <f>EOMONTH('Screener Input'!G$16,-1)+1</f>
        <v>41699</v>
      </c>
      <c r="I4" s="180">
        <f>EOMONTH('Screener Input'!H$16,-1)+1</f>
        <v>42064</v>
      </c>
      <c r="J4" s="180">
        <f>EOMONTH('Screener Input'!I$16,-1)+1</f>
        <v>42430</v>
      </c>
      <c r="K4" s="180">
        <f>EOMONTH('Screener Input'!J$16,-1)+1</f>
        <v>42795</v>
      </c>
      <c r="L4" s="180">
        <f>EOMONTH('Screener Input'!K$16,-1)+1</f>
        <v>43160</v>
      </c>
      <c r="M4" s="180"/>
      <c r="N4" s="180"/>
    </row>
    <row r="5" spans="1:14">
      <c r="A5" s="128" t="s">
        <v>233</v>
      </c>
      <c r="B5" s="129"/>
      <c r="C5" s="129"/>
      <c r="D5" s="129"/>
      <c r="E5" s="129"/>
      <c r="F5" s="129"/>
      <c r="G5" s="129"/>
      <c r="H5" s="129"/>
      <c r="I5" s="129"/>
      <c r="J5" s="129"/>
      <c r="K5" s="129"/>
      <c r="L5" s="126"/>
      <c r="M5" s="126"/>
      <c r="N5" s="126"/>
    </row>
    <row r="6" spans="1:14" s="228" customFormat="1">
      <c r="A6" s="333" t="s">
        <v>234</v>
      </c>
      <c r="B6" s="334"/>
      <c r="C6" s="335">
        <f>'Screener Output.v0'!C54</f>
        <v>39.81</v>
      </c>
      <c r="D6" s="335">
        <f>'Screener Output.v0'!D54</f>
        <v>67.16</v>
      </c>
      <c r="E6" s="335">
        <f>'Screener Output.v0'!E54</f>
        <v>116.59</v>
      </c>
      <c r="F6" s="335">
        <f>'Screener Output.v0'!F54</f>
        <v>128.5</v>
      </c>
      <c r="G6" s="335">
        <f>'Screener Output.v0'!G54</f>
        <v>159.44</v>
      </c>
      <c r="H6" s="335">
        <f>'Screener Output.v0'!H54</f>
        <v>164</v>
      </c>
      <c r="I6" s="335">
        <f>'Screener Output.v0'!I54</f>
        <v>248.68</v>
      </c>
      <c r="J6" s="335">
        <f>'Screener Output.v0'!J54</f>
        <v>285.83999999999997</v>
      </c>
      <c r="K6" s="335">
        <f>'Screener Output.v0'!K54</f>
        <v>290.20999999999998</v>
      </c>
      <c r="L6" s="335">
        <f>'Screener Output.v0'!L54</f>
        <v>313.93</v>
      </c>
      <c r="M6" s="334"/>
      <c r="N6" s="334"/>
    </row>
    <row r="7" spans="1:14" s="244" customFormat="1">
      <c r="A7" s="130" t="s">
        <v>235</v>
      </c>
      <c r="B7" s="131"/>
      <c r="C7" s="273">
        <f t="shared" ref="C7:L7" si="0">C53</f>
        <v>19.73</v>
      </c>
      <c r="D7" s="273">
        <f t="shared" si="0"/>
        <v>20.86</v>
      </c>
      <c r="E7" s="273">
        <f t="shared" si="0"/>
        <v>23.24</v>
      </c>
      <c r="F7" s="273">
        <f t="shared" si="0"/>
        <v>22.96</v>
      </c>
      <c r="G7" s="273">
        <f t="shared" si="0"/>
        <v>35.96</v>
      </c>
      <c r="H7" s="273">
        <f t="shared" si="0"/>
        <v>68.22</v>
      </c>
      <c r="I7" s="273">
        <f t="shared" si="0"/>
        <v>82.08</v>
      </c>
      <c r="J7" s="273">
        <f t="shared" si="0"/>
        <v>108.69</v>
      </c>
      <c r="K7" s="273">
        <f t="shared" si="0"/>
        <v>123.18</v>
      </c>
      <c r="L7" s="273">
        <f t="shared" si="0"/>
        <v>192.35</v>
      </c>
      <c r="M7" s="131"/>
      <c r="N7" s="131"/>
    </row>
    <row r="8" spans="1:14">
      <c r="A8" s="130" t="s">
        <v>258</v>
      </c>
      <c r="B8" s="131"/>
      <c r="C8" s="273">
        <f t="shared" ref="C8:L8" si="1">C55</f>
        <v>2.73</v>
      </c>
      <c r="D8" s="273">
        <f t="shared" si="1"/>
        <v>1.04</v>
      </c>
      <c r="E8" s="273">
        <f t="shared" si="1"/>
        <v>2.14</v>
      </c>
      <c r="F8" s="273">
        <f t="shared" si="1"/>
        <v>1.05</v>
      </c>
      <c r="G8" s="273">
        <f t="shared" si="1"/>
        <v>2.97</v>
      </c>
      <c r="H8" s="273">
        <f t="shared" si="1"/>
        <v>5.66</v>
      </c>
      <c r="I8" s="273">
        <f t="shared" si="1"/>
        <v>4.49</v>
      </c>
      <c r="J8" s="273">
        <f t="shared" si="1"/>
        <v>2.37</v>
      </c>
      <c r="K8" s="273">
        <f t="shared" si="1"/>
        <v>3.65</v>
      </c>
      <c r="L8" s="273">
        <f t="shared" si="1"/>
        <v>4</v>
      </c>
      <c r="M8" s="131"/>
      <c r="N8" s="131"/>
    </row>
    <row r="9" spans="1:14">
      <c r="A9" s="130" t="s">
        <v>20</v>
      </c>
      <c r="B9" s="131"/>
      <c r="C9" s="273">
        <f t="shared" ref="C9:L10" si="2">C47</f>
        <v>79.67</v>
      </c>
      <c r="D9" s="273">
        <f t="shared" si="2"/>
        <v>119.49</v>
      </c>
      <c r="E9" s="273">
        <f t="shared" si="2"/>
        <v>174.6</v>
      </c>
      <c r="F9" s="273">
        <f t="shared" si="2"/>
        <v>188.54</v>
      </c>
      <c r="G9" s="273">
        <f t="shared" si="2"/>
        <v>244.63</v>
      </c>
      <c r="H9" s="273">
        <f t="shared" si="2"/>
        <v>276.01</v>
      </c>
      <c r="I9" s="273">
        <f t="shared" si="2"/>
        <v>379.96</v>
      </c>
      <c r="J9" s="273">
        <f t="shared" si="2"/>
        <v>454.59</v>
      </c>
      <c r="K9" s="273">
        <f t="shared" si="2"/>
        <v>487.17</v>
      </c>
      <c r="L9" s="273">
        <f t="shared" si="2"/>
        <v>626.63</v>
      </c>
      <c r="M9" s="131"/>
      <c r="N9" s="131"/>
    </row>
    <row r="10" spans="1:14">
      <c r="A10" s="130" t="s">
        <v>11</v>
      </c>
      <c r="B10" s="131"/>
      <c r="C10" s="273">
        <f t="shared" si="2"/>
        <v>56.47</v>
      </c>
      <c r="D10" s="273">
        <f t="shared" si="2"/>
        <v>91.14</v>
      </c>
      <c r="E10" s="273">
        <f t="shared" si="2"/>
        <v>127.21</v>
      </c>
      <c r="F10" s="273">
        <f t="shared" si="2"/>
        <v>133.57</v>
      </c>
      <c r="G10" s="273">
        <f t="shared" si="2"/>
        <v>155.33000000000001</v>
      </c>
      <c r="H10" s="273">
        <f t="shared" si="2"/>
        <v>191.22</v>
      </c>
      <c r="I10" s="273">
        <f t="shared" si="2"/>
        <v>246.63</v>
      </c>
      <c r="J10" s="273">
        <f t="shared" si="2"/>
        <v>297.48</v>
      </c>
      <c r="K10" s="273">
        <f t="shared" si="2"/>
        <v>306.60000000000002</v>
      </c>
      <c r="L10" s="273">
        <f t="shared" si="2"/>
        <v>375.2</v>
      </c>
      <c r="M10" s="131"/>
      <c r="N10" s="131"/>
    </row>
    <row r="11" spans="1:14">
      <c r="A11" s="130" t="s">
        <v>236</v>
      </c>
      <c r="B11" s="131"/>
      <c r="C11" s="273">
        <f t="shared" ref="C11:L11" si="3">C9-C10</f>
        <v>23.200000000000003</v>
      </c>
      <c r="D11" s="273">
        <f t="shared" si="3"/>
        <v>28.349999999999994</v>
      </c>
      <c r="E11" s="273">
        <f t="shared" si="3"/>
        <v>47.39</v>
      </c>
      <c r="F11" s="273">
        <f t="shared" si="3"/>
        <v>54.97</v>
      </c>
      <c r="G11" s="273">
        <f t="shared" si="3"/>
        <v>89.299999999999983</v>
      </c>
      <c r="H11" s="273">
        <f t="shared" si="3"/>
        <v>84.789999999999992</v>
      </c>
      <c r="I11" s="273">
        <f t="shared" si="3"/>
        <v>133.32999999999998</v>
      </c>
      <c r="J11" s="273">
        <f t="shared" si="3"/>
        <v>157.10999999999996</v>
      </c>
      <c r="K11" s="273">
        <f t="shared" si="3"/>
        <v>180.57</v>
      </c>
      <c r="L11" s="273">
        <f t="shared" si="3"/>
        <v>251.43</v>
      </c>
      <c r="M11" s="131"/>
      <c r="N11" s="131"/>
    </row>
    <row r="12" spans="1:14">
      <c r="A12" s="433"/>
      <c r="B12" s="433"/>
      <c r="C12" s="433"/>
      <c r="D12" s="433"/>
      <c r="E12" s="433"/>
      <c r="F12" s="433"/>
      <c r="G12" s="433"/>
      <c r="H12" s="433"/>
      <c r="I12" s="433"/>
      <c r="J12" s="433"/>
      <c r="K12" s="433"/>
      <c r="L12" s="126"/>
      <c r="M12" s="126"/>
      <c r="N12" s="126"/>
    </row>
    <row r="13" spans="1:14">
      <c r="A13" s="432" t="s">
        <v>237</v>
      </c>
      <c r="B13" s="432"/>
      <c r="C13" s="432"/>
      <c r="D13" s="432"/>
      <c r="E13" s="432"/>
      <c r="F13" s="432"/>
      <c r="G13" s="432"/>
      <c r="H13" s="432"/>
      <c r="I13" s="432"/>
      <c r="J13" s="432"/>
      <c r="K13" s="132"/>
      <c r="L13" s="126"/>
      <c r="M13" s="126"/>
      <c r="N13" s="126"/>
    </row>
    <row r="14" spans="1:14">
      <c r="A14" s="133" t="s">
        <v>238</v>
      </c>
      <c r="B14" s="180"/>
      <c r="C14" s="180">
        <f t="shared" ref="C14:L14" si="4">C4</f>
        <v>39873</v>
      </c>
      <c r="D14" s="180">
        <f t="shared" si="4"/>
        <v>40238</v>
      </c>
      <c r="E14" s="180">
        <f t="shared" si="4"/>
        <v>40603</v>
      </c>
      <c r="F14" s="180">
        <f t="shared" si="4"/>
        <v>40969</v>
      </c>
      <c r="G14" s="180">
        <f t="shared" si="4"/>
        <v>41334</v>
      </c>
      <c r="H14" s="180">
        <f t="shared" si="4"/>
        <v>41699</v>
      </c>
      <c r="I14" s="180">
        <f t="shared" si="4"/>
        <v>42064</v>
      </c>
      <c r="J14" s="180">
        <f t="shared" si="4"/>
        <v>42430</v>
      </c>
      <c r="K14" s="180">
        <f t="shared" si="4"/>
        <v>42795</v>
      </c>
      <c r="L14" s="180">
        <f t="shared" si="4"/>
        <v>43160</v>
      </c>
      <c r="M14" s="180"/>
      <c r="N14" s="180"/>
    </row>
    <row r="15" spans="1:14">
      <c r="A15" s="134" t="s">
        <v>15</v>
      </c>
      <c r="B15" s="135"/>
      <c r="C15" s="135">
        <f>'Screener Input'!B18</f>
        <v>222.83</v>
      </c>
      <c r="D15" s="135">
        <f>'Screener Input'!C18</f>
        <v>302.87</v>
      </c>
      <c r="E15" s="135">
        <f>'Screener Input'!D18</f>
        <v>412.97</v>
      </c>
      <c r="F15" s="135">
        <f>'Screener Input'!E18</f>
        <v>467.73</v>
      </c>
      <c r="G15" s="135">
        <f>'Screener Input'!F18</f>
        <v>502.96</v>
      </c>
      <c r="H15" s="135">
        <f>'Screener Input'!G18</f>
        <v>544.72</v>
      </c>
      <c r="I15" s="135">
        <f>'Screener Input'!H18</f>
        <v>630.17999999999995</v>
      </c>
      <c r="J15" s="135">
        <f>'Screener Input'!I18</f>
        <v>741.75</v>
      </c>
      <c r="K15" s="135">
        <f>'Screener Input'!J18</f>
        <v>720.67</v>
      </c>
      <c r="L15" s="135">
        <f>'Screener Input'!K18</f>
        <v>896.63</v>
      </c>
      <c r="M15" s="135"/>
      <c r="N15" s="135"/>
    </row>
    <row r="16" spans="1:14">
      <c r="A16" s="134" t="s">
        <v>239</v>
      </c>
      <c r="B16" s="135"/>
      <c r="C16" s="135">
        <f>'Screener Input'!B22</f>
        <v>33.42</v>
      </c>
      <c r="D16" s="135">
        <f>'Screener Input'!C22</f>
        <v>55.37</v>
      </c>
      <c r="E16" s="135">
        <f>'Screener Input'!D22</f>
        <v>74.48</v>
      </c>
      <c r="F16" s="135">
        <f>'Screener Input'!E22</f>
        <v>82.34</v>
      </c>
      <c r="G16" s="135">
        <f>'Screener Input'!F22</f>
        <v>111.2</v>
      </c>
      <c r="H16" s="135">
        <f>'Screener Input'!G22</f>
        <v>114.59</v>
      </c>
      <c r="I16" s="135">
        <f>'Screener Input'!H22</f>
        <v>134.5</v>
      </c>
      <c r="J16" s="135">
        <f>'Screener Input'!I22</f>
        <v>160.84</v>
      </c>
      <c r="K16" s="135">
        <f>'Screener Input'!J22</f>
        <v>177.04</v>
      </c>
      <c r="L16" s="135">
        <f>'Screener Input'!K22</f>
        <v>214.08</v>
      </c>
      <c r="M16" s="135"/>
      <c r="N16" s="135"/>
    </row>
    <row r="17" spans="1:15">
      <c r="A17" s="134" t="s">
        <v>240</v>
      </c>
      <c r="B17" s="135"/>
      <c r="C17" s="135">
        <f>'Screener Input'!B23</f>
        <v>50.62</v>
      </c>
      <c r="D17" s="135">
        <f>'Screener Input'!C23</f>
        <v>79.849999999999994</v>
      </c>
      <c r="E17" s="135">
        <f>'Screener Input'!D23</f>
        <v>121.3</v>
      </c>
      <c r="F17" s="135">
        <f>'Screener Input'!E23</f>
        <v>142.29</v>
      </c>
      <c r="G17" s="135">
        <f>'Screener Input'!F23</f>
        <v>203.51</v>
      </c>
      <c r="H17" s="135">
        <f>'Screener Input'!G23</f>
        <v>251.3</v>
      </c>
      <c r="I17" s="135">
        <f>'Screener Input'!H23</f>
        <v>305</v>
      </c>
      <c r="J17" s="135">
        <f>'Screener Input'!I23</f>
        <v>372.45</v>
      </c>
      <c r="K17" s="135">
        <f>'Screener Input'!J23</f>
        <v>257.42</v>
      </c>
      <c r="L17" s="135">
        <f>'Screener Input'!K23</f>
        <v>293.33999999999997</v>
      </c>
      <c r="M17" s="135"/>
      <c r="N17" s="135"/>
    </row>
    <row r="18" spans="1:15">
      <c r="A18" s="134" t="s">
        <v>241</v>
      </c>
      <c r="B18" s="135"/>
      <c r="C18" s="135"/>
      <c r="D18" s="135"/>
      <c r="E18" s="135"/>
      <c r="F18" s="135"/>
      <c r="G18" s="135"/>
      <c r="H18" s="135"/>
      <c r="I18" s="135"/>
      <c r="J18" s="135"/>
      <c r="K18" s="135"/>
      <c r="L18" s="135"/>
      <c r="M18" s="135"/>
      <c r="N18" s="135"/>
    </row>
    <row r="19" spans="1:15">
      <c r="A19" s="134" t="s">
        <v>242</v>
      </c>
      <c r="B19" s="135"/>
      <c r="C19" s="135"/>
      <c r="D19" s="135"/>
      <c r="E19" s="135"/>
      <c r="F19" s="135"/>
      <c r="G19" s="135"/>
      <c r="H19" s="135"/>
      <c r="I19" s="135"/>
      <c r="J19" s="135"/>
      <c r="K19" s="135"/>
      <c r="L19" s="135"/>
      <c r="M19" s="135"/>
      <c r="N19" s="135"/>
    </row>
    <row r="20" spans="1:15">
      <c r="A20" s="134" t="s">
        <v>243</v>
      </c>
      <c r="B20" s="135"/>
      <c r="C20" s="135">
        <f>'Screener Input'!B20</f>
        <v>18.940000000000001</v>
      </c>
      <c r="D20" s="135">
        <f>'Screener Input'!C20</f>
        <v>22.84</v>
      </c>
      <c r="E20" s="135">
        <f>'Screener Input'!D20</f>
        <v>27.88</v>
      </c>
      <c r="F20" s="135">
        <f>'Screener Input'!E20</f>
        <v>31.05</v>
      </c>
      <c r="G20" s="135">
        <f>'Screener Input'!F20</f>
        <v>38.82</v>
      </c>
      <c r="H20" s="135">
        <f>'Screener Input'!G20</f>
        <v>43.26</v>
      </c>
      <c r="I20" s="135">
        <f>'Screener Input'!H20</f>
        <v>49.27</v>
      </c>
      <c r="J20" s="135">
        <f>'Screener Input'!I20</f>
        <v>50.5</v>
      </c>
      <c r="K20" s="135">
        <f>'Screener Input'!J20</f>
        <v>47.63</v>
      </c>
      <c r="L20" s="135">
        <f>'Screener Input'!K20</f>
        <v>54</v>
      </c>
      <c r="M20" s="135"/>
      <c r="N20" s="135"/>
    </row>
    <row r="21" spans="1:15">
      <c r="A21" s="134" t="s">
        <v>244</v>
      </c>
      <c r="B21" s="135"/>
      <c r="C21" s="135">
        <f>'Screener Input'!B24</f>
        <v>4.5199999999999996</v>
      </c>
      <c r="D21" s="135">
        <f>'Screener Input'!C24</f>
        <v>4.9400000000000004</v>
      </c>
      <c r="E21" s="135">
        <f>'Screener Input'!D24</f>
        <v>-10.38</v>
      </c>
      <c r="F21" s="135">
        <f>'Screener Input'!E24</f>
        <v>-6.79</v>
      </c>
      <c r="G21" s="135">
        <f>'Screener Input'!F24</f>
        <v>-20.7</v>
      </c>
      <c r="H21" s="135">
        <f>'Screener Input'!G24</f>
        <v>-27.87</v>
      </c>
      <c r="I21" s="135">
        <f>'Screener Input'!H24</f>
        <v>-33.74</v>
      </c>
      <c r="J21" s="135">
        <f>'Screener Input'!I24</f>
        <v>-35.79</v>
      </c>
      <c r="K21" s="135">
        <f>'Screener Input'!J24</f>
        <v>29.08</v>
      </c>
      <c r="L21" s="135">
        <f>'Screener Input'!K24</f>
        <v>24.05</v>
      </c>
      <c r="M21" s="135"/>
      <c r="N21" s="135"/>
    </row>
    <row r="22" spans="1:15">
      <c r="A22" s="134" t="s">
        <v>245</v>
      </c>
      <c r="B22" s="135"/>
      <c r="C22" s="135">
        <f>'Screener Output.v0'!L8</f>
        <v>4</v>
      </c>
      <c r="D22" s="135"/>
      <c r="E22" s="135"/>
      <c r="F22" s="135"/>
      <c r="G22" s="136"/>
      <c r="H22" s="136"/>
      <c r="I22" s="136"/>
      <c r="J22" s="136"/>
      <c r="K22" s="134"/>
      <c r="L22" s="137"/>
      <c r="M22" s="137"/>
      <c r="N22" s="137"/>
    </row>
    <row r="23" spans="1:15">
      <c r="A23" s="138" t="s">
        <v>113</v>
      </c>
      <c r="B23" s="135"/>
      <c r="C23" s="135"/>
      <c r="D23" s="135">
        <f t="shared" ref="D23:L23" si="5">(D50-C50)+(D51-C51)+D30</f>
        <v>84.789999999999992</v>
      </c>
      <c r="E23" s="135">
        <f t="shared" si="5"/>
        <v>61.810000000000016</v>
      </c>
      <c r="F23" s="135">
        <f t="shared" si="5"/>
        <v>46.439999999999969</v>
      </c>
      <c r="G23" s="135">
        <f t="shared" si="5"/>
        <v>83.360000000000042</v>
      </c>
      <c r="H23" s="135">
        <f t="shared" si="5"/>
        <v>70.759999999999948</v>
      </c>
      <c r="I23" s="135">
        <f t="shared" si="5"/>
        <v>123.66</v>
      </c>
      <c r="J23" s="135">
        <f t="shared" si="5"/>
        <v>132.06</v>
      </c>
      <c r="K23" s="135">
        <f t="shared" si="5"/>
        <v>96.140000000000015</v>
      </c>
      <c r="L23" s="135">
        <f t="shared" si="5"/>
        <v>113.34000000000005</v>
      </c>
      <c r="M23" s="135"/>
      <c r="N23" s="135"/>
    </row>
    <row r="24" spans="1:15" ht="18">
      <c r="A24" s="139" t="str">
        <f>'Screener Input'!A1</f>
        <v>COMPANY NAME</v>
      </c>
      <c r="B24" s="180"/>
      <c r="C24" s="180">
        <f t="shared" ref="C24:L24" si="6">C14</f>
        <v>39873</v>
      </c>
      <c r="D24" s="180">
        <f t="shared" si="6"/>
        <v>40238</v>
      </c>
      <c r="E24" s="180">
        <f t="shared" si="6"/>
        <v>40603</v>
      </c>
      <c r="F24" s="180">
        <f t="shared" si="6"/>
        <v>40969</v>
      </c>
      <c r="G24" s="180">
        <f t="shared" si="6"/>
        <v>41334</v>
      </c>
      <c r="H24" s="180">
        <f t="shared" si="6"/>
        <v>41699</v>
      </c>
      <c r="I24" s="180">
        <f t="shared" si="6"/>
        <v>42064</v>
      </c>
      <c r="J24" s="180">
        <f t="shared" si="6"/>
        <v>42430</v>
      </c>
      <c r="K24" s="180">
        <f t="shared" si="6"/>
        <v>42795</v>
      </c>
      <c r="L24" s="180">
        <f t="shared" si="6"/>
        <v>43160</v>
      </c>
      <c r="M24" s="180" t="s">
        <v>407</v>
      </c>
      <c r="N24" s="180" t="s">
        <v>408</v>
      </c>
    </row>
    <row r="25" spans="1:15">
      <c r="A25" s="140" t="s">
        <v>14</v>
      </c>
      <c r="B25" s="140"/>
      <c r="C25" s="223">
        <f>'Screener Input'!B17+'Screener Input'!B25</f>
        <v>410.04999999999995</v>
      </c>
      <c r="D25" s="223">
        <f>'Screener Input'!C17+'Screener Input'!C25</f>
        <v>557.82000000000005</v>
      </c>
      <c r="E25" s="223">
        <f>'Screener Input'!D17+'Screener Input'!D25</f>
        <v>676.82999999999993</v>
      </c>
      <c r="F25" s="223">
        <f>'Screener Input'!E17+'Screener Input'!E25</f>
        <v>845.79</v>
      </c>
      <c r="G25" s="223">
        <f>'Screener Input'!F17+'Screener Input'!F25</f>
        <v>982.11</v>
      </c>
      <c r="H25" s="223">
        <f>'Screener Input'!G17+'Screener Input'!G25</f>
        <v>1181.8599999999999</v>
      </c>
      <c r="I25" s="223">
        <f>'Screener Input'!H17+'Screener Input'!H25</f>
        <v>1441.21</v>
      </c>
      <c r="J25" s="223">
        <f>'Screener Input'!I17+'Screener Input'!I25</f>
        <v>1675.42</v>
      </c>
      <c r="K25" s="223">
        <f>'Screener Input'!J17+'Screener Input'!J25</f>
        <v>1644.76</v>
      </c>
      <c r="L25" s="223">
        <f>'Screener Input'!K17+'Screener Input'!K25</f>
        <v>1961.38</v>
      </c>
      <c r="M25" s="223">
        <f>SUM('Screener Input'!H42:K42)+SUM('Screener Input'!H44:K44)</f>
        <v>2046.56</v>
      </c>
      <c r="N25" s="223">
        <f>SUM('Screener Input'!D42:G42)+SUM('Screener Input'!D44:G44)</f>
        <v>1720.46</v>
      </c>
    </row>
    <row r="26" spans="1:15" s="228" customFormat="1" ht="14.25" customHeight="1">
      <c r="A26" s="145" t="s">
        <v>226</v>
      </c>
      <c r="B26" s="145"/>
      <c r="C26" s="331">
        <f>'Screener Input'!B17</f>
        <v>407.46</v>
      </c>
      <c r="D26" s="331">
        <f>'Screener Input'!C17</f>
        <v>553.70000000000005</v>
      </c>
      <c r="E26" s="331">
        <f>'Screener Input'!D17</f>
        <v>676.31</v>
      </c>
      <c r="F26" s="331">
        <f>'Screener Input'!E17</f>
        <v>844.74</v>
      </c>
      <c r="G26" s="331">
        <f>'Screener Input'!F17</f>
        <v>981.03</v>
      </c>
      <c r="H26" s="331">
        <f>'Screener Input'!G17</f>
        <v>1179.52</v>
      </c>
      <c r="I26" s="331">
        <f>'Screener Input'!H17</f>
        <v>1440.82</v>
      </c>
      <c r="J26" s="331">
        <f>'Screener Input'!I17</f>
        <v>1667.7</v>
      </c>
      <c r="K26" s="331">
        <f>'Screener Input'!J17</f>
        <v>1631.15</v>
      </c>
      <c r="L26" s="331">
        <f>'Screener Input'!K17</f>
        <v>1956.92</v>
      </c>
      <c r="M26" s="331">
        <f>SUM('Screener Input'!H42:K42)</f>
        <v>2040.44</v>
      </c>
      <c r="N26" s="331">
        <f>SUM('Screener Input'!D42:G42)</f>
        <v>1708.92</v>
      </c>
    </row>
    <row r="27" spans="1:15">
      <c r="A27" s="140" t="str">
        <f t="shared" ref="A27:L27" si="7">A15</f>
        <v>Raw Materials</v>
      </c>
      <c r="B27" s="140"/>
      <c r="C27" s="223">
        <f t="shared" si="7"/>
        <v>222.83</v>
      </c>
      <c r="D27" s="223">
        <f t="shared" si="7"/>
        <v>302.87</v>
      </c>
      <c r="E27" s="223">
        <f t="shared" si="7"/>
        <v>412.97</v>
      </c>
      <c r="F27" s="223">
        <f t="shared" si="7"/>
        <v>467.73</v>
      </c>
      <c r="G27" s="223">
        <f t="shared" si="7"/>
        <v>502.96</v>
      </c>
      <c r="H27" s="223">
        <f t="shared" si="7"/>
        <v>544.72</v>
      </c>
      <c r="I27" s="223">
        <f t="shared" si="7"/>
        <v>630.17999999999995</v>
      </c>
      <c r="J27" s="223">
        <f t="shared" si="7"/>
        <v>741.75</v>
      </c>
      <c r="K27" s="223">
        <f t="shared" si="7"/>
        <v>720.67</v>
      </c>
      <c r="L27" s="223">
        <f t="shared" si="7"/>
        <v>896.63</v>
      </c>
      <c r="M27" s="223"/>
      <c r="N27" s="223"/>
    </row>
    <row r="28" spans="1:15">
      <c r="A28" s="140" t="s">
        <v>246</v>
      </c>
      <c r="B28" s="140"/>
      <c r="C28" s="223">
        <f t="shared" ref="C28:L28" si="8">C26-C27</f>
        <v>184.62999999999997</v>
      </c>
      <c r="D28" s="223">
        <f t="shared" si="8"/>
        <v>250.83000000000004</v>
      </c>
      <c r="E28" s="223">
        <f t="shared" si="8"/>
        <v>263.33999999999992</v>
      </c>
      <c r="F28" s="223">
        <f t="shared" si="8"/>
        <v>377.01</v>
      </c>
      <c r="G28" s="223">
        <f t="shared" si="8"/>
        <v>478.07</v>
      </c>
      <c r="H28" s="223">
        <f t="shared" si="8"/>
        <v>634.79999999999995</v>
      </c>
      <c r="I28" s="223">
        <f t="shared" si="8"/>
        <v>810.64</v>
      </c>
      <c r="J28" s="223">
        <f t="shared" si="8"/>
        <v>925.95</v>
      </c>
      <c r="K28" s="223">
        <f t="shared" si="8"/>
        <v>910.48000000000013</v>
      </c>
      <c r="L28" s="223">
        <f t="shared" si="8"/>
        <v>1060.29</v>
      </c>
      <c r="M28" s="223"/>
      <c r="N28" s="223"/>
    </row>
    <row r="29" spans="1:15" s="244" customFormat="1">
      <c r="A29" s="142" t="s">
        <v>57</v>
      </c>
      <c r="B29" s="142"/>
      <c r="C29" s="225">
        <f>'Screener Input'!B17-'Screener Input'!B18-'Screener Input'!B20-'Screener Input'!B21-'Screener Input'!B22-'Screener Input'!B23-'Screener Input'!B24+'Screener Input'!B25+'Screener Input'!B19</f>
        <v>53.57999999999997</v>
      </c>
      <c r="D29" s="225">
        <f>'Screener Input'!C17-'Screener Input'!C18-'Screener Input'!C20-'Screener Input'!C21-'Screener Input'!C22-'Screener Input'!C23-'Screener Input'!C24+'Screener Input'!C25+'Screener Input'!C19</f>
        <v>94.82000000000005</v>
      </c>
      <c r="E29" s="225">
        <f>'Screener Input'!D17-'Screener Input'!D18-'Screener Input'!D20-'Screener Input'!D21-'Screener Input'!D22-'Screener Input'!D23-'Screener Input'!D24+'Screener Input'!D25+'Screener Input'!D19</f>
        <v>72.409999999999926</v>
      </c>
      <c r="F29" s="225">
        <f>'Screener Input'!E17-'Screener Input'!E18-'Screener Input'!E20-'Screener Input'!E21-'Screener Input'!E22-'Screener Input'!E23-'Screener Input'!E24+'Screener Input'!E25+'Screener Input'!E19</f>
        <v>95.259999999999977</v>
      </c>
      <c r="G29" s="225">
        <f>'Screener Input'!F17-'Screener Input'!F18-'Screener Input'!F20-'Screener Input'!F21-'Screener Input'!F22-'Screener Input'!F23-'Screener Input'!F24+'Screener Input'!F25+'Screener Input'!F19</f>
        <v>110.88999999999999</v>
      </c>
      <c r="H29" s="225">
        <f>'Screener Input'!G17-'Screener Input'!G18-'Screener Input'!G20-'Screener Input'!G21-'Screener Input'!G22-'Screener Input'!G23-'Screener Input'!G24+'Screener Input'!G25+'Screener Input'!G19</f>
        <v>149.32999999999998</v>
      </c>
      <c r="I29" s="225">
        <f>'Screener Input'!H17-'Screener Input'!H18-'Screener Input'!H20-'Screener Input'!H21-'Screener Input'!H22-'Screener Input'!H23-'Screener Input'!H24+'Screener Input'!H25+'Screener Input'!H19</f>
        <v>201.02000000000004</v>
      </c>
      <c r="J29" s="225">
        <f>'Screener Input'!I17-'Screener Input'!I18-'Screener Input'!I20-'Screener Input'!I21-'Screener Input'!I22-'Screener Input'!I23-'Screener Input'!I24+'Screener Input'!I25+'Screener Input'!I19</f>
        <v>247.60000000000002</v>
      </c>
      <c r="K29" s="225">
        <f>'Screener Input'!J17-'Screener Input'!J18-'Screener Input'!J20-'Screener Input'!J21-'Screener Input'!J22-'Screener Input'!J23-'Screener Input'!J24+'Screener Input'!J25+'Screener Input'!J19</f>
        <v>244.52000000000018</v>
      </c>
      <c r="L29" s="225">
        <f>'Screener Input'!K17-'Screener Input'!K18-'Screener Input'!K20-'Screener Input'!K21-'Screener Input'!K22-'Screener Input'!K23-'Screener Input'!K24+'Screener Input'!K25+'Screener Input'!K19</f>
        <v>306.5499999999999</v>
      </c>
      <c r="M29" s="225">
        <f>SUM('Screener Input'!H50:K50)+SUM('Screener Input'!H44:K44)</f>
        <v>320.18</v>
      </c>
      <c r="N29" s="225">
        <f>SUM('Screener Input'!D50:G50)</f>
        <v>231.64000000000001</v>
      </c>
      <c r="O29" s="332"/>
    </row>
    <row r="30" spans="1:15">
      <c r="A30" s="140" t="s">
        <v>247</v>
      </c>
      <c r="B30" s="140"/>
      <c r="C30" s="223">
        <f>'Screener Input'!B26</f>
        <v>10.47</v>
      </c>
      <c r="D30" s="223">
        <f>'Screener Input'!C26</f>
        <v>15.46</v>
      </c>
      <c r="E30" s="223">
        <f>'Screener Input'!D26</f>
        <v>20.96</v>
      </c>
      <c r="F30" s="223">
        <f>'Screener Input'!E26</f>
        <v>23.1</v>
      </c>
      <c r="G30" s="223">
        <f>'Screener Input'!F26</f>
        <v>25.5</v>
      </c>
      <c r="H30" s="223">
        <f>'Screener Input'!G26</f>
        <v>31.16</v>
      </c>
      <c r="I30" s="223">
        <f>'Screener Input'!H26</f>
        <v>39.9</v>
      </c>
      <c r="J30" s="223">
        <f>'Screener Input'!I26</f>
        <v>47.12</v>
      </c>
      <c r="K30" s="223">
        <f>'Screener Input'!J26</f>
        <v>51.46</v>
      </c>
      <c r="L30" s="223">
        <f>'Screener Input'!K26</f>
        <v>54.34</v>
      </c>
      <c r="M30" s="223">
        <f>SUM('Screener Input'!H45:K45)</f>
        <v>54.89</v>
      </c>
      <c r="N30" s="223"/>
    </row>
    <row r="31" spans="1:15">
      <c r="A31" s="140" t="s">
        <v>248</v>
      </c>
      <c r="B31" s="140"/>
      <c r="C31" s="223">
        <f t="shared" ref="C31:M31" si="9">C29-C30</f>
        <v>43.109999999999971</v>
      </c>
      <c r="D31" s="223">
        <f t="shared" si="9"/>
        <v>79.360000000000042</v>
      </c>
      <c r="E31" s="223">
        <f t="shared" si="9"/>
        <v>51.449999999999925</v>
      </c>
      <c r="F31" s="223">
        <f t="shared" si="9"/>
        <v>72.159999999999968</v>
      </c>
      <c r="G31" s="223">
        <f t="shared" si="9"/>
        <v>85.389999999999986</v>
      </c>
      <c r="H31" s="223">
        <f t="shared" si="9"/>
        <v>118.16999999999999</v>
      </c>
      <c r="I31" s="223">
        <f t="shared" si="9"/>
        <v>161.12000000000003</v>
      </c>
      <c r="J31" s="223">
        <f t="shared" si="9"/>
        <v>200.48000000000002</v>
      </c>
      <c r="K31" s="223">
        <f t="shared" si="9"/>
        <v>193.06000000000017</v>
      </c>
      <c r="L31" s="223">
        <f t="shared" si="9"/>
        <v>252.20999999999989</v>
      </c>
      <c r="M31" s="223">
        <f t="shared" si="9"/>
        <v>265.29000000000002</v>
      </c>
      <c r="N31" s="223"/>
    </row>
    <row r="32" spans="1:15">
      <c r="A32" s="140" t="s">
        <v>17</v>
      </c>
      <c r="B32" s="140"/>
      <c r="C32" s="223">
        <f>'Screener Input'!B27</f>
        <v>19.11</v>
      </c>
      <c r="D32" s="223">
        <f>'Screener Input'!C27</f>
        <v>25.55</v>
      </c>
      <c r="E32" s="223">
        <f>'Screener Input'!D27</f>
        <v>15.91</v>
      </c>
      <c r="F32" s="223">
        <f>'Screener Input'!E27</f>
        <v>18.670000000000002</v>
      </c>
      <c r="G32" s="223">
        <f>'Screener Input'!F27</f>
        <v>17.7</v>
      </c>
      <c r="H32" s="223">
        <f>'Screener Input'!G27</f>
        <v>22.66</v>
      </c>
      <c r="I32" s="223">
        <f>'Screener Input'!H27</f>
        <v>18.48</v>
      </c>
      <c r="J32" s="223">
        <f>'Screener Input'!I27</f>
        <v>22.89</v>
      </c>
      <c r="K32" s="223">
        <f>'Screener Input'!J27</f>
        <v>15.03</v>
      </c>
      <c r="L32" s="223">
        <f>'Screener Input'!K27</f>
        <v>8.59</v>
      </c>
      <c r="M32" s="223">
        <f>SUM('Screener Input'!H46:K46)</f>
        <v>8.23</v>
      </c>
      <c r="N32" s="223"/>
    </row>
    <row r="33" spans="1:14">
      <c r="A33" s="140" t="s">
        <v>249</v>
      </c>
      <c r="B33" s="140"/>
      <c r="C33" s="223">
        <f t="shared" ref="C33:L33" si="10">C31-C32</f>
        <v>23.999999999999972</v>
      </c>
      <c r="D33" s="223">
        <f t="shared" si="10"/>
        <v>53.810000000000045</v>
      </c>
      <c r="E33" s="223">
        <f t="shared" si="10"/>
        <v>35.539999999999921</v>
      </c>
      <c r="F33" s="223">
        <f t="shared" si="10"/>
        <v>53.489999999999966</v>
      </c>
      <c r="G33" s="223">
        <f t="shared" si="10"/>
        <v>67.689999999999984</v>
      </c>
      <c r="H33" s="223">
        <f t="shared" si="10"/>
        <v>95.509999999999991</v>
      </c>
      <c r="I33" s="223">
        <f t="shared" si="10"/>
        <v>142.64000000000004</v>
      </c>
      <c r="J33" s="223">
        <f t="shared" si="10"/>
        <v>177.59000000000003</v>
      </c>
      <c r="K33" s="223">
        <f t="shared" si="10"/>
        <v>178.03000000000017</v>
      </c>
      <c r="L33" s="223">
        <f t="shared" si="10"/>
        <v>243.61999999999989</v>
      </c>
      <c r="M33" s="223"/>
      <c r="N33" s="223"/>
    </row>
    <row r="34" spans="1:14">
      <c r="A34" s="140" t="s">
        <v>19</v>
      </c>
      <c r="B34" s="140"/>
      <c r="C34" s="223">
        <f>'Screener Input'!B29</f>
        <v>9.77</v>
      </c>
      <c r="D34" s="223">
        <f>'Screener Input'!C29</f>
        <v>16.12</v>
      </c>
      <c r="E34" s="223">
        <f>'Screener Input'!D29</f>
        <v>8.83</v>
      </c>
      <c r="F34" s="223">
        <f>'Screener Input'!E29</f>
        <v>13.59</v>
      </c>
      <c r="G34" s="223">
        <f>'Screener Input'!F29</f>
        <v>22.88</v>
      </c>
      <c r="H34" s="223">
        <f>'Screener Input'!G29</f>
        <v>29.9</v>
      </c>
      <c r="I34" s="223">
        <f>'Screener Input'!H29</f>
        <v>39.6</v>
      </c>
      <c r="J34" s="223">
        <f>'Screener Input'!I29</f>
        <v>57.31</v>
      </c>
      <c r="K34" s="223">
        <f>'Screener Input'!J29</f>
        <v>58.08</v>
      </c>
      <c r="L34" s="223">
        <f>'Screener Input'!K29</f>
        <v>82.55</v>
      </c>
      <c r="M34" s="223">
        <f>SUM('Screener Input'!H48:K48)</f>
        <v>87.389999999999986</v>
      </c>
      <c r="N34" s="223"/>
    </row>
    <row r="35" spans="1:14">
      <c r="A35" s="140" t="s">
        <v>229</v>
      </c>
      <c r="B35" s="140"/>
      <c r="C35" s="223">
        <f t="shared" ref="C35:L35" si="11">C33-C34</f>
        <v>14.229999999999972</v>
      </c>
      <c r="D35" s="223">
        <f t="shared" si="11"/>
        <v>37.69000000000004</v>
      </c>
      <c r="E35" s="223">
        <f t="shared" si="11"/>
        <v>26.709999999999923</v>
      </c>
      <c r="F35" s="223">
        <f t="shared" si="11"/>
        <v>39.899999999999963</v>
      </c>
      <c r="G35" s="223">
        <f t="shared" si="11"/>
        <v>44.809999999999988</v>
      </c>
      <c r="H35" s="223">
        <f t="shared" si="11"/>
        <v>65.609999999999985</v>
      </c>
      <c r="I35" s="223">
        <f t="shared" si="11"/>
        <v>103.04000000000005</v>
      </c>
      <c r="J35" s="223">
        <f t="shared" si="11"/>
        <v>120.28000000000003</v>
      </c>
      <c r="K35" s="223">
        <f t="shared" si="11"/>
        <v>119.95000000000017</v>
      </c>
      <c r="L35" s="223">
        <f t="shared" si="11"/>
        <v>161.06999999999988</v>
      </c>
      <c r="M35" s="223">
        <f>SUM('Screener Input'!H49:K49)</f>
        <v>169.67000000000002</v>
      </c>
      <c r="N35" s="223"/>
    </row>
    <row r="36" spans="1:14">
      <c r="A36" s="140" t="s">
        <v>250</v>
      </c>
      <c r="B36" s="140"/>
      <c r="C36" s="223">
        <f>'Screener Input'!B31</f>
        <v>0.9</v>
      </c>
      <c r="D36" s="223">
        <f>'Screener Input'!C31</f>
        <v>1.8</v>
      </c>
      <c r="E36" s="223">
        <f>'Screener Input'!D31</f>
        <v>1.8</v>
      </c>
      <c r="F36" s="223">
        <f>'Screener Input'!E31</f>
        <v>1.8</v>
      </c>
      <c r="G36" s="223">
        <f>'Screener Input'!F31</f>
        <v>2.4</v>
      </c>
      <c r="H36" s="223">
        <f>'Screener Input'!G31</f>
        <v>3</v>
      </c>
      <c r="I36" s="223">
        <f>'Screener Input'!H31</f>
        <v>6</v>
      </c>
      <c r="J36" s="223">
        <f>'Screener Input'!I31</f>
        <v>7.2</v>
      </c>
      <c r="K36" s="223">
        <f>'Screener Input'!J31</f>
        <v>12.01</v>
      </c>
      <c r="L36" s="223">
        <f>'Screener Input'!K31</f>
        <v>18.05</v>
      </c>
      <c r="M36" s="223"/>
      <c r="N36" s="223"/>
    </row>
    <row r="37" spans="1:14">
      <c r="A37" s="140" t="s">
        <v>3</v>
      </c>
      <c r="C37" s="223">
        <f>'Screener Input'!B90*'Screener Input'!B93</f>
        <v>36.356579294400007</v>
      </c>
      <c r="D37" s="223">
        <f>'Screener Input'!C90*'Screener Input'!C93</f>
        <v>335.39354000040004</v>
      </c>
      <c r="E37" s="223">
        <f>'Screener Input'!D90*'Screener Input'!D93</f>
        <v>338.66122673640001</v>
      </c>
      <c r="F37" s="223">
        <f>'Screener Input'!E90*'Screener Input'!E93</f>
        <v>390.87308339999998</v>
      </c>
      <c r="G37" s="223">
        <f>'Screener Input'!F90*'Screener Input'!F93</f>
        <v>673.27332060000003</v>
      </c>
      <c r="H37" s="223">
        <f>'Screener Input'!G90*'Screener Input'!G93</f>
        <v>1785.6838105260001</v>
      </c>
      <c r="I37" s="223">
        <f>'Screener Input'!H90*'Screener Input'!H93</f>
        <v>4249.2768852000008</v>
      </c>
      <c r="J37" s="223">
        <f>'Screener Input'!I90*'Screener Input'!I93</f>
        <v>5750.5650053941108</v>
      </c>
      <c r="K37" s="223">
        <f>'Screener Input'!J90*'Screener Input'!J93</f>
        <v>5905.9508310346755</v>
      </c>
      <c r="L37" s="223">
        <f>'Screener Input'!K90*'Screener Input'!K93</f>
        <v>8276.7471035969211</v>
      </c>
      <c r="M37" s="223"/>
      <c r="N37" s="223"/>
    </row>
    <row r="38" spans="1:14">
      <c r="A38" s="141" t="s">
        <v>251</v>
      </c>
      <c r="B38" s="192">
        <f>'Screener Input'!B9</f>
        <v>8803.27</v>
      </c>
      <c r="C38" s="434"/>
      <c r="D38" s="435"/>
      <c r="E38" s="435"/>
      <c r="F38" s="435"/>
      <c r="G38" s="435"/>
      <c r="H38" s="435"/>
      <c r="I38" s="435"/>
      <c r="J38" s="435"/>
      <c r="K38" s="436"/>
      <c r="L38" s="226">
        <f>L35+L34+L32+L30</f>
        <v>306.5499999999999</v>
      </c>
      <c r="M38" s="126"/>
      <c r="N38" s="126"/>
    </row>
    <row r="39" spans="1:14">
      <c r="A39" s="141" t="s">
        <v>326</v>
      </c>
      <c r="C39" s="188"/>
      <c r="D39" s="188"/>
      <c r="E39" s="188"/>
      <c r="F39" s="188"/>
      <c r="G39" s="188"/>
      <c r="H39" s="188"/>
      <c r="I39" s="188"/>
      <c r="J39" s="188"/>
      <c r="K39" s="188"/>
      <c r="L39" s="126"/>
      <c r="N39" s="126"/>
    </row>
    <row r="40" spans="1:14">
      <c r="A40" s="142" t="s">
        <v>252</v>
      </c>
      <c r="B40" s="143"/>
      <c r="C40" s="223">
        <f>'Screener Input'!B57</f>
        <v>6</v>
      </c>
      <c r="D40" s="223">
        <f>'Screener Input'!C57</f>
        <v>6</v>
      </c>
      <c r="E40" s="223">
        <f>'Screener Input'!D57</f>
        <v>6</v>
      </c>
      <c r="F40" s="223">
        <f>'Screener Input'!E57</f>
        <v>6</v>
      </c>
      <c r="G40" s="223">
        <f>'Screener Input'!F57</f>
        <v>6</v>
      </c>
      <c r="H40" s="223">
        <f>'Screener Input'!G57</f>
        <v>6</v>
      </c>
      <c r="I40" s="223">
        <f>'Screener Input'!H57</f>
        <v>6</v>
      </c>
      <c r="J40" s="223">
        <f>'Screener Input'!I57</f>
        <v>12</v>
      </c>
      <c r="K40" s="223">
        <f>'Screener Input'!J57</f>
        <v>12.01</v>
      </c>
      <c r="L40" s="223">
        <f>'Screener Input'!K57</f>
        <v>12.03</v>
      </c>
      <c r="M40" s="223"/>
      <c r="N40" s="223"/>
    </row>
    <row r="41" spans="1:14">
      <c r="A41" s="142" t="s">
        <v>253</v>
      </c>
      <c r="B41" s="142"/>
      <c r="C41" s="225">
        <f>'Screener Input'!B58</f>
        <v>67.959999999999994</v>
      </c>
      <c r="D41" s="225">
        <f>'Screener Input'!C58</f>
        <v>103.93</v>
      </c>
      <c r="E41" s="225">
        <f>'Screener Input'!D58</f>
        <v>128.62</v>
      </c>
      <c r="F41" s="225">
        <f>'Screener Input'!E58</f>
        <v>166.43</v>
      </c>
      <c r="G41" s="225">
        <f>'Screener Input'!F58</f>
        <v>208.44</v>
      </c>
      <c r="H41" s="225">
        <f>'Screener Input'!G58</f>
        <v>270.56</v>
      </c>
      <c r="I41" s="225">
        <f>'Screener Input'!H58</f>
        <v>361.82</v>
      </c>
      <c r="J41" s="225">
        <f>'Screener Input'!I58</f>
        <v>467.98</v>
      </c>
      <c r="K41" s="225">
        <f>'Screener Input'!J58</f>
        <v>594.36</v>
      </c>
      <c r="L41" s="225">
        <f>'Screener Input'!K58</f>
        <v>749.18</v>
      </c>
      <c r="M41" s="225"/>
      <c r="N41" s="225"/>
    </row>
    <row r="42" spans="1:14">
      <c r="A42" s="142" t="s">
        <v>6</v>
      </c>
      <c r="B42" s="140"/>
      <c r="C42" s="223">
        <f t="shared" ref="C42:L42" si="12">C41+C40</f>
        <v>73.959999999999994</v>
      </c>
      <c r="D42" s="223">
        <f t="shared" si="12"/>
        <v>109.93</v>
      </c>
      <c r="E42" s="223">
        <f t="shared" si="12"/>
        <v>134.62</v>
      </c>
      <c r="F42" s="223">
        <f t="shared" si="12"/>
        <v>172.43</v>
      </c>
      <c r="G42" s="223">
        <f t="shared" si="12"/>
        <v>214.44</v>
      </c>
      <c r="H42" s="223">
        <f t="shared" si="12"/>
        <v>276.56</v>
      </c>
      <c r="I42" s="223">
        <f t="shared" si="12"/>
        <v>367.82</v>
      </c>
      <c r="J42" s="223">
        <f t="shared" si="12"/>
        <v>479.98</v>
      </c>
      <c r="K42" s="223">
        <f t="shared" si="12"/>
        <v>606.37</v>
      </c>
      <c r="L42" s="223">
        <f t="shared" si="12"/>
        <v>761.20999999999992</v>
      </c>
      <c r="M42" s="223"/>
      <c r="N42" s="223"/>
    </row>
    <row r="43" spans="1:14">
      <c r="A43" s="144" t="s">
        <v>7</v>
      </c>
      <c r="B43" s="145"/>
      <c r="C43" s="223"/>
      <c r="D43" s="223"/>
      <c r="E43" s="223"/>
      <c r="F43" s="223"/>
      <c r="G43" s="223"/>
      <c r="H43" s="223"/>
      <c r="I43" s="223"/>
      <c r="J43" s="223"/>
      <c r="K43" s="223"/>
      <c r="L43" s="226"/>
      <c r="M43" s="226"/>
      <c r="N43" s="226"/>
    </row>
    <row r="44" spans="1:14">
      <c r="A44" s="144" t="s">
        <v>8</v>
      </c>
      <c r="B44" s="145"/>
      <c r="C44" s="223"/>
      <c r="D44" s="223"/>
      <c r="E44" s="223"/>
      <c r="F44" s="223"/>
      <c r="G44" s="223"/>
      <c r="H44" s="223"/>
      <c r="I44" s="223"/>
      <c r="J44" s="223"/>
      <c r="K44" s="223"/>
      <c r="L44" s="226"/>
      <c r="M44" s="226"/>
      <c r="N44" s="226"/>
    </row>
    <row r="45" spans="1:14">
      <c r="A45" s="144" t="s">
        <v>254</v>
      </c>
      <c r="B45" s="142"/>
      <c r="C45" s="225">
        <f>'Screener Input'!B59</f>
        <v>108.38</v>
      </c>
      <c r="D45" s="225">
        <f>'Screener Input'!C59</f>
        <v>146.88999999999999</v>
      </c>
      <c r="E45" s="225">
        <f>'Screener Input'!D59</f>
        <v>182.09</v>
      </c>
      <c r="F45" s="225">
        <f>'Screener Input'!E59</f>
        <v>175.2</v>
      </c>
      <c r="G45" s="225">
        <f>'Screener Input'!F59</f>
        <v>225.38</v>
      </c>
      <c r="H45" s="225">
        <f>'Screener Input'!G59</f>
        <v>198.35</v>
      </c>
      <c r="I45" s="225">
        <f>'Screener Input'!H59</f>
        <v>239.39</v>
      </c>
      <c r="J45" s="225">
        <f>'Screener Input'!I59</f>
        <v>236.39</v>
      </c>
      <c r="K45" s="225">
        <f>'Screener Input'!J59</f>
        <v>178.34</v>
      </c>
      <c r="L45" s="225">
        <f>'Screener Input'!K59</f>
        <v>153.36000000000001</v>
      </c>
      <c r="M45" s="225"/>
      <c r="N45" s="225"/>
    </row>
    <row r="46" spans="1:14">
      <c r="A46" s="144" t="s">
        <v>255</v>
      </c>
      <c r="B46" s="142"/>
      <c r="C46" s="225">
        <f>'Screener Input'!B60</f>
        <v>56.47</v>
      </c>
      <c r="D46" s="225">
        <f>'Screener Input'!C60</f>
        <v>91.14</v>
      </c>
      <c r="E46" s="225">
        <f>'Screener Input'!D60</f>
        <v>127.21</v>
      </c>
      <c r="F46" s="225">
        <f>'Screener Input'!E60</f>
        <v>133.57</v>
      </c>
      <c r="G46" s="225">
        <f>'Screener Input'!F60</f>
        <v>155.33000000000001</v>
      </c>
      <c r="H46" s="225">
        <f>'Screener Input'!G60</f>
        <v>191.22</v>
      </c>
      <c r="I46" s="225">
        <f>'Screener Input'!H60</f>
        <v>246.63</v>
      </c>
      <c r="J46" s="225">
        <f>'Screener Input'!I60</f>
        <v>297.48</v>
      </c>
      <c r="K46" s="225">
        <f>'Screener Input'!J60</f>
        <v>306.60000000000002</v>
      </c>
      <c r="L46" s="225">
        <f>'Screener Input'!K60</f>
        <v>375.2</v>
      </c>
      <c r="M46" s="225"/>
      <c r="N46" s="225"/>
    </row>
    <row r="47" spans="1:14">
      <c r="A47" s="144" t="s">
        <v>256</v>
      </c>
      <c r="B47" s="142"/>
      <c r="C47" s="225">
        <f>'Screener Input'!B65</f>
        <v>79.67</v>
      </c>
      <c r="D47" s="225">
        <f>'Screener Input'!C65</f>
        <v>119.49</v>
      </c>
      <c r="E47" s="225">
        <f>'Screener Input'!D65</f>
        <v>174.6</v>
      </c>
      <c r="F47" s="225">
        <f>'Screener Input'!E65</f>
        <v>188.54</v>
      </c>
      <c r="G47" s="225">
        <f>'Screener Input'!F65</f>
        <v>244.63</v>
      </c>
      <c r="H47" s="225">
        <f>'Screener Input'!G65</f>
        <v>276.01</v>
      </c>
      <c r="I47" s="225">
        <f>'Screener Input'!H65</f>
        <v>379.96</v>
      </c>
      <c r="J47" s="225">
        <f>'Screener Input'!I65</f>
        <v>454.59</v>
      </c>
      <c r="K47" s="225">
        <f>'Screener Input'!J65</f>
        <v>487.17</v>
      </c>
      <c r="L47" s="225">
        <f>'Screener Input'!K65</f>
        <v>626.63</v>
      </c>
      <c r="M47" s="225"/>
      <c r="N47" s="225"/>
    </row>
    <row r="48" spans="1:14">
      <c r="A48" s="144" t="s">
        <v>11</v>
      </c>
      <c r="B48" s="142"/>
      <c r="C48" s="225">
        <f>'Screener Input'!B60</f>
        <v>56.47</v>
      </c>
      <c r="D48" s="225">
        <f>'Screener Input'!C60</f>
        <v>91.14</v>
      </c>
      <c r="E48" s="225">
        <f>'Screener Input'!D60</f>
        <v>127.21</v>
      </c>
      <c r="F48" s="225">
        <f>'Screener Input'!E60</f>
        <v>133.57</v>
      </c>
      <c r="G48" s="225">
        <f>'Screener Input'!F60</f>
        <v>155.33000000000001</v>
      </c>
      <c r="H48" s="225">
        <f>'Screener Input'!G60</f>
        <v>191.22</v>
      </c>
      <c r="I48" s="225">
        <f>'Screener Input'!H60</f>
        <v>246.63</v>
      </c>
      <c r="J48" s="225">
        <f>'Screener Input'!I60</f>
        <v>297.48</v>
      </c>
      <c r="K48" s="225">
        <f>'Screener Input'!J60</f>
        <v>306.60000000000002</v>
      </c>
      <c r="L48" s="225">
        <f>'Screener Input'!K60</f>
        <v>375.2</v>
      </c>
      <c r="M48" s="225"/>
      <c r="N48" s="225"/>
    </row>
    <row r="49" spans="1:14">
      <c r="A49" s="144" t="s">
        <v>12</v>
      </c>
      <c r="B49" s="142"/>
      <c r="C49" s="225">
        <f>'Screener Input'!B66</f>
        <v>238.81</v>
      </c>
      <c r="D49" s="225">
        <f>'Screener Input'!C66</f>
        <v>347.96</v>
      </c>
      <c r="E49" s="225">
        <f>'Screener Input'!D66</f>
        <v>443.92</v>
      </c>
      <c r="F49" s="225">
        <f>'Screener Input'!E66</f>
        <v>481.2</v>
      </c>
      <c r="G49" s="225">
        <f>'Screener Input'!F66</f>
        <v>595.15</v>
      </c>
      <c r="H49" s="225">
        <f>'Screener Input'!G66</f>
        <v>666.13</v>
      </c>
      <c r="I49" s="225">
        <f>'Screener Input'!H66</f>
        <v>853.84</v>
      </c>
      <c r="J49" s="225">
        <f>'Screener Input'!I66</f>
        <v>1013.85</v>
      </c>
      <c r="K49" s="225">
        <f>'Screener Input'!J66</f>
        <v>1091.31</v>
      </c>
      <c r="L49" s="225">
        <f>'Screener Input'!K66</f>
        <v>1289.77</v>
      </c>
      <c r="M49" s="225"/>
      <c r="N49" s="225"/>
    </row>
    <row r="50" spans="1:14">
      <c r="A50" s="256" t="s">
        <v>257</v>
      </c>
      <c r="B50" s="256"/>
      <c r="C50" s="257">
        <f>'Screener Input'!B62</f>
        <v>140.47</v>
      </c>
      <c r="D50" s="257">
        <f>'Screener Input'!C62</f>
        <v>221.73</v>
      </c>
      <c r="E50" s="257">
        <f>'Screener Input'!D62</f>
        <v>268.43</v>
      </c>
      <c r="F50" s="257">
        <f>'Screener Input'!E62</f>
        <v>271.33999999999997</v>
      </c>
      <c r="G50" s="257">
        <f>'Screener Input'!F62</f>
        <v>326.72000000000003</v>
      </c>
      <c r="H50" s="257">
        <f>'Screener Input'!G62</f>
        <v>365.84</v>
      </c>
      <c r="I50" s="257">
        <f>'Screener Input'!H62</f>
        <v>471.71</v>
      </c>
      <c r="J50" s="257">
        <f>'Screener Input'!I62</f>
        <v>530.53</v>
      </c>
      <c r="K50" s="257">
        <f>'Screener Input'!J62</f>
        <v>541.02</v>
      </c>
      <c r="L50" s="257">
        <f>'Screener Input'!K62</f>
        <v>524.86</v>
      </c>
      <c r="M50" s="223"/>
      <c r="N50" s="223"/>
    </row>
    <row r="51" spans="1:14">
      <c r="A51" s="140" t="s">
        <v>10</v>
      </c>
      <c r="B51" s="140"/>
      <c r="C51" s="223">
        <f>'Screener Input'!B63</f>
        <v>18.61</v>
      </c>
      <c r="D51" s="223">
        <f>'Screener Input'!C63</f>
        <v>6.68</v>
      </c>
      <c r="E51" s="223">
        <f>'Screener Input'!D63</f>
        <v>0.83</v>
      </c>
      <c r="F51" s="223">
        <f>'Screener Input'!E63</f>
        <v>21.26</v>
      </c>
      <c r="G51" s="223">
        <f>'Screener Input'!F63</f>
        <v>23.74</v>
      </c>
      <c r="H51" s="223">
        <f>'Screener Input'!G63</f>
        <v>24.22</v>
      </c>
      <c r="I51" s="223">
        <f>'Screener Input'!H63</f>
        <v>2.11</v>
      </c>
      <c r="J51" s="223">
        <f>'Screener Input'!I63</f>
        <v>28.23</v>
      </c>
      <c r="K51" s="223">
        <f>'Screener Input'!J63</f>
        <v>62.42</v>
      </c>
      <c r="L51" s="223">
        <f>'Screener Input'!K63</f>
        <v>137.58000000000001</v>
      </c>
      <c r="M51" s="223"/>
      <c r="N51" s="223"/>
    </row>
    <row r="52" spans="1:14">
      <c r="A52" s="144" t="s">
        <v>56</v>
      </c>
      <c r="B52" s="142"/>
      <c r="C52" s="225">
        <f>'Screener Input'!B65-'Screener Input'!B60</f>
        <v>23.200000000000003</v>
      </c>
      <c r="D52" s="225">
        <f>'Screener Input'!C65-'Screener Input'!C60</f>
        <v>28.349999999999994</v>
      </c>
      <c r="E52" s="225">
        <f>'Screener Input'!D65-'Screener Input'!D60</f>
        <v>47.39</v>
      </c>
      <c r="F52" s="225">
        <f>'Screener Input'!E65-'Screener Input'!E60</f>
        <v>54.97</v>
      </c>
      <c r="G52" s="225">
        <f>'Screener Input'!F65-'Screener Input'!F60</f>
        <v>89.299999999999983</v>
      </c>
      <c r="H52" s="225">
        <f>'Screener Input'!G65-'Screener Input'!G60</f>
        <v>84.789999999999992</v>
      </c>
      <c r="I52" s="225">
        <f>'Screener Input'!H65-'Screener Input'!H60</f>
        <v>133.32999999999998</v>
      </c>
      <c r="J52" s="225">
        <f>'Screener Input'!I65-'Screener Input'!I60</f>
        <v>157.10999999999996</v>
      </c>
      <c r="K52" s="225">
        <f>'Screener Input'!J65-'Screener Input'!J60</f>
        <v>180.57</v>
      </c>
      <c r="L52" s="225">
        <f>'Screener Input'!K65-'Screener Input'!K60</f>
        <v>251.43</v>
      </c>
      <c r="M52" s="225"/>
      <c r="N52" s="225"/>
    </row>
    <row r="53" spans="1:14">
      <c r="A53" s="142" t="s">
        <v>235</v>
      </c>
      <c r="B53" s="142"/>
      <c r="C53" s="225">
        <f>'Screener Input'!B67</f>
        <v>19.73</v>
      </c>
      <c r="D53" s="225">
        <f>'Screener Input'!C67</f>
        <v>20.86</v>
      </c>
      <c r="E53" s="225">
        <f>'Screener Input'!D67</f>
        <v>23.24</v>
      </c>
      <c r="F53" s="225">
        <f>'Screener Input'!E67</f>
        <v>22.96</v>
      </c>
      <c r="G53" s="225">
        <f>'Screener Input'!F67</f>
        <v>35.96</v>
      </c>
      <c r="H53" s="225">
        <f>'Screener Input'!G67</f>
        <v>68.22</v>
      </c>
      <c r="I53" s="225">
        <f>'Screener Input'!H67</f>
        <v>82.08</v>
      </c>
      <c r="J53" s="225">
        <f>'Screener Input'!I67</f>
        <v>108.69</v>
      </c>
      <c r="K53" s="225">
        <f>'Screener Input'!J67</f>
        <v>123.18</v>
      </c>
      <c r="L53" s="225">
        <f>'Screener Input'!K67</f>
        <v>192.35</v>
      </c>
      <c r="M53" s="225"/>
      <c r="N53" s="225"/>
    </row>
    <row r="54" spans="1:14">
      <c r="A54" s="142" t="s">
        <v>234</v>
      </c>
      <c r="B54" s="142"/>
      <c r="C54" s="225">
        <f>'Screener Input'!B68</f>
        <v>39.81</v>
      </c>
      <c r="D54" s="225">
        <f>'Screener Input'!C68</f>
        <v>67.16</v>
      </c>
      <c r="E54" s="225">
        <f>'Screener Input'!D68</f>
        <v>116.59</v>
      </c>
      <c r="F54" s="225">
        <f>'Screener Input'!E68</f>
        <v>128.5</v>
      </c>
      <c r="G54" s="225">
        <f>'Screener Input'!F68</f>
        <v>159.44</v>
      </c>
      <c r="H54" s="225">
        <f>'Screener Input'!G68</f>
        <v>164</v>
      </c>
      <c r="I54" s="225">
        <f>'Screener Input'!H68</f>
        <v>248.68</v>
      </c>
      <c r="J54" s="225">
        <f>'Screener Input'!I68</f>
        <v>285.83999999999997</v>
      </c>
      <c r="K54" s="225">
        <f>'Screener Input'!J68</f>
        <v>290.20999999999998</v>
      </c>
      <c r="L54" s="225">
        <f>'Screener Input'!K68</f>
        <v>313.93</v>
      </c>
      <c r="M54" s="225"/>
      <c r="N54" s="225"/>
    </row>
    <row r="55" spans="1:14">
      <c r="A55" s="142" t="s">
        <v>258</v>
      </c>
      <c r="B55" s="142"/>
      <c r="C55" s="225">
        <f>'Screener Input'!B69</f>
        <v>2.73</v>
      </c>
      <c r="D55" s="225">
        <f>'Screener Input'!C69</f>
        <v>1.04</v>
      </c>
      <c r="E55" s="225">
        <f>'Screener Input'!D69</f>
        <v>2.14</v>
      </c>
      <c r="F55" s="225">
        <f>'Screener Input'!E69</f>
        <v>1.05</v>
      </c>
      <c r="G55" s="225">
        <f>'Screener Input'!F69</f>
        <v>2.97</v>
      </c>
      <c r="H55" s="225">
        <f>'Screener Input'!G69</f>
        <v>5.66</v>
      </c>
      <c r="I55" s="225">
        <f>'Screener Input'!H69</f>
        <v>4.49</v>
      </c>
      <c r="J55" s="225">
        <f>'Screener Input'!I69</f>
        <v>2.37</v>
      </c>
      <c r="K55" s="225">
        <f>'Screener Input'!J69</f>
        <v>3.65</v>
      </c>
      <c r="L55" s="225">
        <f>'Screener Input'!K69</f>
        <v>4</v>
      </c>
      <c r="M55" s="225"/>
      <c r="N55" s="225"/>
    </row>
    <row r="56" spans="1:14">
      <c r="A56" s="140" t="s">
        <v>259</v>
      </c>
      <c r="B56" s="145"/>
      <c r="C56" s="223"/>
      <c r="D56" s="223"/>
      <c r="E56" s="223"/>
      <c r="F56" s="223"/>
      <c r="G56" s="223"/>
      <c r="H56" s="223"/>
      <c r="I56" s="223"/>
      <c r="J56" s="223"/>
      <c r="K56" s="223"/>
      <c r="L56" s="226"/>
      <c r="M56" s="226"/>
      <c r="N56" s="226"/>
    </row>
    <row r="57" spans="1:14">
      <c r="A57" s="144" t="s">
        <v>260</v>
      </c>
      <c r="B57" s="140"/>
      <c r="C57" s="223">
        <f t="shared" ref="C57:L57" si="13">C42+C45</f>
        <v>182.33999999999997</v>
      </c>
      <c r="D57" s="223">
        <f t="shared" si="13"/>
        <v>256.82</v>
      </c>
      <c r="E57" s="223">
        <f t="shared" si="13"/>
        <v>316.71000000000004</v>
      </c>
      <c r="F57" s="223">
        <f t="shared" si="13"/>
        <v>347.63</v>
      </c>
      <c r="G57" s="223">
        <f t="shared" si="13"/>
        <v>439.82</v>
      </c>
      <c r="H57" s="223">
        <f t="shared" si="13"/>
        <v>474.90999999999997</v>
      </c>
      <c r="I57" s="223">
        <f t="shared" si="13"/>
        <v>607.21</v>
      </c>
      <c r="J57" s="223">
        <f t="shared" si="13"/>
        <v>716.37</v>
      </c>
      <c r="K57" s="223">
        <f t="shared" si="13"/>
        <v>784.71</v>
      </c>
      <c r="L57" s="223">
        <f t="shared" si="13"/>
        <v>914.56999999999994</v>
      </c>
      <c r="M57" s="223"/>
      <c r="N57" s="223"/>
    </row>
    <row r="58" spans="1:14">
      <c r="A58" s="144" t="s">
        <v>261</v>
      </c>
      <c r="B58" s="140"/>
      <c r="C58" s="223">
        <f t="shared" ref="C58:L58" si="14">C49-C48</f>
        <v>182.34</v>
      </c>
      <c r="D58" s="223">
        <f t="shared" si="14"/>
        <v>256.82</v>
      </c>
      <c r="E58" s="223">
        <f t="shared" si="14"/>
        <v>316.71000000000004</v>
      </c>
      <c r="F58" s="223">
        <f t="shared" si="14"/>
        <v>347.63</v>
      </c>
      <c r="G58" s="223">
        <f t="shared" si="14"/>
        <v>439.81999999999994</v>
      </c>
      <c r="H58" s="223">
        <f t="shared" si="14"/>
        <v>474.90999999999997</v>
      </c>
      <c r="I58" s="223">
        <f t="shared" si="14"/>
        <v>607.21</v>
      </c>
      <c r="J58" s="223">
        <f t="shared" si="14"/>
        <v>716.37</v>
      </c>
      <c r="K58" s="223">
        <f t="shared" si="14"/>
        <v>784.70999999999992</v>
      </c>
      <c r="L58" s="223">
        <f t="shared" si="14"/>
        <v>914.56999999999994</v>
      </c>
      <c r="M58" s="223"/>
      <c r="N58" s="223"/>
    </row>
    <row r="59" spans="1:14">
      <c r="A59" s="144" t="s">
        <v>262</v>
      </c>
      <c r="B59" s="140"/>
      <c r="C59" s="223">
        <f>'Screener Input'!B59+'Screener Input'!B60</f>
        <v>164.85</v>
      </c>
      <c r="D59" s="223">
        <f>'Screener Input'!C59+'Screener Input'!C60</f>
        <v>238.02999999999997</v>
      </c>
      <c r="E59" s="223">
        <f>'Screener Input'!D59+'Screener Input'!D60</f>
        <v>309.3</v>
      </c>
      <c r="F59" s="223">
        <f>'Screener Input'!E59+'Screener Input'!E60</f>
        <v>308.77</v>
      </c>
      <c r="G59" s="223">
        <f>'Screener Input'!F59+'Screener Input'!F60</f>
        <v>380.71000000000004</v>
      </c>
      <c r="H59" s="223">
        <f>'Screener Input'!G59+'Screener Input'!G60</f>
        <v>389.57</v>
      </c>
      <c r="I59" s="223">
        <f>'Screener Input'!H59+'Screener Input'!H60</f>
        <v>486.02</v>
      </c>
      <c r="J59" s="223">
        <f>'Screener Input'!I59+'Screener Input'!I60</f>
        <v>533.87</v>
      </c>
      <c r="K59" s="223">
        <f>'Screener Input'!J59+'Screener Input'!J60</f>
        <v>484.94000000000005</v>
      </c>
      <c r="L59" s="223">
        <f>'Screener Input'!K59+'Screener Input'!K60</f>
        <v>528.55999999999995</v>
      </c>
      <c r="M59" s="223"/>
      <c r="N59" s="223"/>
    </row>
    <row r="60" spans="1:14">
      <c r="A60" s="145" t="s">
        <v>12</v>
      </c>
      <c r="B60" s="146"/>
      <c r="C60" s="227">
        <f>'Screener Input'!B66</f>
        <v>238.81</v>
      </c>
      <c r="D60" s="227">
        <f>'Screener Input'!C66</f>
        <v>347.96</v>
      </c>
      <c r="E60" s="227">
        <f>'Screener Input'!D66</f>
        <v>443.92</v>
      </c>
      <c r="F60" s="227">
        <f>'Screener Input'!E66</f>
        <v>481.2</v>
      </c>
      <c r="G60" s="227">
        <f>'Screener Input'!F66</f>
        <v>595.15</v>
      </c>
      <c r="H60" s="227">
        <f>'Screener Input'!G66</f>
        <v>666.13</v>
      </c>
      <c r="I60" s="227">
        <f>'Screener Input'!H66</f>
        <v>853.84</v>
      </c>
      <c r="J60" s="227">
        <f>'Screener Input'!I66</f>
        <v>1013.85</v>
      </c>
      <c r="K60" s="227">
        <f>'Screener Input'!J66</f>
        <v>1091.31</v>
      </c>
      <c r="L60" s="227">
        <f>'Screener Input'!K66</f>
        <v>1289.77</v>
      </c>
      <c r="M60" s="227"/>
      <c r="N60" s="227"/>
    </row>
    <row r="61" spans="1:14">
      <c r="A61" s="437"/>
      <c r="B61" s="437"/>
      <c r="C61" s="437"/>
      <c r="D61" s="437"/>
      <c r="E61" s="437"/>
      <c r="F61" s="437"/>
      <c r="G61" s="437"/>
      <c r="H61" s="437"/>
      <c r="I61" s="437"/>
      <c r="J61" s="437"/>
      <c r="K61" s="437"/>
      <c r="L61" s="126"/>
      <c r="M61" s="126"/>
      <c r="N61" s="126"/>
    </row>
    <row r="62" spans="1:14">
      <c r="A62" s="142" t="s">
        <v>54</v>
      </c>
      <c r="B62" s="140"/>
      <c r="C62" s="223">
        <f>'Screener Input'!B82</f>
        <v>41.05</v>
      </c>
      <c r="D62" s="223">
        <f>'Screener Input'!C82</f>
        <v>71.86</v>
      </c>
      <c r="E62" s="223">
        <f>'Screener Input'!D82</f>
        <v>43.7</v>
      </c>
      <c r="F62" s="223">
        <f>'Screener Input'!E82</f>
        <v>72.709999999999994</v>
      </c>
      <c r="G62" s="223">
        <f>'Screener Input'!F82</f>
        <v>54.01</v>
      </c>
      <c r="H62" s="223">
        <f>'Screener Input'!G82</f>
        <v>124.88</v>
      </c>
      <c r="I62" s="223">
        <f>'Screener Input'!H82</f>
        <v>107.48</v>
      </c>
      <c r="J62" s="223">
        <f>'Screener Input'!I82</f>
        <v>159.43</v>
      </c>
      <c r="K62" s="223">
        <f>'Screener Input'!J82</f>
        <v>180.2</v>
      </c>
      <c r="L62" s="223">
        <f>'Screener Input'!K82</f>
        <v>154.25</v>
      </c>
      <c r="M62" s="140"/>
      <c r="N62" s="140"/>
    </row>
    <row r="63" spans="1:14">
      <c r="A63" s="142" t="s">
        <v>22</v>
      </c>
      <c r="B63" s="143"/>
      <c r="C63" s="223"/>
      <c r="D63" s="223">
        <f t="shared" ref="D63:L63" si="15">D62-D23</f>
        <v>-12.929999999999993</v>
      </c>
      <c r="E63" s="223">
        <f t="shared" si="15"/>
        <v>-18.110000000000014</v>
      </c>
      <c r="F63" s="223">
        <f t="shared" si="15"/>
        <v>26.270000000000024</v>
      </c>
      <c r="G63" s="223">
        <f t="shared" si="15"/>
        <v>-29.350000000000044</v>
      </c>
      <c r="H63" s="223">
        <f t="shared" si="15"/>
        <v>54.120000000000047</v>
      </c>
      <c r="I63" s="223">
        <f t="shared" si="15"/>
        <v>-16.179999999999993</v>
      </c>
      <c r="J63" s="223">
        <f t="shared" si="15"/>
        <v>27.370000000000005</v>
      </c>
      <c r="K63" s="223">
        <f t="shared" si="15"/>
        <v>84.059999999999974</v>
      </c>
      <c r="L63" s="223">
        <f t="shared" si="15"/>
        <v>40.909999999999954</v>
      </c>
      <c r="M63" s="143"/>
      <c r="N63" s="143"/>
    </row>
    <row r="64" spans="1:14">
      <c r="A64" s="142" t="s">
        <v>263</v>
      </c>
      <c r="B64" s="147"/>
      <c r="C64" s="223">
        <f>'Screener Input'!B83</f>
        <v>-59.18</v>
      </c>
      <c r="D64" s="223">
        <f>'Screener Input'!C83</f>
        <v>-84.78</v>
      </c>
      <c r="E64" s="223">
        <f>'Screener Input'!D83</f>
        <v>-62.54</v>
      </c>
      <c r="F64" s="223">
        <f>'Screener Input'!E83</f>
        <v>-47</v>
      </c>
      <c r="G64" s="223">
        <f>'Screener Input'!F83</f>
        <v>-82.47</v>
      </c>
      <c r="H64" s="223">
        <f>'Screener Input'!G83</f>
        <v>-69.709999999999994</v>
      </c>
      <c r="I64" s="223">
        <f>'Screener Input'!H83</f>
        <v>-129.80000000000001</v>
      </c>
      <c r="J64" s="223">
        <f>'Screener Input'!I83</f>
        <v>-130.26</v>
      </c>
      <c r="K64" s="223">
        <f>'Screener Input'!J83</f>
        <v>-89.44</v>
      </c>
      <c r="L64" s="223">
        <f>'Screener Input'!K83</f>
        <v>-108.37</v>
      </c>
      <c r="M64" s="147"/>
      <c r="N64" s="147"/>
    </row>
    <row r="65" spans="1:14">
      <c r="A65" s="142" t="s">
        <v>264</v>
      </c>
      <c r="B65" s="147"/>
      <c r="C65" s="223">
        <f>'Screener Input'!B84</f>
        <v>16.739999999999998</v>
      </c>
      <c r="D65" s="223">
        <f>'Screener Input'!C84</f>
        <v>11.21</v>
      </c>
      <c r="E65" s="223">
        <f>'Screener Input'!D84</f>
        <v>19.989999999999998</v>
      </c>
      <c r="F65" s="223">
        <f>'Screener Input'!E84</f>
        <v>-26.8</v>
      </c>
      <c r="G65" s="223">
        <f>'Screener Input'!F84</f>
        <v>29.43</v>
      </c>
      <c r="H65" s="223">
        <f>'Screener Input'!G84</f>
        <v>-51.25</v>
      </c>
      <c r="I65" s="223">
        <f>'Screener Input'!H84</f>
        <v>21.11</v>
      </c>
      <c r="J65" s="223">
        <f>'Screener Input'!I84</f>
        <v>-31.31</v>
      </c>
      <c r="K65" s="223">
        <f>'Screener Input'!J84</f>
        <v>-89.49</v>
      </c>
      <c r="L65" s="223">
        <f>'Screener Input'!K84</f>
        <v>-46.27</v>
      </c>
      <c r="M65" s="147"/>
      <c r="N65" s="147"/>
    </row>
    <row r="66" spans="1:14">
      <c r="A66" s="142" t="s">
        <v>265</v>
      </c>
      <c r="B66" s="148"/>
      <c r="C66" s="325">
        <f t="shared" ref="C66:L66" si="16">C34/C33</f>
        <v>0.4070833333333338</v>
      </c>
      <c r="D66" s="325">
        <f t="shared" si="16"/>
        <v>0.29957257015424621</v>
      </c>
      <c r="E66" s="325">
        <f t="shared" si="16"/>
        <v>0.24845244794597693</v>
      </c>
      <c r="F66" s="325">
        <f t="shared" si="16"/>
        <v>0.25406618059450381</v>
      </c>
      <c r="G66" s="325">
        <f t="shared" si="16"/>
        <v>0.33801152312010646</v>
      </c>
      <c r="H66" s="325">
        <f t="shared" si="16"/>
        <v>0.31305622447911213</v>
      </c>
      <c r="I66" s="325">
        <f t="shared" si="16"/>
        <v>0.27762198541783506</v>
      </c>
      <c r="J66" s="325">
        <f t="shared" si="16"/>
        <v>0.32270961202770421</v>
      </c>
      <c r="K66" s="325">
        <f t="shared" si="16"/>
        <v>0.32623715104195888</v>
      </c>
      <c r="L66" s="325">
        <f t="shared" si="16"/>
        <v>0.33884738527214531</v>
      </c>
      <c r="M66" s="148"/>
      <c r="N66" s="148"/>
    </row>
    <row r="67" spans="1:14">
      <c r="A67" s="142" t="s">
        <v>266</v>
      </c>
      <c r="B67" s="143"/>
      <c r="C67" s="223">
        <f t="shared" ref="C67:L67" si="17">C31*(1-C66)</f>
        <v>25.560637499999963</v>
      </c>
      <c r="D67" s="223">
        <f t="shared" si="17"/>
        <v>55.585920832559047</v>
      </c>
      <c r="E67" s="223">
        <f t="shared" si="17"/>
        <v>38.667121553179435</v>
      </c>
      <c r="F67" s="223">
        <f t="shared" si="17"/>
        <v>53.826584408300583</v>
      </c>
      <c r="G67" s="223">
        <f t="shared" si="17"/>
        <v>56.527196040774108</v>
      </c>
      <c r="H67" s="223">
        <f t="shared" si="17"/>
        <v>81.176145953303305</v>
      </c>
      <c r="I67" s="223">
        <f t="shared" si="17"/>
        <v>116.38954570947845</v>
      </c>
      <c r="J67" s="223">
        <f t="shared" si="17"/>
        <v>135.78317698068588</v>
      </c>
      <c r="K67" s="223">
        <f t="shared" si="17"/>
        <v>130.07665561983956</v>
      </c>
      <c r="L67" s="223">
        <f t="shared" si="17"/>
        <v>166.74930096051216</v>
      </c>
      <c r="M67" s="143"/>
      <c r="N67" s="143"/>
    </row>
    <row r="68" spans="1:14">
      <c r="A68" s="431"/>
      <c r="B68" s="431"/>
      <c r="C68" s="431"/>
      <c r="D68" s="431"/>
      <c r="E68" s="431"/>
      <c r="F68" s="431"/>
      <c r="G68" s="431"/>
      <c r="H68" s="431"/>
      <c r="I68" s="431"/>
      <c r="J68" s="431"/>
      <c r="K68" s="431"/>
      <c r="L68" s="126"/>
      <c r="M68" s="126"/>
      <c r="N68" s="126"/>
    </row>
    <row r="69" spans="1:14">
      <c r="A69" s="149" t="s">
        <v>267</v>
      </c>
      <c r="C69" s="150"/>
      <c r="D69" s="326">
        <f t="shared" ref="D69:L69" si="18">D37+C36</f>
        <v>336.29354000040001</v>
      </c>
      <c r="E69" s="326">
        <f t="shared" si="18"/>
        <v>340.46122673640002</v>
      </c>
      <c r="F69" s="326">
        <f t="shared" si="18"/>
        <v>392.6730834</v>
      </c>
      <c r="G69" s="326">
        <f t="shared" si="18"/>
        <v>675.07332059999999</v>
      </c>
      <c r="H69" s="326">
        <f t="shared" si="18"/>
        <v>1788.0838105260002</v>
      </c>
      <c r="I69" s="326">
        <f t="shared" si="18"/>
        <v>4252.2768852000008</v>
      </c>
      <c r="J69" s="326">
        <f t="shared" si="18"/>
        <v>5756.5650053941108</v>
      </c>
      <c r="K69" s="326">
        <f t="shared" si="18"/>
        <v>5913.1508310346753</v>
      </c>
      <c r="L69" s="326">
        <f t="shared" si="18"/>
        <v>8288.7571035969213</v>
      </c>
      <c r="M69" s="150"/>
      <c r="N69" s="150"/>
    </row>
    <row r="70" spans="1:14">
      <c r="A70" s="134" t="s">
        <v>268</v>
      </c>
      <c r="B70" s="150"/>
      <c r="C70" s="327">
        <f t="shared" ref="C70:L70" si="19">C35-C36</f>
        <v>13.329999999999972</v>
      </c>
      <c r="D70" s="327">
        <f t="shared" si="19"/>
        <v>35.890000000000043</v>
      </c>
      <c r="E70" s="327">
        <f t="shared" si="19"/>
        <v>24.909999999999922</v>
      </c>
      <c r="F70" s="327">
        <f t="shared" si="19"/>
        <v>38.099999999999966</v>
      </c>
      <c r="G70" s="327">
        <f t="shared" si="19"/>
        <v>42.409999999999989</v>
      </c>
      <c r="H70" s="327">
        <f t="shared" si="19"/>
        <v>62.609999999999985</v>
      </c>
      <c r="I70" s="327">
        <f t="shared" si="19"/>
        <v>97.040000000000049</v>
      </c>
      <c r="J70" s="327">
        <f t="shared" si="19"/>
        <v>113.08000000000003</v>
      </c>
      <c r="K70" s="327">
        <f t="shared" si="19"/>
        <v>107.94000000000017</v>
      </c>
      <c r="L70" s="327">
        <f t="shared" si="19"/>
        <v>143.01999999999987</v>
      </c>
      <c r="M70" s="150"/>
      <c r="N70" s="150"/>
    </row>
    <row r="71" spans="1:14">
      <c r="A71" s="213"/>
      <c r="B71" s="213"/>
      <c r="C71" s="213"/>
      <c r="D71" s="213"/>
      <c r="E71" s="213"/>
      <c r="F71" s="213"/>
      <c r="G71" s="213"/>
      <c r="H71" s="213"/>
      <c r="I71" s="213"/>
      <c r="J71" s="213"/>
      <c r="K71" s="213"/>
      <c r="L71" s="126"/>
      <c r="M71" s="126"/>
      <c r="N71" s="126"/>
    </row>
    <row r="72" spans="1:14">
      <c r="A72" s="151" t="s">
        <v>297</v>
      </c>
      <c r="B72" s="167"/>
      <c r="C72" s="167">
        <f>'Screener Input'!B90</f>
        <v>3.0294120000000002</v>
      </c>
      <c r="D72" s="167">
        <f>'Screener Input'!C90</f>
        <v>27.946667000000001</v>
      </c>
      <c r="E72" s="167">
        <f>'Screener Input'!D90</f>
        <v>28.218947</v>
      </c>
      <c r="F72" s="167">
        <f>'Screener Input'!E90</f>
        <v>32.569499999999998</v>
      </c>
      <c r="G72" s="167">
        <f>'Screener Input'!F90</f>
        <v>56.100499999999997</v>
      </c>
      <c r="H72" s="167">
        <f>'Screener Input'!G90</f>
        <v>148.79210499999999</v>
      </c>
      <c r="I72" s="167">
        <f>'Screener Input'!H90</f>
        <v>354.07100000000003</v>
      </c>
      <c r="J72" s="167">
        <f>'Screener Input'!I90</f>
        <v>479.05526300000002</v>
      </c>
      <c r="K72" s="167">
        <f>'Screener Input'!J90</f>
        <v>491.62894699999998</v>
      </c>
      <c r="L72" s="167">
        <f>'Screener Input'!K90</f>
        <v>687.70238099999995</v>
      </c>
      <c r="M72" s="167"/>
      <c r="N72" s="167"/>
    </row>
    <row r="73" spans="1:14">
      <c r="A73" s="151" t="s">
        <v>30</v>
      </c>
      <c r="B73" s="167"/>
      <c r="C73" s="167">
        <f>SUM('Screener Input'!B57:B58)/'Screener Input'!B93</f>
        <v>6.1627170616271698</v>
      </c>
      <c r="D73" s="167">
        <f>SUM('Screener Input'!C57:C58)/'Screener Input'!C93</f>
        <v>9.1599173415991739</v>
      </c>
      <c r="E73" s="167">
        <f>SUM('Screener Input'!D57:D58)/'Screener Input'!D93</f>
        <v>11.217211612172116</v>
      </c>
      <c r="F73" s="167">
        <f>SUM('Screener Input'!E57:E58)/'Screener Input'!E93</f>
        <v>14.367729893677298</v>
      </c>
      <c r="G73" s="167">
        <f>SUM('Screener Input'!F57:F58)/'Screener Input'!F93</f>
        <v>17.868213178682129</v>
      </c>
      <c r="H73" s="167">
        <f>SUM('Screener Input'!G57:G58)/'Screener Input'!G93</f>
        <v>23.044362230443621</v>
      </c>
      <c r="I73" s="167">
        <f>SUM('Screener Input'!H57:H58)/'Screener Input'!H93</f>
        <v>30.648601806486017</v>
      </c>
      <c r="J73" s="167">
        <f>SUM('Screener Input'!I57:I58)/'Screener Input'!I93</f>
        <v>39.985104927786388</v>
      </c>
      <c r="K73" s="167">
        <f>SUM('Screener Input'!J57:J58)/'Screener Input'!J93</f>
        <v>50.476045791963301</v>
      </c>
      <c r="L73" s="167">
        <f>SUM('Screener Input'!K57:K58)/'Screener Input'!K93</f>
        <v>63.247785982673392</v>
      </c>
      <c r="M73" s="167"/>
      <c r="N73" s="167"/>
    </row>
    <row r="74" spans="1:14">
      <c r="A74" s="151" t="s">
        <v>28</v>
      </c>
      <c r="B74" s="152"/>
      <c r="C74" s="152">
        <f>('Screener Input'!B30/'Screener Input'!B93)</f>
        <v>1.1857147618571475</v>
      </c>
      <c r="D74" s="152">
        <f>('Screener Input'!C30/'Screener Input'!C93)</f>
        <v>3.1405192814051923</v>
      </c>
      <c r="E74" s="152">
        <f>('Screener Input'!D30/'Screener Input'!D93)</f>
        <v>2.2256107722561076</v>
      </c>
      <c r="F74" s="152">
        <f>('Screener Input'!E30/'Screener Input'!E93)</f>
        <v>3.3246675332466751</v>
      </c>
      <c r="G74" s="152">
        <f>('Screener Input'!F30/'Screener Input'!F93)</f>
        <v>3.7337932873379329</v>
      </c>
      <c r="H74" s="152">
        <f>('Screener Input'!G30/'Screener Input'!G93)</f>
        <v>5.4694530546945304</v>
      </c>
      <c r="I74" s="152">
        <f>('Screener Input'!H30/'Screener Input'!H93)</f>
        <v>8.5866413358664122</v>
      </c>
      <c r="J74" s="152">
        <f>('Screener Input'!I30/'Screener Input'!I93)</f>
        <v>10.020018377253525</v>
      </c>
      <c r="K74" s="152">
        <f>('Screener Input'!J30/'Screener Input'!J93)</f>
        <v>9.9849954528522158</v>
      </c>
      <c r="L74" s="152">
        <f>('Screener Input'!K30/'Screener Input'!K93)</f>
        <v>13.383062345777386</v>
      </c>
      <c r="M74" s="191">
        <f>SUM('Screener Input'!H49:K49)/'Screener Input'!K93</f>
        <v>14.097623320345498</v>
      </c>
      <c r="N74" s="152">
        <f>SUM('Screener Input'!D49:G49)/'Screener Input'!K93</f>
        <v>9.9972065651203508</v>
      </c>
    </row>
    <row r="75" spans="1:14">
      <c r="A75" s="151" t="s">
        <v>26</v>
      </c>
      <c r="B75" s="152"/>
      <c r="C75" s="152">
        <f>'Screener Input'!B31/'Screener Input'!B93</f>
        <v>7.4992500749925001E-2</v>
      </c>
      <c r="D75" s="152">
        <f>'Screener Input'!C31/'Screener Input'!C93</f>
        <v>0.14998500149985</v>
      </c>
      <c r="E75" s="152">
        <f>'Screener Input'!D31/'Screener Input'!D93</f>
        <v>0.14998500149985</v>
      </c>
      <c r="F75" s="152">
        <f>'Screener Input'!E31/'Screener Input'!E93</f>
        <v>0.14998500149985</v>
      </c>
      <c r="G75" s="152">
        <f>'Screener Input'!F31/'Screener Input'!F93</f>
        <v>0.19998000199980001</v>
      </c>
      <c r="H75" s="152">
        <f>'Screener Input'!G31/'Screener Input'!G93</f>
        <v>0.24997500249975002</v>
      </c>
      <c r="I75" s="152">
        <f>'Screener Input'!H31/'Screener Input'!H93</f>
        <v>0.49995000499950004</v>
      </c>
      <c r="J75" s="152">
        <f>'Screener Input'!I31/'Screener Input'!I93</f>
        <v>0.59980156564869791</v>
      </c>
      <c r="K75" s="152">
        <f>'Screener Input'!J31/'Screener Input'!J93</f>
        <v>0.99974818998545323</v>
      </c>
      <c r="L75" s="152">
        <f>'Screener Input'!K31/'Screener Input'!K93</f>
        <v>1.4997471617388827</v>
      </c>
      <c r="M75" s="152"/>
      <c r="N75" s="152"/>
    </row>
    <row r="76" spans="1:14">
      <c r="A76" s="151" t="s">
        <v>31</v>
      </c>
      <c r="B76" s="152"/>
      <c r="C76" s="152">
        <f>'Screener Input'!B90/('Screener Input'!B30/'Screener Input'!B93)</f>
        <v>2.5549247571609279</v>
      </c>
      <c r="D76" s="152">
        <f>'Screener Input'!C90/('Screener Input'!C30/'Screener Input'!C93)</f>
        <v>8.8987407800583735</v>
      </c>
      <c r="E76" s="152">
        <f>'Screener Input'!D90/('Screener Input'!D30/'Screener Input'!D93)</f>
        <v>12.679192315102959</v>
      </c>
      <c r="F76" s="152">
        <f>'Screener Input'!E90/('Screener Input'!E30/'Screener Input'!E93)</f>
        <v>9.7963178796992487</v>
      </c>
      <c r="G76" s="152">
        <f>'Screener Input'!F90/('Screener Input'!F30/'Screener Input'!F93)</f>
        <v>15.025068524882837</v>
      </c>
      <c r="H76" s="152">
        <f>'Screener Input'!G90/('Screener Input'!G30/'Screener Input'!G93)</f>
        <v>27.204201866636197</v>
      </c>
      <c r="I76" s="152">
        <f>'Screener Input'!H90/('Screener Input'!H30/'Screener Input'!H93)</f>
        <v>41.235098352256195</v>
      </c>
      <c r="J76" s="152">
        <f>'Screener Input'!I90/('Screener Input'!I30/'Screener Input'!I93)</f>
        <v>47.809818801081732</v>
      </c>
      <c r="K76" s="152">
        <f>'Screener Input'!J90/('Screener Input'!J30/'Screener Input'!J93)</f>
        <v>49.236772247058568</v>
      </c>
      <c r="L76" s="152">
        <f>'Screener Input'!K90/('Screener Input'!K30/'Screener Input'!K93)</f>
        <v>51.386025352933018</v>
      </c>
      <c r="M76" s="152"/>
      <c r="N76" s="152"/>
    </row>
    <row r="77" spans="1:14">
      <c r="A77" s="151" t="s">
        <v>269</v>
      </c>
      <c r="B77" s="151"/>
      <c r="C77" s="152"/>
      <c r="D77" s="152">
        <f>D76/(((('Screener Input'!C30/'Screener Input'!C93) - ('Screener Input'!B30/'Screener Input'!B93))/('Screener Input'!B30/'Screener Input'!B93))*100)</f>
        <v>5.3976590494556984E-2</v>
      </c>
      <c r="E77" s="152">
        <f>E76/(((('Screener Input'!D30/'Screener Input'!D93) - ('Screener Input'!C30/'Screener Input'!C93))/('Screener Input'!C30/'Screener Input'!C93))*100)</f>
        <v>-0.43522655587999148</v>
      </c>
      <c r="F77" s="152">
        <f>F76/(((('Screener Input'!E30/'Screener Input'!E93) - ('Screener Input'!D30/'Screener Input'!D93))/('Screener Input'!D30/'Screener Input'!D93))*100)</f>
        <v>0.19837729383378844</v>
      </c>
      <c r="G77" s="152">
        <f>G76/(((('Screener Input'!F30/'Screener Input'!F93) - ('Screener Input'!E30/'Screener Input'!E93))/('Screener Input'!E30/'Screener Input'!E93))*100)</f>
        <v>1.2209780736106408</v>
      </c>
      <c r="H77" s="152">
        <f>H76/(((('Screener Input'!G30/'Screener Input'!G93) - ('Screener Input'!F30/'Screener Input'!F93))/('Screener Input'!F30/'Screener Input'!F93))*100)</f>
        <v>0.58522337284876047</v>
      </c>
      <c r="I77" s="152">
        <f>I76/(((('Screener Input'!H30/'Screener Input'!H93) - ('Screener Input'!G30/'Screener Input'!G93))/('Screener Input'!G30/'Screener Input'!G93))*100)</f>
        <v>0.72351559899548179</v>
      </c>
      <c r="J77" s="152">
        <f>J76/(((('Screener Input'!I30/'Screener Input'!I93) - ('Screener Input'!H30/'Screener Input'!H93))/('Screener Input'!H30/'Screener Input'!H93))*100)</f>
        <v>2.8640459176071089</v>
      </c>
      <c r="K77" s="152">
        <f>K76/(((('Screener Input'!J30/'Screener Input'!J93) - ('Screener Input'!I30/'Screener Input'!I93))/('Screener Input'!I30/'Screener Input'!I93))*100)</f>
        <v>-140.86583892855464</v>
      </c>
      <c r="L77" s="152">
        <f>L76/(((('Screener Input'!K30/'Screener Input'!K93) - ('Screener Input'!J30/'Screener Input'!J93))/('Screener Input'!J30/'Screener Input'!J93))*100)</f>
        <v>1.5099444644760964</v>
      </c>
      <c r="M77" s="152"/>
      <c r="N77" s="152"/>
    </row>
    <row r="78" spans="1:14">
      <c r="A78" s="142" t="s">
        <v>270</v>
      </c>
      <c r="C78" s="153">
        <f t="shared" ref="C78:L78" si="20">C37/C42</f>
        <v>0.49157083956733383</v>
      </c>
      <c r="D78" s="153">
        <f t="shared" si="20"/>
        <v>3.0509737105467116</v>
      </c>
      <c r="E78" s="153">
        <f t="shared" si="20"/>
        <v>2.5156828609151685</v>
      </c>
      <c r="F78" s="153">
        <f t="shared" si="20"/>
        <v>2.266850799744824</v>
      </c>
      <c r="G78" s="153">
        <f t="shared" si="20"/>
        <v>3.1396815920537215</v>
      </c>
      <c r="H78" s="153">
        <f t="shared" si="20"/>
        <v>6.4567681896369686</v>
      </c>
      <c r="I78" s="153">
        <f t="shared" si="20"/>
        <v>11.552598785275409</v>
      </c>
      <c r="J78" s="153">
        <f t="shared" si="20"/>
        <v>11.980842963027857</v>
      </c>
      <c r="K78" s="153">
        <f t="shared" si="20"/>
        <v>9.739846679477342</v>
      </c>
      <c r="L78" s="153">
        <f t="shared" si="20"/>
        <v>10.873145523044787</v>
      </c>
      <c r="M78" s="153"/>
      <c r="N78" s="153"/>
    </row>
    <row r="79" spans="1:14">
      <c r="A79" s="145" t="s">
        <v>271</v>
      </c>
      <c r="B79" s="143"/>
      <c r="C79" s="143">
        <f t="shared" ref="C79:L79" si="21">C37/C62</f>
        <v>0.88566575625822186</v>
      </c>
      <c r="D79" s="143">
        <f t="shared" si="21"/>
        <v>4.6673189535263013</v>
      </c>
      <c r="E79" s="143">
        <f t="shared" si="21"/>
        <v>7.7496848223432488</v>
      </c>
      <c r="F79" s="143">
        <f t="shared" si="21"/>
        <v>5.3757816448906617</v>
      </c>
      <c r="G79" s="143">
        <f t="shared" si="21"/>
        <v>12.465715989631551</v>
      </c>
      <c r="H79" s="143">
        <f t="shared" si="21"/>
        <v>14.299197714013454</v>
      </c>
      <c r="I79" s="143">
        <f t="shared" si="21"/>
        <v>39.535512515816905</v>
      </c>
      <c r="J79" s="143">
        <f t="shared" si="21"/>
        <v>36.069528980706963</v>
      </c>
      <c r="K79" s="143">
        <f t="shared" si="21"/>
        <v>32.774421925830609</v>
      </c>
      <c r="L79" s="143">
        <f t="shared" si="21"/>
        <v>53.658003913108075</v>
      </c>
      <c r="M79" s="143"/>
      <c r="N79" s="143"/>
    </row>
    <row r="80" spans="1:14">
      <c r="A80" s="145" t="s">
        <v>272</v>
      </c>
      <c r="B80" s="143"/>
      <c r="C80" s="143"/>
      <c r="D80" s="143">
        <f t="shared" ref="D80:L80" si="22">D37/D63</f>
        <v>-25.939175560742477</v>
      </c>
      <c r="E80" s="143">
        <f t="shared" si="22"/>
        <v>-18.700233392401973</v>
      </c>
      <c r="F80" s="143">
        <f t="shared" si="22"/>
        <v>14.879066745336871</v>
      </c>
      <c r="G80" s="143">
        <f t="shared" si="22"/>
        <v>-22.939465778534888</v>
      </c>
      <c r="H80" s="143">
        <f t="shared" si="22"/>
        <v>32.994896720731681</v>
      </c>
      <c r="I80" s="143">
        <f t="shared" si="22"/>
        <v>-262.62527102595817</v>
      </c>
      <c r="J80" s="143">
        <f t="shared" si="22"/>
        <v>210.1046768503511</v>
      </c>
      <c r="K80" s="143">
        <f t="shared" si="22"/>
        <v>70.258753640669497</v>
      </c>
      <c r="L80" s="143">
        <f t="shared" si="22"/>
        <v>202.31598884372843</v>
      </c>
      <c r="M80" s="143"/>
      <c r="N80" s="143"/>
    </row>
    <row r="81" spans="1:14">
      <c r="A81" s="145" t="s">
        <v>273</v>
      </c>
      <c r="B81" s="143"/>
      <c r="C81" s="143">
        <f t="shared" ref="C81:L81" si="23">C37/C26</f>
        <v>8.9227358009129745E-2</v>
      </c>
      <c r="D81" s="143">
        <f t="shared" si="23"/>
        <v>0.60573151526169411</v>
      </c>
      <c r="E81" s="143">
        <f t="shared" si="23"/>
        <v>0.50074851286599342</v>
      </c>
      <c r="F81" s="143">
        <f t="shared" si="23"/>
        <v>0.46271406989132746</v>
      </c>
      <c r="G81" s="143">
        <f t="shared" si="23"/>
        <v>0.68629228525121566</v>
      </c>
      <c r="H81" s="143">
        <f t="shared" si="23"/>
        <v>1.5139071915067148</v>
      </c>
      <c r="I81" s="143">
        <f t="shared" si="23"/>
        <v>2.9492073161116594</v>
      </c>
      <c r="J81" s="143">
        <f t="shared" si="23"/>
        <v>3.4482011185429697</v>
      </c>
      <c r="K81" s="143">
        <f t="shared" si="23"/>
        <v>3.6207282169234438</v>
      </c>
      <c r="L81" s="143">
        <f t="shared" si="23"/>
        <v>4.2294764750715004</v>
      </c>
      <c r="M81" s="143"/>
      <c r="N81" s="143"/>
    </row>
    <row r="82" spans="1:14">
      <c r="A82" s="145" t="s">
        <v>274</v>
      </c>
      <c r="B82" s="143"/>
      <c r="C82" s="143">
        <f t="shared" ref="C82:L82" si="24">(C37-C45+C8)/C29</f>
        <v>-1.2932702632624118</v>
      </c>
      <c r="D82" s="143">
        <f t="shared" si="24"/>
        <v>1.9989827040750889</v>
      </c>
      <c r="E82" s="143">
        <f t="shared" si="24"/>
        <v>2.1918412751885121</v>
      </c>
      <c r="F82" s="143">
        <f t="shared" si="24"/>
        <v>2.2750691098047455</v>
      </c>
      <c r="G82" s="143">
        <f t="shared" si="24"/>
        <v>4.0658609486878898</v>
      </c>
      <c r="H82" s="143">
        <f t="shared" si="24"/>
        <v>10.667607383151413</v>
      </c>
      <c r="I82" s="143">
        <f t="shared" si="24"/>
        <v>19.970037236095912</v>
      </c>
      <c r="J82" s="143">
        <f t="shared" si="24"/>
        <v>22.280068680913207</v>
      </c>
      <c r="K82" s="143">
        <f t="shared" si="24"/>
        <v>23.43882230915537</v>
      </c>
      <c r="L82" s="143">
        <f t="shared" si="24"/>
        <v>26.512435503496736</v>
      </c>
      <c r="M82" s="143"/>
      <c r="N82" s="143"/>
    </row>
    <row r="83" spans="1:14">
      <c r="A83" s="140" t="s">
        <v>275</v>
      </c>
      <c r="B83" s="154"/>
      <c r="C83" s="154">
        <f t="shared" ref="C83:L83" si="25">C36/C37</f>
        <v>2.4754804150087541E-2</v>
      </c>
      <c r="D83" s="154">
        <f t="shared" si="25"/>
        <v>5.3668296652280576E-3</v>
      </c>
      <c r="E83" s="154">
        <f t="shared" si="25"/>
        <v>5.3150460043689804E-3</v>
      </c>
      <c r="F83" s="154">
        <f t="shared" si="25"/>
        <v>4.6050753465619685E-3</v>
      </c>
      <c r="G83" s="154">
        <f t="shared" si="25"/>
        <v>3.5646741472856749E-3</v>
      </c>
      <c r="H83" s="154">
        <f t="shared" si="25"/>
        <v>1.6800286715464507E-3</v>
      </c>
      <c r="I83" s="154">
        <f t="shared" si="25"/>
        <v>1.4120049509829947E-3</v>
      </c>
      <c r="J83" s="154">
        <f t="shared" si="25"/>
        <v>1.2520508842602943E-3</v>
      </c>
      <c r="K83" s="154">
        <f t="shared" si="25"/>
        <v>2.0335421583413255E-3</v>
      </c>
      <c r="L83" s="154">
        <f t="shared" si="25"/>
        <v>2.1808084473374577E-3</v>
      </c>
      <c r="M83" s="154"/>
      <c r="N83" s="154"/>
    </row>
    <row r="84" spans="1:14">
      <c r="A84" s="155" t="s">
        <v>276</v>
      </c>
      <c r="B84" s="156"/>
      <c r="C84" s="157">
        <f t="shared" ref="C84:L84" si="26">C37+C8-C45</f>
        <v>-69.293420705599999</v>
      </c>
      <c r="D84" s="157">
        <f t="shared" si="26"/>
        <v>189.54354000040007</v>
      </c>
      <c r="E84" s="157">
        <f t="shared" si="26"/>
        <v>158.71122673639999</v>
      </c>
      <c r="F84" s="157">
        <f t="shared" si="26"/>
        <v>216.72308340000001</v>
      </c>
      <c r="G84" s="157">
        <f t="shared" si="26"/>
        <v>450.86332060000007</v>
      </c>
      <c r="H84" s="157">
        <f t="shared" si="26"/>
        <v>1592.9938105260003</v>
      </c>
      <c r="I84" s="157">
        <f t="shared" si="26"/>
        <v>4014.3768852000007</v>
      </c>
      <c r="J84" s="157">
        <f t="shared" si="26"/>
        <v>5516.5450053941104</v>
      </c>
      <c r="K84" s="157">
        <f t="shared" si="26"/>
        <v>5731.260831034675</v>
      </c>
      <c r="L84" s="157">
        <f t="shared" si="26"/>
        <v>8127.3871035969214</v>
      </c>
      <c r="M84" s="157"/>
      <c r="N84" s="157"/>
    </row>
    <row r="85" spans="1:14">
      <c r="A85" s="431"/>
      <c r="B85" s="431"/>
      <c r="C85" s="431"/>
      <c r="D85" s="431"/>
      <c r="E85" s="431"/>
      <c r="F85" s="431"/>
      <c r="G85" s="431"/>
      <c r="H85" s="431"/>
      <c r="I85" s="431"/>
      <c r="J85" s="431"/>
      <c r="K85" s="431"/>
      <c r="L85" s="126" t="s">
        <v>277</v>
      </c>
      <c r="M85" s="126"/>
      <c r="N85" s="126"/>
    </row>
    <row r="86" spans="1:14">
      <c r="A86" s="140" t="s">
        <v>278</v>
      </c>
      <c r="B86" s="143"/>
      <c r="C86" s="143">
        <f t="shared" ref="C86:K86" si="27">C52/C60</f>
        <v>9.714836062141452E-2</v>
      </c>
      <c r="D86" s="143">
        <f t="shared" si="27"/>
        <v>8.1474882170364402E-2</v>
      </c>
      <c r="E86" s="143">
        <f t="shared" si="27"/>
        <v>0.10675346909353037</v>
      </c>
      <c r="F86" s="143">
        <f t="shared" si="27"/>
        <v>0.11423524522028262</v>
      </c>
      <c r="G86" s="143">
        <f t="shared" si="27"/>
        <v>0.15004620683861208</v>
      </c>
      <c r="H86" s="143">
        <f t="shared" si="27"/>
        <v>0.1272874664104604</v>
      </c>
      <c r="I86" s="143">
        <f t="shared" si="27"/>
        <v>0.1561533776820013</v>
      </c>
      <c r="J86" s="143">
        <f t="shared" si="27"/>
        <v>0.15496375203432455</v>
      </c>
      <c r="K86" s="143">
        <f t="shared" si="27"/>
        <v>0.16546169282788575</v>
      </c>
      <c r="L86" s="140">
        <v>1.2</v>
      </c>
      <c r="M86" s="140"/>
      <c r="N86" s="140"/>
    </row>
    <row r="87" spans="1:14">
      <c r="A87" s="140" t="s">
        <v>279</v>
      </c>
      <c r="B87" s="143"/>
      <c r="C87" s="143">
        <f t="shared" ref="C87:K87" si="28">C70/C60</f>
        <v>5.5818433063941929E-2</v>
      </c>
      <c r="D87" s="143">
        <f t="shared" si="28"/>
        <v>0.1031440395447754</v>
      </c>
      <c r="E87" s="143">
        <f t="shared" si="28"/>
        <v>5.6113714182735447E-2</v>
      </c>
      <c r="F87" s="143">
        <f t="shared" si="28"/>
        <v>7.9177057356608405E-2</v>
      </c>
      <c r="G87" s="143">
        <f t="shared" si="28"/>
        <v>7.1259346383264713E-2</v>
      </c>
      <c r="H87" s="143">
        <f t="shared" si="28"/>
        <v>9.3990662483299028E-2</v>
      </c>
      <c r="I87" s="143">
        <f t="shared" si="28"/>
        <v>0.11365126955869957</v>
      </c>
      <c r="J87" s="143">
        <f t="shared" si="28"/>
        <v>0.11153523696799332</v>
      </c>
      <c r="K87" s="143">
        <f t="shared" si="28"/>
        <v>9.8908651070731671E-2</v>
      </c>
      <c r="L87" s="140">
        <v>1.4</v>
      </c>
      <c r="M87" s="140"/>
      <c r="N87" s="140"/>
    </row>
    <row r="88" spans="1:14">
      <c r="A88" s="140" t="s">
        <v>280</v>
      </c>
      <c r="B88" s="143"/>
      <c r="C88" s="143">
        <f t="shared" ref="C88:K88" si="29">C31/C60</f>
        <v>0.1805200787236714</v>
      </c>
      <c r="D88" s="143">
        <f t="shared" si="29"/>
        <v>0.22807219220600083</v>
      </c>
      <c r="E88" s="143">
        <f t="shared" si="29"/>
        <v>0.11589926112813102</v>
      </c>
      <c r="F88" s="143">
        <f t="shared" si="29"/>
        <v>0.14995843724023269</v>
      </c>
      <c r="G88" s="143">
        <f t="shared" si="29"/>
        <v>0.14347643451230779</v>
      </c>
      <c r="H88" s="143">
        <f t="shared" si="29"/>
        <v>0.17739780523321272</v>
      </c>
      <c r="I88" s="143">
        <f t="shared" si="29"/>
        <v>0.18870045910240799</v>
      </c>
      <c r="J88" s="143">
        <f t="shared" si="29"/>
        <v>0.19774128322730189</v>
      </c>
      <c r="K88" s="143">
        <f t="shared" si="29"/>
        <v>0.17690665347151605</v>
      </c>
      <c r="L88" s="140">
        <v>3.3</v>
      </c>
      <c r="M88" s="140"/>
      <c r="N88" s="140"/>
    </row>
    <row r="89" spans="1:14">
      <c r="A89" s="140" t="s">
        <v>281</v>
      </c>
      <c r="B89" s="143"/>
      <c r="C89" s="143">
        <f t="shared" ref="C89:L89" si="30">C37/C59</f>
        <v>0.22054339881346682</v>
      </c>
      <c r="D89" s="143">
        <f t="shared" si="30"/>
        <v>1.4090389446725207</v>
      </c>
      <c r="E89" s="143">
        <f t="shared" si="30"/>
        <v>1.0949279881551892</v>
      </c>
      <c r="F89" s="143">
        <f t="shared" si="30"/>
        <v>1.2659036933639927</v>
      </c>
      <c r="G89" s="143">
        <f t="shared" si="30"/>
        <v>1.7684676541199338</v>
      </c>
      <c r="H89" s="143">
        <f t="shared" si="30"/>
        <v>4.5837302937238498</v>
      </c>
      <c r="I89" s="143">
        <f t="shared" si="30"/>
        <v>8.7430082819637072</v>
      </c>
      <c r="J89" s="143">
        <f t="shared" si="30"/>
        <v>10.771470592829923</v>
      </c>
      <c r="K89" s="143">
        <f t="shared" si="30"/>
        <v>12.178724854692694</v>
      </c>
      <c r="L89" s="143">
        <f t="shared" si="30"/>
        <v>15.659049310573865</v>
      </c>
      <c r="M89" s="143"/>
      <c r="N89" s="143"/>
    </row>
    <row r="90" spans="1:14">
      <c r="A90" s="140" t="s">
        <v>282</v>
      </c>
      <c r="B90" s="143"/>
      <c r="C90" s="143">
        <f t="shared" ref="C90:K90" si="31">C26/C60</f>
        <v>1.7062099577069636</v>
      </c>
      <c r="D90" s="143">
        <f t="shared" si="31"/>
        <v>1.5912748591792163</v>
      </c>
      <c r="E90" s="143">
        <f t="shared" si="31"/>
        <v>1.5234952243647502</v>
      </c>
      <c r="F90" s="143">
        <f t="shared" si="31"/>
        <v>1.7554862842892769</v>
      </c>
      <c r="G90" s="143">
        <f t="shared" si="31"/>
        <v>1.6483743594051921</v>
      </c>
      <c r="H90" s="143">
        <f t="shared" si="31"/>
        <v>1.7707054178613784</v>
      </c>
      <c r="I90" s="143">
        <f t="shared" si="31"/>
        <v>1.6874590087135761</v>
      </c>
      <c r="J90" s="143">
        <f t="shared" si="31"/>
        <v>1.6449178872614292</v>
      </c>
      <c r="K90" s="143">
        <f t="shared" si="31"/>
        <v>1.4946715415418168</v>
      </c>
      <c r="L90" s="140">
        <v>1</v>
      </c>
      <c r="M90" s="140"/>
      <c r="N90" s="140"/>
    </row>
    <row r="91" spans="1:14">
      <c r="A91" s="142"/>
      <c r="B91" s="143"/>
      <c r="C91" s="143"/>
      <c r="D91" s="143"/>
      <c r="E91" s="143"/>
      <c r="F91" s="143"/>
      <c r="G91" s="143"/>
      <c r="H91" s="143"/>
      <c r="I91" s="143"/>
      <c r="J91" s="143"/>
      <c r="K91" s="143"/>
      <c r="L91" s="143"/>
      <c r="M91" s="143"/>
      <c r="N91" s="143"/>
    </row>
    <row r="92" spans="1:14">
      <c r="A92" s="126" t="s">
        <v>359</v>
      </c>
      <c r="B92" s="126"/>
      <c r="C92" s="224">
        <f>SUM('Screener Output.v0'!C35:C35)/SUM('Screener Output.v0'!C40:C41)</f>
        <v>0.19240129799891798</v>
      </c>
      <c r="D92" s="224">
        <f>SUM('Screener Output.v0'!D35:D35)/SUM('Screener Output.v0'!D40:D41)</f>
        <v>0.34285454380060071</v>
      </c>
      <c r="E92" s="224">
        <f>SUM('Screener Output.v0'!E35:E35)/SUM('Screener Output.v0'!E40:E41)</f>
        <v>0.19841034021690626</v>
      </c>
      <c r="F92" s="224">
        <f>SUM('Screener Output.v0'!F35:F35)/SUM('Screener Output.v0'!F40:F41)</f>
        <v>0.2313982485646347</v>
      </c>
      <c r="G92" s="224">
        <f>SUM('Screener Output.v0'!G35:G35)/SUM('Screener Output.v0'!G40:G41)</f>
        <v>0.2089628800596903</v>
      </c>
      <c r="H92" s="224">
        <f>SUM('Screener Output.v0'!H35:H35)/SUM('Screener Output.v0'!H40:H41)</f>
        <v>0.23723604281168637</v>
      </c>
      <c r="I92" s="224">
        <f>SUM('Screener Output.v0'!I35:I35)/SUM('Screener Output.v0'!I40:I41)</f>
        <v>0.28013702354412501</v>
      </c>
      <c r="J92" s="224">
        <f>SUM('Screener Output.v0'!J35:J35)/SUM('Screener Output.v0'!J40:J41)</f>
        <v>0.25059377474061423</v>
      </c>
      <c r="K92" s="224">
        <f>SUM('Screener Output.v0'!K35:K35)/SUM('Screener Output.v0'!K40:K41)</f>
        <v>0.19781651466926162</v>
      </c>
      <c r="L92" s="224">
        <f>SUM('Screener Output.v0'!L35:L35)/SUM('Screener Output.v0'!L40:L41)</f>
        <v>0.21159732531101785</v>
      </c>
      <c r="M92" s="224"/>
      <c r="N92" s="224"/>
    </row>
    <row r="93" spans="1:14">
      <c r="A93" s="126" t="s">
        <v>557</v>
      </c>
      <c r="B93" s="126"/>
      <c r="C93" s="224">
        <f>C31/(C60-C48)</f>
        <v>0.23642645607107585</v>
      </c>
      <c r="D93" s="224">
        <f t="shared" ref="D93:L93" si="32">D31/(D60-D48)</f>
        <v>0.30901020169768728</v>
      </c>
      <c r="E93" s="224">
        <f t="shared" si="32"/>
        <v>0.16245145401155606</v>
      </c>
      <c r="F93" s="224">
        <f t="shared" si="32"/>
        <v>0.20757702154589641</v>
      </c>
      <c r="G93" s="224">
        <f t="shared" si="32"/>
        <v>0.19414760583875221</v>
      </c>
      <c r="H93" s="224">
        <f t="shared" si="32"/>
        <v>0.24882609336505862</v>
      </c>
      <c r="I93" s="224">
        <f t="shared" si="32"/>
        <v>0.26534477363679787</v>
      </c>
      <c r="J93" s="224">
        <f t="shared" si="32"/>
        <v>0.2798553819953376</v>
      </c>
      <c r="K93" s="224">
        <f t="shared" si="32"/>
        <v>0.24602719475984783</v>
      </c>
      <c r="L93" s="224">
        <f t="shared" si="32"/>
        <v>0.27576894059503365</v>
      </c>
      <c r="M93" s="224">
        <f>M31/(L60-L48)</f>
        <v>0.29007074362815316</v>
      </c>
      <c r="N93" s="224"/>
    </row>
    <row r="94" spans="1:14">
      <c r="A94" s="228" t="s">
        <v>473</v>
      </c>
      <c r="B94" s="126"/>
      <c r="C94" s="246">
        <f>C4</f>
        <v>39873</v>
      </c>
      <c r="D94" s="246">
        <f t="shared" ref="D94:L94" si="33">D4</f>
        <v>40238</v>
      </c>
      <c r="E94" s="246">
        <f t="shared" si="33"/>
        <v>40603</v>
      </c>
      <c r="F94" s="246">
        <f t="shared" si="33"/>
        <v>40969</v>
      </c>
      <c r="G94" s="246">
        <f t="shared" si="33"/>
        <v>41334</v>
      </c>
      <c r="H94" s="246">
        <f t="shared" si="33"/>
        <v>41699</v>
      </c>
      <c r="I94" s="246">
        <f t="shared" si="33"/>
        <v>42064</v>
      </c>
      <c r="J94" s="246">
        <f t="shared" si="33"/>
        <v>42430</v>
      </c>
      <c r="K94" s="246">
        <f t="shared" si="33"/>
        <v>42795</v>
      </c>
      <c r="L94" s="246">
        <f t="shared" si="33"/>
        <v>43160</v>
      </c>
      <c r="M94" s="224"/>
      <c r="N94" s="224"/>
    </row>
    <row r="95" spans="1:14">
      <c r="A95" s="126" t="s">
        <v>471</v>
      </c>
      <c r="B95" s="126"/>
      <c r="C95" s="224">
        <f>(C26-C7)/C26</f>
        <v>0.9515780690129092</v>
      </c>
      <c r="D95" s="224">
        <f t="shared" ref="D95:L95" si="34">(D26-D7)/D26</f>
        <v>0.96232616940581539</v>
      </c>
      <c r="E95" s="224">
        <f t="shared" si="34"/>
        <v>0.96563705992813942</v>
      </c>
      <c r="F95" s="224">
        <f t="shared" si="34"/>
        <v>0.97282003930203376</v>
      </c>
      <c r="G95" s="224">
        <f t="shared" si="34"/>
        <v>0.96334464797202934</v>
      </c>
      <c r="H95" s="224">
        <f t="shared" si="34"/>
        <v>0.94216291372761796</v>
      </c>
      <c r="I95" s="224">
        <f t="shared" si="34"/>
        <v>0.94303243986063501</v>
      </c>
      <c r="J95" s="224">
        <f t="shared" si="34"/>
        <v>0.93482640762727109</v>
      </c>
      <c r="K95" s="224">
        <f t="shared" si="34"/>
        <v>0.92448272691046196</v>
      </c>
      <c r="L95" s="224">
        <f t="shared" si="34"/>
        <v>0.90170778570406562</v>
      </c>
      <c r="M95" s="224"/>
      <c r="N95" s="224"/>
    </row>
    <row r="96" spans="1:14">
      <c r="A96" s="126" t="s">
        <v>472</v>
      </c>
      <c r="B96" s="126"/>
      <c r="C96" s="224">
        <f>1-C95</f>
        <v>4.84219309870908E-2</v>
      </c>
      <c r="D96" s="224">
        <f t="shared" ref="D96:L96" si="35">1-D95</f>
        <v>3.767383059418461E-2</v>
      </c>
      <c r="E96" s="224">
        <f t="shared" si="35"/>
        <v>3.4362940071860582E-2</v>
      </c>
      <c r="F96" s="224">
        <f t="shared" si="35"/>
        <v>2.7179960697966243E-2</v>
      </c>
      <c r="G96" s="224">
        <f t="shared" si="35"/>
        <v>3.6655352027970656E-2</v>
      </c>
      <c r="H96" s="224">
        <f t="shared" si="35"/>
        <v>5.7837086272382043E-2</v>
      </c>
      <c r="I96" s="224">
        <f t="shared" si="35"/>
        <v>5.6967560139364992E-2</v>
      </c>
      <c r="J96" s="224">
        <f t="shared" si="35"/>
        <v>6.5173592372728906E-2</v>
      </c>
      <c r="K96" s="224">
        <f t="shared" si="35"/>
        <v>7.551727308953804E-2</v>
      </c>
      <c r="L96" s="224">
        <f t="shared" si="35"/>
        <v>9.8292214295934377E-2</v>
      </c>
      <c r="M96" s="224"/>
      <c r="N96" s="224"/>
    </row>
    <row r="97" spans="1:14">
      <c r="A97" s="126"/>
      <c r="B97" s="126"/>
      <c r="C97" s="224"/>
      <c r="D97" s="224"/>
      <c r="E97" s="224"/>
      <c r="F97" s="224"/>
      <c r="G97" s="224"/>
      <c r="H97" s="224"/>
      <c r="I97" s="224"/>
      <c r="J97" s="224"/>
      <c r="K97" s="224"/>
      <c r="L97" s="224"/>
      <c r="M97" s="224"/>
      <c r="N97" s="224"/>
    </row>
    <row r="98" spans="1:14">
      <c r="A98" s="126"/>
      <c r="B98" s="126"/>
      <c r="C98" s="224"/>
      <c r="D98" s="224"/>
      <c r="E98" s="224"/>
      <c r="F98" s="224"/>
      <c r="G98" s="224"/>
      <c r="H98" s="224"/>
      <c r="I98" s="224"/>
      <c r="J98" s="224"/>
      <c r="K98" s="224"/>
      <c r="L98" s="224"/>
      <c r="M98" s="224"/>
      <c r="N98" s="224"/>
    </row>
    <row r="99" spans="1:14">
      <c r="A99" s="228" t="s">
        <v>467</v>
      </c>
      <c r="B99" s="126"/>
      <c r="C99" s="246">
        <f t="shared" ref="C99:L99" si="36">C4</f>
        <v>39873</v>
      </c>
      <c r="D99" s="246">
        <f t="shared" si="36"/>
        <v>40238</v>
      </c>
      <c r="E99" s="246">
        <f t="shared" si="36"/>
        <v>40603</v>
      </c>
      <c r="F99" s="246">
        <f t="shared" si="36"/>
        <v>40969</v>
      </c>
      <c r="G99" s="246">
        <f t="shared" si="36"/>
        <v>41334</v>
      </c>
      <c r="H99" s="246">
        <f t="shared" si="36"/>
        <v>41699</v>
      </c>
      <c r="I99" s="246">
        <f t="shared" si="36"/>
        <v>42064</v>
      </c>
      <c r="J99" s="246">
        <f t="shared" si="36"/>
        <v>42430</v>
      </c>
      <c r="K99" s="246">
        <f t="shared" si="36"/>
        <v>42795</v>
      </c>
      <c r="L99" s="246">
        <f t="shared" si="36"/>
        <v>43160</v>
      </c>
      <c r="M99" s="224"/>
      <c r="N99" s="224"/>
    </row>
    <row r="100" spans="1:14">
      <c r="A100" s="126" t="s">
        <v>252</v>
      </c>
      <c r="B100" s="126"/>
      <c r="C100" s="224">
        <f t="shared" ref="C100:L100" si="37">C42/(C10+C42+C45)</f>
        <v>0.30970227377413001</v>
      </c>
      <c r="D100" s="224">
        <f t="shared" si="37"/>
        <v>0.3159271180595471</v>
      </c>
      <c r="E100" s="224">
        <f t="shared" si="37"/>
        <v>0.30325283834925215</v>
      </c>
      <c r="F100" s="224">
        <f t="shared" si="37"/>
        <v>0.35833333333333334</v>
      </c>
      <c r="G100" s="224">
        <f t="shared" si="37"/>
        <v>0.3603125262538856</v>
      </c>
      <c r="H100" s="224">
        <f t="shared" si="37"/>
        <v>0.41517421524327086</v>
      </c>
      <c r="I100" s="224">
        <f t="shared" si="37"/>
        <v>0.43078328492457602</v>
      </c>
      <c r="J100" s="224">
        <f t="shared" si="37"/>
        <v>0.47342309020072004</v>
      </c>
      <c r="K100" s="224">
        <f t="shared" si="37"/>
        <v>0.55563497081489222</v>
      </c>
      <c r="L100" s="224">
        <f t="shared" si="37"/>
        <v>0.59019049908123145</v>
      </c>
      <c r="M100" s="224"/>
      <c r="N100" s="224"/>
    </row>
    <row r="101" spans="1:14">
      <c r="A101" s="126" t="s">
        <v>463</v>
      </c>
      <c r="B101" s="126"/>
      <c r="C101" s="224">
        <f t="shared" ref="C101:L101" si="38">C10/(C10+C42+C45)</f>
        <v>0.23646413466772748</v>
      </c>
      <c r="D101" s="224">
        <f t="shared" si="38"/>
        <v>0.26192665823657896</v>
      </c>
      <c r="E101" s="224">
        <f t="shared" si="38"/>
        <v>0.28656064155703731</v>
      </c>
      <c r="F101" s="224">
        <f t="shared" si="38"/>
        <v>0.27757689110556938</v>
      </c>
      <c r="G101" s="224">
        <f t="shared" si="38"/>
        <v>0.26099302696799132</v>
      </c>
      <c r="H101" s="224">
        <f t="shared" si="38"/>
        <v>0.28706108417275905</v>
      </c>
      <c r="I101" s="224">
        <f t="shared" si="38"/>
        <v>0.28884802773353319</v>
      </c>
      <c r="J101" s="224">
        <f t="shared" si="38"/>
        <v>0.29341618582630569</v>
      </c>
      <c r="K101" s="224">
        <f t="shared" si="38"/>
        <v>0.2809467520686148</v>
      </c>
      <c r="L101" s="224">
        <f t="shared" si="38"/>
        <v>0.29090457988633633</v>
      </c>
      <c r="M101" s="224"/>
      <c r="N101" s="224"/>
    </row>
    <row r="102" spans="1:14">
      <c r="A102" s="126" t="s">
        <v>464</v>
      </c>
      <c r="B102" s="126"/>
      <c r="C102" s="224">
        <f t="shared" ref="C102:L102" si="39">C45/(C10+C42+C45)</f>
        <v>0.45383359155814246</v>
      </c>
      <c r="D102" s="224">
        <f t="shared" si="39"/>
        <v>0.422146223703874</v>
      </c>
      <c r="E102" s="224">
        <f t="shared" si="39"/>
        <v>0.41018652009371065</v>
      </c>
      <c r="F102" s="224">
        <f t="shared" si="39"/>
        <v>0.36408977556109723</v>
      </c>
      <c r="G102" s="224">
        <f t="shared" si="39"/>
        <v>0.37869444677812319</v>
      </c>
      <c r="H102" s="224">
        <f t="shared" si="39"/>
        <v>0.29776470058397009</v>
      </c>
      <c r="I102" s="224">
        <f t="shared" si="39"/>
        <v>0.28036868734189074</v>
      </c>
      <c r="J102" s="224">
        <f t="shared" si="39"/>
        <v>0.2331607239729743</v>
      </c>
      <c r="K102" s="224">
        <f t="shared" si="39"/>
        <v>0.16341827711649304</v>
      </c>
      <c r="L102" s="224">
        <f t="shared" si="39"/>
        <v>0.11890492103243215</v>
      </c>
      <c r="M102" s="224"/>
      <c r="N102" s="224"/>
    </row>
    <row r="103" spans="1:14">
      <c r="A103" s="126"/>
      <c r="B103" s="126"/>
      <c r="C103" s="224"/>
      <c r="D103" s="224"/>
      <c r="E103" s="224"/>
      <c r="F103" s="224"/>
      <c r="G103" s="224"/>
      <c r="H103" s="224"/>
      <c r="I103" s="224"/>
      <c r="J103" s="224"/>
      <c r="K103" s="224"/>
      <c r="L103" s="224"/>
      <c r="M103" s="224"/>
      <c r="N103" s="224"/>
    </row>
    <row r="104" spans="1:14">
      <c r="A104" s="126"/>
      <c r="B104" s="126"/>
      <c r="C104" s="224"/>
      <c r="D104" s="224"/>
      <c r="E104" s="224"/>
      <c r="F104" s="224"/>
      <c r="G104" s="224"/>
      <c r="H104" s="224"/>
      <c r="I104" s="224"/>
      <c r="J104" s="224"/>
      <c r="K104" s="224"/>
      <c r="L104" s="224"/>
      <c r="M104" s="224"/>
      <c r="N104" s="224"/>
    </row>
    <row r="105" spans="1:14">
      <c r="A105" s="126"/>
      <c r="B105" s="126"/>
      <c r="C105" s="246"/>
      <c r="D105" s="246">
        <f t="shared" ref="D105:L105" si="40">D4</f>
        <v>40238</v>
      </c>
      <c r="E105" s="246">
        <f t="shared" si="40"/>
        <v>40603</v>
      </c>
      <c r="F105" s="246">
        <f t="shared" si="40"/>
        <v>40969</v>
      </c>
      <c r="G105" s="246">
        <f t="shared" si="40"/>
        <v>41334</v>
      </c>
      <c r="H105" s="246">
        <f t="shared" si="40"/>
        <v>41699</v>
      </c>
      <c r="I105" s="246">
        <f t="shared" si="40"/>
        <v>42064</v>
      </c>
      <c r="J105" s="246">
        <f t="shared" si="40"/>
        <v>42430</v>
      </c>
      <c r="K105" s="246">
        <f t="shared" si="40"/>
        <v>42795</v>
      </c>
      <c r="L105" s="246">
        <f t="shared" si="40"/>
        <v>43160</v>
      </c>
      <c r="M105" s="224"/>
      <c r="N105" s="224"/>
    </row>
    <row r="106" spans="1:14">
      <c r="A106" s="274" t="s">
        <v>442</v>
      </c>
      <c r="B106" s="126"/>
      <c r="C106" s="224"/>
      <c r="D106" s="249">
        <f t="shared" ref="D106:L106" si="41">D11-C11</f>
        <v>5.1499999999999915</v>
      </c>
      <c r="E106" s="249">
        <f t="shared" si="41"/>
        <v>19.040000000000006</v>
      </c>
      <c r="F106" s="249">
        <f t="shared" si="41"/>
        <v>7.5799999999999983</v>
      </c>
      <c r="G106" s="249">
        <f t="shared" si="41"/>
        <v>34.329999999999984</v>
      </c>
      <c r="H106" s="249">
        <f t="shared" si="41"/>
        <v>-4.5099999999999909</v>
      </c>
      <c r="I106" s="249">
        <f t="shared" si="41"/>
        <v>48.539999999999992</v>
      </c>
      <c r="J106" s="249">
        <f t="shared" si="41"/>
        <v>23.779999999999973</v>
      </c>
      <c r="K106" s="249">
        <f t="shared" si="41"/>
        <v>23.460000000000036</v>
      </c>
      <c r="L106" s="249">
        <f t="shared" si="41"/>
        <v>70.860000000000014</v>
      </c>
      <c r="M106" s="224"/>
      <c r="N106" s="224"/>
    </row>
    <row r="107" spans="1:14">
      <c r="A107" s="274" t="s">
        <v>360</v>
      </c>
      <c r="B107" s="126"/>
      <c r="C107" s="224"/>
      <c r="D107" s="249">
        <f t="shared" ref="D107:L107" si="42">C35</f>
        <v>14.229999999999972</v>
      </c>
      <c r="E107" s="249">
        <f t="shared" si="42"/>
        <v>37.69000000000004</v>
      </c>
      <c r="F107" s="249">
        <f t="shared" si="42"/>
        <v>26.709999999999923</v>
      </c>
      <c r="G107" s="249">
        <f t="shared" si="42"/>
        <v>39.899999999999963</v>
      </c>
      <c r="H107" s="249">
        <f t="shared" si="42"/>
        <v>44.809999999999988</v>
      </c>
      <c r="I107" s="249">
        <f t="shared" si="42"/>
        <v>65.609999999999985</v>
      </c>
      <c r="J107" s="249">
        <f t="shared" si="42"/>
        <v>103.04000000000005</v>
      </c>
      <c r="K107" s="249">
        <f t="shared" si="42"/>
        <v>120.28000000000003</v>
      </c>
      <c r="L107" s="249">
        <f t="shared" si="42"/>
        <v>119.95000000000017</v>
      </c>
      <c r="M107" s="224"/>
      <c r="N107" s="224"/>
    </row>
    <row r="108" spans="1:14">
      <c r="B108" s="126"/>
      <c r="C108" s="224"/>
      <c r="E108" s="249"/>
      <c r="F108" s="249"/>
      <c r="G108" s="249"/>
      <c r="H108" s="249"/>
      <c r="I108" s="249"/>
      <c r="J108" s="249"/>
      <c r="K108" s="249"/>
      <c r="L108" s="249"/>
      <c r="M108" s="224"/>
      <c r="N108" s="224"/>
    </row>
    <row r="109" spans="1:14">
      <c r="A109" s="274"/>
      <c r="B109" s="126"/>
      <c r="C109" s="224"/>
      <c r="D109" s="249"/>
      <c r="E109" s="249"/>
      <c r="F109" s="249"/>
      <c r="G109" s="249"/>
      <c r="H109" s="249"/>
      <c r="I109" s="249"/>
      <c r="J109" s="249"/>
      <c r="K109" s="249"/>
      <c r="L109" s="249"/>
      <c r="M109" s="224"/>
      <c r="N109" s="224"/>
    </row>
    <row r="110" spans="1:14">
      <c r="A110" s="126"/>
      <c r="B110" s="126"/>
      <c r="C110" s="224"/>
      <c r="D110" s="224"/>
      <c r="E110" s="224"/>
      <c r="F110" s="224"/>
      <c r="G110" s="224"/>
      <c r="H110" s="224"/>
      <c r="I110" s="224"/>
      <c r="J110" s="224"/>
      <c r="K110" s="224"/>
      <c r="L110" s="224"/>
      <c r="M110" s="224"/>
      <c r="N110" s="224"/>
    </row>
    <row r="111" spans="1:14">
      <c r="A111" s="126"/>
      <c r="B111" s="126"/>
      <c r="C111" s="246">
        <f t="shared" ref="C111:L111" si="43">C4</f>
        <v>39873</v>
      </c>
      <c r="D111" s="246">
        <f t="shared" si="43"/>
        <v>40238</v>
      </c>
      <c r="E111" s="246">
        <f t="shared" si="43"/>
        <v>40603</v>
      </c>
      <c r="F111" s="246">
        <f t="shared" si="43"/>
        <v>40969</v>
      </c>
      <c r="G111" s="246">
        <f t="shared" si="43"/>
        <v>41334</v>
      </c>
      <c r="H111" s="246">
        <f t="shared" si="43"/>
        <v>41699</v>
      </c>
      <c r="I111" s="246">
        <f t="shared" si="43"/>
        <v>42064</v>
      </c>
      <c r="J111" s="246">
        <f t="shared" si="43"/>
        <v>42430</v>
      </c>
      <c r="K111" s="246">
        <f t="shared" si="43"/>
        <v>42795</v>
      </c>
      <c r="L111" s="246">
        <f t="shared" si="43"/>
        <v>43160</v>
      </c>
      <c r="M111" s="224"/>
      <c r="N111" s="224"/>
    </row>
    <row r="112" spans="1:14">
      <c r="A112" s="126" t="s">
        <v>436</v>
      </c>
      <c r="B112" s="126"/>
      <c r="C112" s="249">
        <f t="shared" ref="C112:L112" si="44">(C7/C26)*365</f>
        <v>17.674004810288128</v>
      </c>
      <c r="D112" s="249">
        <f t="shared" si="44"/>
        <v>13.75094816687737</v>
      </c>
      <c r="E112" s="249">
        <f t="shared" si="44"/>
        <v>12.542473126229098</v>
      </c>
      <c r="F112" s="249">
        <f t="shared" si="44"/>
        <v>9.9206856547576781</v>
      </c>
      <c r="G112" s="249">
        <f t="shared" si="44"/>
        <v>13.379203490209271</v>
      </c>
      <c r="H112" s="249">
        <f t="shared" si="44"/>
        <v>21.110536489419424</v>
      </c>
      <c r="I112" s="249">
        <f t="shared" si="44"/>
        <v>20.793159450868256</v>
      </c>
      <c r="J112" s="249">
        <f t="shared" si="44"/>
        <v>23.788361216046052</v>
      </c>
      <c r="K112" s="249">
        <f t="shared" si="44"/>
        <v>27.563804677681389</v>
      </c>
      <c r="L112" s="249">
        <f t="shared" si="44"/>
        <v>35.876658218016061</v>
      </c>
      <c r="M112" s="224"/>
      <c r="N112" s="224"/>
    </row>
    <row r="113" spans="1:14">
      <c r="A113" s="126" t="s">
        <v>437</v>
      </c>
      <c r="B113" s="126"/>
      <c r="C113" s="264">
        <f>C27/C54</f>
        <v>5.597337352424014</v>
      </c>
      <c r="D113" s="264">
        <f t="shared" ref="D113:L113" si="45">D27/AVERAGE(C54:D54)</f>
        <v>5.6627091707955506</v>
      </c>
      <c r="E113" s="264">
        <f t="shared" si="45"/>
        <v>4.4949115646258511</v>
      </c>
      <c r="F113" s="264">
        <f t="shared" si="45"/>
        <v>3.8168019911053084</v>
      </c>
      <c r="G113" s="264">
        <f t="shared" si="45"/>
        <v>3.4935055914426614</v>
      </c>
      <c r="H113" s="264">
        <f t="shared" si="45"/>
        <v>3.3682908731140246</v>
      </c>
      <c r="I113" s="264">
        <f t="shared" si="45"/>
        <v>3.0540854899680139</v>
      </c>
      <c r="J113" s="264">
        <f t="shared" si="45"/>
        <v>2.7753872633390708</v>
      </c>
      <c r="K113" s="264">
        <f t="shared" si="45"/>
        <v>2.5021091919104244</v>
      </c>
      <c r="L113" s="264">
        <f t="shared" si="45"/>
        <v>2.9682854967391665</v>
      </c>
      <c r="M113" s="224"/>
      <c r="N113" s="224"/>
    </row>
    <row r="114" spans="1:14">
      <c r="A114" s="274" t="s">
        <v>220</v>
      </c>
      <c r="B114" s="126"/>
      <c r="C114" s="224">
        <f>C6/C26</f>
        <v>9.7702841996760423E-2</v>
      </c>
      <c r="D114" s="224">
        <f t="shared" ref="D114:L114" si="46">D6/D26</f>
        <v>0.12129311901751849</v>
      </c>
      <c r="E114" s="224">
        <f t="shared" si="46"/>
        <v>0.17239135899217817</v>
      </c>
      <c r="F114" s="224">
        <f t="shared" si="46"/>
        <v>0.15211781139758979</v>
      </c>
      <c r="G114" s="224">
        <f t="shared" si="46"/>
        <v>0.16252306249554041</v>
      </c>
      <c r="H114" s="224">
        <f t="shared" si="46"/>
        <v>0.13903960933260986</v>
      </c>
      <c r="I114" s="224">
        <f t="shared" si="46"/>
        <v>0.17259616051970406</v>
      </c>
      <c r="J114" s="224">
        <f t="shared" si="46"/>
        <v>0.17139773340528869</v>
      </c>
      <c r="K114" s="224">
        <f t="shared" si="46"/>
        <v>0.17791742022499463</v>
      </c>
      <c r="L114" s="224">
        <f t="shared" si="46"/>
        <v>0.1604204566359381</v>
      </c>
      <c r="M114" s="224"/>
      <c r="N114" s="224"/>
    </row>
    <row r="115" spans="1:14">
      <c r="A115" s="126"/>
      <c r="B115" s="126"/>
      <c r="C115" s="224"/>
      <c r="D115" s="224"/>
      <c r="E115" s="224"/>
      <c r="F115" s="224"/>
      <c r="G115" s="224"/>
      <c r="H115" s="224"/>
      <c r="I115" s="224"/>
      <c r="J115" s="224"/>
      <c r="K115" s="224"/>
      <c r="L115" s="224"/>
      <c r="M115" s="224"/>
      <c r="N115" s="224"/>
    </row>
    <row r="116" spans="1:14">
      <c r="A116" s="126"/>
      <c r="B116" s="126"/>
      <c r="C116" s="246">
        <f t="shared" ref="C116:L116" si="47">C4</f>
        <v>39873</v>
      </c>
      <c r="D116" s="246">
        <f t="shared" si="47"/>
        <v>40238</v>
      </c>
      <c r="E116" s="246">
        <f t="shared" si="47"/>
        <v>40603</v>
      </c>
      <c r="F116" s="246">
        <f t="shared" si="47"/>
        <v>40969</v>
      </c>
      <c r="G116" s="246">
        <f t="shared" si="47"/>
        <v>41334</v>
      </c>
      <c r="H116" s="246">
        <f t="shared" si="47"/>
        <v>41699</v>
      </c>
      <c r="I116" s="246">
        <f t="shared" si="47"/>
        <v>42064</v>
      </c>
      <c r="J116" s="246">
        <f t="shared" si="47"/>
        <v>42430</v>
      </c>
      <c r="K116" s="246">
        <f t="shared" si="47"/>
        <v>42795</v>
      </c>
      <c r="L116" s="246">
        <f t="shared" si="47"/>
        <v>43160</v>
      </c>
      <c r="M116" s="224"/>
      <c r="N116" s="224"/>
    </row>
    <row r="117" spans="1:14">
      <c r="A117" s="126" t="s">
        <v>328</v>
      </c>
      <c r="B117" s="126"/>
      <c r="C117" s="264">
        <f t="shared" ref="C117:L117" si="48">C45/C35</f>
        <v>7.616303583977527</v>
      </c>
      <c r="D117" s="264">
        <f t="shared" si="48"/>
        <v>3.8973202440965728</v>
      </c>
      <c r="E117" s="264">
        <f t="shared" si="48"/>
        <v>6.8172968925496269</v>
      </c>
      <c r="F117" s="264">
        <f t="shared" si="48"/>
        <v>4.3909774436090263</v>
      </c>
      <c r="G117" s="264">
        <f t="shared" si="48"/>
        <v>5.0296808748047326</v>
      </c>
      <c r="H117" s="264">
        <f t="shared" si="48"/>
        <v>3.0231672001219332</v>
      </c>
      <c r="I117" s="264">
        <f t="shared" si="48"/>
        <v>2.323272515527949</v>
      </c>
      <c r="J117" s="264">
        <f t="shared" si="48"/>
        <v>1.9653308945793144</v>
      </c>
      <c r="K117" s="264">
        <f t="shared" si="48"/>
        <v>1.486786160900373</v>
      </c>
      <c r="L117" s="264">
        <f t="shared" si="48"/>
        <v>0.9521326131495631</v>
      </c>
      <c r="M117" s="224"/>
      <c r="N117" s="224"/>
    </row>
    <row r="118" spans="1:14">
      <c r="A118" s="126" t="s">
        <v>209</v>
      </c>
      <c r="B118" s="126"/>
      <c r="C118" s="264">
        <f t="shared" ref="C118:L118" si="49">C62/C35</f>
        <v>2.8847505270555218</v>
      </c>
      <c r="D118" s="264">
        <f t="shared" si="49"/>
        <v>1.9066065269302181</v>
      </c>
      <c r="E118" s="264">
        <f t="shared" si="49"/>
        <v>1.6360913515537301</v>
      </c>
      <c r="F118" s="264">
        <f t="shared" si="49"/>
        <v>1.8223057644110292</v>
      </c>
      <c r="G118" s="264">
        <f t="shared" si="49"/>
        <v>1.2053113144387417</v>
      </c>
      <c r="H118" s="264">
        <f t="shared" si="49"/>
        <v>1.9033683889650972</v>
      </c>
      <c r="I118" s="264">
        <f t="shared" si="49"/>
        <v>1.0430900621118009</v>
      </c>
      <c r="J118" s="264">
        <f t="shared" si="49"/>
        <v>1.3254905221150646</v>
      </c>
      <c r="K118" s="264">
        <f t="shared" si="49"/>
        <v>1.5022926219258002</v>
      </c>
      <c r="L118" s="264">
        <f t="shared" si="49"/>
        <v>0.95765816104799228</v>
      </c>
      <c r="M118" s="224"/>
      <c r="N118" s="224"/>
    </row>
    <row r="119" spans="1:14">
      <c r="A119" s="126" t="s">
        <v>426</v>
      </c>
      <c r="B119" s="126"/>
      <c r="C119" s="224">
        <f t="shared" ref="C119:L119" si="50">C35/C11</f>
        <v>0.61336206896551593</v>
      </c>
      <c r="D119" s="224">
        <f t="shared" si="50"/>
        <v>1.3294532627865978</v>
      </c>
      <c r="E119" s="224">
        <f t="shared" si="50"/>
        <v>0.56362101709221191</v>
      </c>
      <c r="F119" s="224">
        <f t="shared" si="50"/>
        <v>0.72585046388939356</v>
      </c>
      <c r="G119" s="224">
        <f t="shared" si="50"/>
        <v>0.50179171332586781</v>
      </c>
      <c r="H119" s="224">
        <f t="shared" si="50"/>
        <v>0.77379407949050583</v>
      </c>
      <c r="I119" s="224">
        <f t="shared" si="50"/>
        <v>0.7728193204830125</v>
      </c>
      <c r="J119" s="224">
        <f t="shared" si="50"/>
        <v>0.76557825727197548</v>
      </c>
      <c r="K119" s="224">
        <f t="shared" si="50"/>
        <v>0.66428531871296548</v>
      </c>
      <c r="L119" s="224">
        <f t="shared" si="50"/>
        <v>0.6406156783200091</v>
      </c>
      <c r="M119" s="224"/>
      <c r="N119" s="224"/>
    </row>
    <row r="120" spans="1:14">
      <c r="A120" s="126" t="s">
        <v>427</v>
      </c>
      <c r="B120" s="126"/>
      <c r="C120" s="259">
        <f>C26/C50</f>
        <v>2.9006905389051041</v>
      </c>
      <c r="D120" s="259">
        <f t="shared" ref="D120:L120" si="51">D26/AVERAGE(C50:D50)</f>
        <v>3.0574268360022092</v>
      </c>
      <c r="E120" s="259">
        <f t="shared" si="51"/>
        <v>2.7595479027256404</v>
      </c>
      <c r="F120" s="259">
        <f t="shared" si="51"/>
        <v>3.129999814735906</v>
      </c>
      <c r="G120" s="259">
        <f t="shared" si="51"/>
        <v>3.280707621308899</v>
      </c>
      <c r="H120" s="259">
        <f t="shared" si="51"/>
        <v>3.4062608293866239</v>
      </c>
      <c r="I120" s="259">
        <f t="shared" si="51"/>
        <v>3.4405587726105904</v>
      </c>
      <c r="J120" s="259">
        <f t="shared" si="51"/>
        <v>3.3279454022988508</v>
      </c>
      <c r="K120" s="259">
        <f t="shared" si="51"/>
        <v>3.0444682935933929</v>
      </c>
      <c r="L120" s="259">
        <f t="shared" si="51"/>
        <v>3.6719330506248355</v>
      </c>
      <c r="M120" s="224"/>
      <c r="N120" s="224"/>
    </row>
    <row r="121" spans="1:14">
      <c r="A121" s="126" t="s">
        <v>443</v>
      </c>
      <c r="B121" s="126"/>
      <c r="C121" s="259">
        <f t="shared" ref="C121:L121" si="52">C10/C9</f>
        <v>0.70879879502949661</v>
      </c>
      <c r="D121" s="259">
        <f t="shared" si="52"/>
        <v>0.76274165202108968</v>
      </c>
      <c r="E121" s="259">
        <f t="shared" si="52"/>
        <v>0.72857961053837339</v>
      </c>
      <c r="F121" s="259">
        <f t="shared" si="52"/>
        <v>0.7084438315476822</v>
      </c>
      <c r="G121" s="259">
        <f t="shared" si="52"/>
        <v>0.63495891754895151</v>
      </c>
      <c r="H121" s="259">
        <f t="shared" si="52"/>
        <v>0.6928009854715409</v>
      </c>
      <c r="I121" s="259">
        <f t="shared" si="52"/>
        <v>0.64909464154121488</v>
      </c>
      <c r="J121" s="259">
        <f t="shared" si="52"/>
        <v>0.65439186959677964</v>
      </c>
      <c r="K121" s="259">
        <f t="shared" si="52"/>
        <v>0.62934909785085291</v>
      </c>
      <c r="L121" s="259">
        <f t="shared" si="52"/>
        <v>0.59875843799371242</v>
      </c>
      <c r="M121" s="224"/>
      <c r="N121" s="224"/>
    </row>
    <row r="122" spans="1:14">
      <c r="A122" s="126"/>
      <c r="B122" s="126"/>
      <c r="C122" s="224"/>
      <c r="D122" s="224"/>
      <c r="E122" s="224"/>
      <c r="F122" s="224"/>
      <c r="G122" s="224"/>
      <c r="H122" s="224"/>
      <c r="I122" s="224"/>
      <c r="J122" s="224"/>
      <c r="K122" s="224"/>
      <c r="L122" s="224"/>
      <c r="M122" s="224"/>
      <c r="N122" s="224"/>
    </row>
    <row r="123" spans="1:14">
      <c r="A123" s="126"/>
      <c r="B123" s="126"/>
      <c r="C123" s="224"/>
      <c r="D123" s="224"/>
      <c r="E123" s="224"/>
      <c r="F123" s="224"/>
      <c r="G123" s="224"/>
      <c r="H123" s="224"/>
      <c r="I123" s="224"/>
      <c r="J123" s="224"/>
      <c r="K123" s="224"/>
      <c r="L123" s="224"/>
      <c r="M123" s="224"/>
      <c r="N123" s="224"/>
    </row>
    <row r="124" spans="1:14">
      <c r="A124" s="126"/>
      <c r="B124" s="126"/>
      <c r="C124" s="224"/>
      <c r="D124" s="224"/>
      <c r="E124" s="224"/>
      <c r="F124" s="224"/>
      <c r="G124" s="224"/>
      <c r="H124" s="224"/>
      <c r="I124" s="224"/>
      <c r="J124" s="224"/>
      <c r="K124" s="224"/>
      <c r="L124" s="224"/>
      <c r="M124" s="224"/>
      <c r="N124" s="224"/>
    </row>
    <row r="125" spans="1:14">
      <c r="A125" s="228" t="s">
        <v>423</v>
      </c>
      <c r="B125" s="126"/>
      <c r="C125" s="240">
        <f t="shared" ref="C125:L125" si="53">C4</f>
        <v>39873</v>
      </c>
      <c r="D125" s="240">
        <f t="shared" si="53"/>
        <v>40238</v>
      </c>
      <c r="E125" s="240">
        <f t="shared" si="53"/>
        <v>40603</v>
      </c>
      <c r="F125" s="240">
        <f t="shared" si="53"/>
        <v>40969</v>
      </c>
      <c r="G125" s="240">
        <f t="shared" si="53"/>
        <v>41334</v>
      </c>
      <c r="H125" s="240">
        <f t="shared" si="53"/>
        <v>41699</v>
      </c>
      <c r="I125" s="240">
        <f t="shared" si="53"/>
        <v>42064</v>
      </c>
      <c r="J125" s="240">
        <f t="shared" si="53"/>
        <v>42430</v>
      </c>
      <c r="K125" s="240">
        <f t="shared" si="53"/>
        <v>42795</v>
      </c>
      <c r="L125" s="240">
        <f t="shared" si="53"/>
        <v>43160</v>
      </c>
      <c r="M125" s="126" t="s">
        <v>470</v>
      </c>
      <c r="N125" s="126"/>
    </row>
    <row r="126" spans="1:14">
      <c r="A126" s="126" t="s">
        <v>460</v>
      </c>
      <c r="B126" s="126"/>
      <c r="C126" s="224">
        <f t="shared" ref="C126:M126" si="54">C29/C26</f>
        <v>0.13149757031365036</v>
      </c>
      <c r="D126" s="224">
        <f t="shared" si="54"/>
        <v>0.17124796821383428</v>
      </c>
      <c r="E126" s="224">
        <f t="shared" si="54"/>
        <v>0.10706628617054299</v>
      </c>
      <c r="F126" s="224">
        <f t="shared" si="54"/>
        <v>0.11276842578781635</v>
      </c>
      <c r="G126" s="224">
        <f t="shared" si="54"/>
        <v>0.11303425991050221</v>
      </c>
      <c r="H126" s="224">
        <f t="shared" si="54"/>
        <v>0.12660234671730872</v>
      </c>
      <c r="I126" s="224">
        <f t="shared" si="54"/>
        <v>0.13951777460057471</v>
      </c>
      <c r="J126" s="224">
        <f t="shared" si="54"/>
        <v>0.14846794987107995</v>
      </c>
      <c r="K126" s="224">
        <f t="shared" si="54"/>
        <v>0.14990650767863176</v>
      </c>
      <c r="L126" s="224">
        <f t="shared" si="54"/>
        <v>0.1566492242912331</v>
      </c>
      <c r="M126" s="224">
        <f t="shared" si="54"/>
        <v>0.15691713551978984</v>
      </c>
      <c r="N126" s="126"/>
    </row>
    <row r="127" spans="1:14">
      <c r="A127" s="126" t="s">
        <v>420</v>
      </c>
      <c r="B127" s="126"/>
      <c r="C127" s="253">
        <f t="shared" ref="C127:M127" si="55">C35/C25</f>
        <v>3.4703084989635348E-2</v>
      </c>
      <c r="D127" s="253">
        <f t="shared" si="55"/>
        <v>6.7566598544333362E-2</v>
      </c>
      <c r="E127" s="253">
        <f t="shared" si="55"/>
        <v>3.9463380760308975E-2</v>
      </c>
      <c r="F127" s="253">
        <f t="shared" si="55"/>
        <v>4.7174830631717055E-2</v>
      </c>
      <c r="G127" s="253">
        <f t="shared" si="55"/>
        <v>4.5626253678304862E-2</v>
      </c>
      <c r="H127" s="253">
        <f t="shared" si="55"/>
        <v>5.5514189497910066E-2</v>
      </c>
      <c r="I127" s="253">
        <f t="shared" si="55"/>
        <v>7.1495479492926117E-2</v>
      </c>
      <c r="J127" s="253">
        <f t="shared" si="55"/>
        <v>7.1790953910064362E-2</v>
      </c>
      <c r="K127" s="253">
        <f t="shared" si="55"/>
        <v>7.2928573165689931E-2</v>
      </c>
      <c r="L127" s="253">
        <f t="shared" si="55"/>
        <v>8.2120751715628729E-2</v>
      </c>
      <c r="M127" s="253">
        <f t="shared" si="55"/>
        <v>8.2904972246110556E-2</v>
      </c>
      <c r="N127" s="126"/>
    </row>
    <row r="128" spans="1:14">
      <c r="A128" s="126"/>
      <c r="B128" s="126"/>
      <c r="C128" s="253"/>
      <c r="D128" s="253"/>
      <c r="E128" s="253"/>
      <c r="F128" s="253"/>
      <c r="G128" s="253"/>
      <c r="H128" s="253"/>
      <c r="I128" s="253"/>
      <c r="J128" s="253"/>
      <c r="K128" s="253"/>
      <c r="L128" s="253"/>
      <c r="M128" s="126"/>
      <c r="N128" s="126"/>
    </row>
    <row r="129" spans="1:14">
      <c r="A129" s="228" t="s">
        <v>246</v>
      </c>
      <c r="B129" s="126"/>
      <c r="C129" s="246">
        <f>C125</f>
        <v>39873</v>
      </c>
      <c r="D129" s="246">
        <f t="shared" ref="D129:L129" si="56">D125</f>
        <v>40238</v>
      </c>
      <c r="E129" s="246">
        <f t="shared" si="56"/>
        <v>40603</v>
      </c>
      <c r="F129" s="246">
        <f t="shared" si="56"/>
        <v>40969</v>
      </c>
      <c r="G129" s="246">
        <f t="shared" si="56"/>
        <v>41334</v>
      </c>
      <c r="H129" s="246">
        <f t="shared" si="56"/>
        <v>41699</v>
      </c>
      <c r="I129" s="246">
        <f t="shared" si="56"/>
        <v>42064</v>
      </c>
      <c r="J129" s="246">
        <f t="shared" si="56"/>
        <v>42430</v>
      </c>
      <c r="K129" s="246">
        <f t="shared" si="56"/>
        <v>42795</v>
      </c>
      <c r="L129" s="246">
        <f t="shared" si="56"/>
        <v>43160</v>
      </c>
      <c r="M129" s="126" t="s">
        <v>470</v>
      </c>
      <c r="N129" s="126"/>
    </row>
    <row r="130" spans="1:14">
      <c r="A130" s="126" t="s">
        <v>18</v>
      </c>
      <c r="B130" s="126"/>
      <c r="C130" s="224">
        <f>C30/C29</f>
        <v>0.19540873460246372</v>
      </c>
      <c r="D130" s="224">
        <f t="shared" ref="D130:L130" si="57">D30/D29</f>
        <v>0.16304577093440195</v>
      </c>
      <c r="E130" s="224">
        <f t="shared" si="57"/>
        <v>0.28946278138378706</v>
      </c>
      <c r="F130" s="224">
        <f t="shared" si="57"/>
        <v>0.24249422632794465</v>
      </c>
      <c r="G130" s="224">
        <f t="shared" si="57"/>
        <v>0.2299576156551538</v>
      </c>
      <c r="H130" s="224">
        <f t="shared" si="57"/>
        <v>0.20866537199491061</v>
      </c>
      <c r="I130" s="224">
        <f t="shared" si="57"/>
        <v>0.19848771266540638</v>
      </c>
      <c r="J130" s="224">
        <f t="shared" si="57"/>
        <v>0.19030694668820675</v>
      </c>
      <c r="K130" s="224">
        <f t="shared" si="57"/>
        <v>0.21045313266808427</v>
      </c>
      <c r="L130" s="224">
        <f t="shared" si="57"/>
        <v>0.17726308921872458</v>
      </c>
      <c r="M130" s="224">
        <f>M30/M29</f>
        <v>0.17143481791492285</v>
      </c>
      <c r="N130" s="126"/>
    </row>
    <row r="131" spans="1:14">
      <c r="A131" s="126" t="s">
        <v>17</v>
      </c>
      <c r="B131" s="126"/>
      <c r="C131" s="224">
        <f>C32/C29</f>
        <v>0.3566629339305713</v>
      </c>
      <c r="D131" s="224">
        <f t="shared" ref="D131:L131" si="58">D32/D29</f>
        <v>0.26945792026998511</v>
      </c>
      <c r="E131" s="224">
        <f t="shared" si="58"/>
        <v>0.21972103300649104</v>
      </c>
      <c r="F131" s="224">
        <f t="shared" si="58"/>
        <v>0.19598992231786697</v>
      </c>
      <c r="G131" s="224">
        <f t="shared" si="58"/>
        <v>0.15961763910181262</v>
      </c>
      <c r="H131" s="224">
        <f t="shared" si="58"/>
        <v>0.1517444585816648</v>
      </c>
      <c r="I131" s="224">
        <f t="shared" si="58"/>
        <v>9.1931151129240857E-2</v>
      </c>
      <c r="J131" s="224">
        <f t="shared" si="58"/>
        <v>9.2447495961227782E-2</v>
      </c>
      <c r="K131" s="224">
        <f t="shared" si="58"/>
        <v>6.1467364632749828E-2</v>
      </c>
      <c r="L131" s="224">
        <f t="shared" si="58"/>
        <v>2.802152992986463E-2</v>
      </c>
      <c r="M131" s="224">
        <f>M32/M29</f>
        <v>2.5704291336123432E-2</v>
      </c>
      <c r="N131" s="126"/>
    </row>
    <row r="132" spans="1:14">
      <c r="A132" s="126" t="s">
        <v>421</v>
      </c>
      <c r="B132" s="126"/>
      <c r="C132" s="224">
        <f>C34/C29</f>
        <v>0.18234415826801054</v>
      </c>
      <c r="D132" s="224">
        <f t="shared" ref="D132:L132" si="59">D34/D29</f>
        <v>0.1700063277789495</v>
      </c>
      <c r="E132" s="224">
        <f t="shared" si="59"/>
        <v>0.12194448280624236</v>
      </c>
      <c r="F132" s="224">
        <f t="shared" si="59"/>
        <v>0.14266218769682976</v>
      </c>
      <c r="G132" s="224">
        <f t="shared" si="59"/>
        <v>0.20633059788980071</v>
      </c>
      <c r="H132" s="224">
        <f t="shared" si="59"/>
        <v>0.20022768365365298</v>
      </c>
      <c r="I132" s="224">
        <f t="shared" si="59"/>
        <v>0.19699532384837326</v>
      </c>
      <c r="J132" s="224">
        <f t="shared" si="59"/>
        <v>0.23146203554119546</v>
      </c>
      <c r="K132" s="224">
        <f t="shared" si="59"/>
        <v>0.23752658269262208</v>
      </c>
      <c r="L132" s="224">
        <f t="shared" si="59"/>
        <v>0.26928722883705764</v>
      </c>
      <c r="M132" s="224">
        <f>M34/M29</f>
        <v>0.27294022112561678</v>
      </c>
      <c r="N132" s="126"/>
    </row>
    <row r="133" spans="1:14">
      <c r="A133" s="126" t="s">
        <v>422</v>
      </c>
      <c r="B133" s="126"/>
      <c r="C133" s="224">
        <f>C35/C29</f>
        <v>0.26558417319895444</v>
      </c>
      <c r="D133" s="224">
        <f t="shared" ref="D133:L133" si="60">D35/D29</f>
        <v>0.39748998101666339</v>
      </c>
      <c r="E133" s="224">
        <f t="shared" si="60"/>
        <v>0.36887170280347947</v>
      </c>
      <c r="F133" s="224">
        <f t="shared" si="60"/>
        <v>0.41885366365735854</v>
      </c>
      <c r="G133" s="224">
        <f t="shared" si="60"/>
        <v>0.4040941473532329</v>
      </c>
      <c r="H133" s="224">
        <f t="shared" si="60"/>
        <v>0.4393624857697716</v>
      </c>
      <c r="I133" s="224">
        <f t="shared" si="60"/>
        <v>0.51258581235697953</v>
      </c>
      <c r="J133" s="224">
        <f t="shared" si="60"/>
        <v>0.48578352180937001</v>
      </c>
      <c r="K133" s="224">
        <f t="shared" si="60"/>
        <v>0.49055292000654377</v>
      </c>
      <c r="L133" s="224">
        <f t="shared" si="60"/>
        <v>0.52542815201435311</v>
      </c>
      <c r="M133" s="224">
        <f>M35/M29</f>
        <v>0.52992066962333695</v>
      </c>
      <c r="N133" s="126"/>
    </row>
    <row r="134" spans="1:14">
      <c r="A134" s="126" t="s">
        <v>57</v>
      </c>
      <c r="B134" s="126"/>
      <c r="C134" s="224">
        <f>SUM(C130:C133)</f>
        <v>1</v>
      </c>
      <c r="D134" s="224">
        <f t="shared" ref="D134:M134" si="61">SUM(D130:D133)</f>
        <v>1</v>
      </c>
      <c r="E134" s="224">
        <f t="shared" si="61"/>
        <v>0.99999999999999989</v>
      </c>
      <c r="F134" s="224">
        <f t="shared" si="61"/>
        <v>1</v>
      </c>
      <c r="G134" s="224">
        <f t="shared" si="61"/>
        <v>1</v>
      </c>
      <c r="H134" s="224">
        <f t="shared" si="61"/>
        <v>1</v>
      </c>
      <c r="I134" s="224">
        <f t="shared" si="61"/>
        <v>1</v>
      </c>
      <c r="J134" s="224">
        <f t="shared" si="61"/>
        <v>1</v>
      </c>
      <c r="K134" s="224">
        <f t="shared" si="61"/>
        <v>1</v>
      </c>
      <c r="L134" s="224">
        <f t="shared" si="61"/>
        <v>1</v>
      </c>
      <c r="M134" s="224">
        <f t="shared" si="61"/>
        <v>1</v>
      </c>
      <c r="N134" s="126"/>
    </row>
    <row r="135" spans="1:14">
      <c r="A135" s="126"/>
      <c r="B135" s="126"/>
      <c r="C135" s="126"/>
      <c r="D135" s="126"/>
      <c r="E135" s="126"/>
      <c r="F135" s="126"/>
      <c r="G135" s="126"/>
      <c r="H135" s="126"/>
      <c r="I135" s="126"/>
      <c r="J135" s="126"/>
      <c r="K135" s="126"/>
      <c r="L135" s="126"/>
      <c r="M135" s="126"/>
      <c r="N135" s="126"/>
    </row>
    <row r="136" spans="1:14">
      <c r="A136" s="126"/>
      <c r="B136" s="126"/>
      <c r="C136" s="126"/>
      <c r="D136" s="126"/>
      <c r="E136" s="126"/>
      <c r="F136" s="126"/>
      <c r="G136" s="126"/>
      <c r="H136" s="126"/>
      <c r="I136" s="126"/>
      <c r="J136" s="126"/>
      <c r="K136" s="126"/>
      <c r="L136" s="126"/>
      <c r="M136" s="126"/>
      <c r="N136" s="126"/>
    </row>
    <row r="137" spans="1:14">
      <c r="A137" s="228" t="s">
        <v>414</v>
      </c>
      <c r="B137" s="126"/>
      <c r="C137" s="240">
        <f t="shared" ref="C137:L137" si="62">C4</f>
        <v>39873</v>
      </c>
      <c r="D137" s="240">
        <f t="shared" si="62"/>
        <v>40238</v>
      </c>
      <c r="E137" s="240">
        <f t="shared" si="62"/>
        <v>40603</v>
      </c>
      <c r="F137" s="240">
        <f t="shared" si="62"/>
        <v>40969</v>
      </c>
      <c r="G137" s="240">
        <f t="shared" si="62"/>
        <v>41334</v>
      </c>
      <c r="H137" s="240">
        <f t="shared" si="62"/>
        <v>41699</v>
      </c>
      <c r="I137" s="240">
        <f t="shared" si="62"/>
        <v>42064</v>
      </c>
      <c r="J137" s="240">
        <f t="shared" si="62"/>
        <v>42430</v>
      </c>
      <c r="K137" s="240">
        <f t="shared" si="62"/>
        <v>42795</v>
      </c>
      <c r="L137" s="240">
        <f t="shared" si="62"/>
        <v>43160</v>
      </c>
      <c r="M137" s="126"/>
      <c r="N137" s="126"/>
    </row>
    <row r="138" spans="1:14" ht="39">
      <c r="A138" s="258" t="s">
        <v>415</v>
      </c>
      <c r="B138" s="126"/>
      <c r="C138" s="259">
        <f>C26/C50</f>
        <v>2.9006905389051041</v>
      </c>
      <c r="D138" s="259">
        <f t="shared" ref="D138:L138" si="63">D26/AVERAGE(C50:D50)</f>
        <v>3.0574268360022092</v>
      </c>
      <c r="E138" s="259">
        <f t="shared" si="63"/>
        <v>2.7595479027256404</v>
      </c>
      <c r="F138" s="259">
        <f t="shared" si="63"/>
        <v>3.129999814735906</v>
      </c>
      <c r="G138" s="259">
        <f t="shared" si="63"/>
        <v>3.280707621308899</v>
      </c>
      <c r="H138" s="259">
        <f t="shared" si="63"/>
        <v>3.4062608293866239</v>
      </c>
      <c r="I138" s="259">
        <f t="shared" si="63"/>
        <v>3.4405587726105904</v>
      </c>
      <c r="J138" s="259">
        <f t="shared" si="63"/>
        <v>3.3279454022988508</v>
      </c>
      <c r="K138" s="259">
        <f t="shared" si="63"/>
        <v>3.0444682935933929</v>
      </c>
      <c r="L138" s="259">
        <f t="shared" si="63"/>
        <v>3.6719330506248355</v>
      </c>
      <c r="M138" s="126"/>
      <c r="N138" s="126"/>
    </row>
    <row r="139" spans="1:14">
      <c r="A139" s="260" t="s">
        <v>416</v>
      </c>
      <c r="B139" s="126"/>
      <c r="C139" s="224">
        <f t="shared" ref="C139:L139" si="64">C35/C26</f>
        <v>3.4923673489422206E-2</v>
      </c>
      <c r="D139" s="224">
        <f t="shared" si="64"/>
        <v>6.8069351634459166E-2</v>
      </c>
      <c r="E139" s="224">
        <f t="shared" si="64"/>
        <v>3.9493723292572822E-2</v>
      </c>
      <c r="F139" s="224">
        <f t="shared" si="64"/>
        <v>4.7233468286099818E-2</v>
      </c>
      <c r="G139" s="224">
        <f t="shared" si="64"/>
        <v>4.5676482880238109E-2</v>
      </c>
      <c r="H139" s="224">
        <f t="shared" si="64"/>
        <v>5.5624321758003241E-2</v>
      </c>
      <c r="I139" s="224">
        <f t="shared" si="64"/>
        <v>7.1514831831873557E-2</v>
      </c>
      <c r="J139" s="224">
        <f t="shared" si="64"/>
        <v>7.2123283564190219E-2</v>
      </c>
      <c r="K139" s="224">
        <f t="shared" si="64"/>
        <v>7.3537075069736182E-2</v>
      </c>
      <c r="L139" s="224">
        <f t="shared" si="64"/>
        <v>8.2307912433824515E-2</v>
      </c>
      <c r="M139" s="224"/>
      <c r="N139" s="126"/>
    </row>
    <row r="140" spans="1:14" ht="26.25">
      <c r="A140" s="258" t="s">
        <v>417</v>
      </c>
      <c r="B140" s="126"/>
      <c r="C140" s="224">
        <f t="shared" ref="C140:L140" si="65">C36/C35</f>
        <v>6.3246661981728874E-2</v>
      </c>
      <c r="D140" s="224">
        <f t="shared" si="65"/>
        <v>4.7758026001591881E-2</v>
      </c>
      <c r="E140" s="224">
        <f t="shared" si="65"/>
        <v>6.7390490453014054E-2</v>
      </c>
      <c r="F140" s="224">
        <f t="shared" si="65"/>
        <v>4.5112781954887264E-2</v>
      </c>
      <c r="G140" s="224">
        <f t="shared" si="65"/>
        <v>5.3559473331845582E-2</v>
      </c>
      <c r="H140" s="224">
        <f t="shared" si="65"/>
        <v>4.5724737082761785E-2</v>
      </c>
      <c r="I140" s="224">
        <f t="shared" si="65"/>
        <v>5.8229813664596244E-2</v>
      </c>
      <c r="J140" s="224">
        <f t="shared" si="65"/>
        <v>5.9860325906218807E-2</v>
      </c>
      <c r="K140" s="224">
        <f t="shared" si="65"/>
        <v>0.10012505210504362</v>
      </c>
      <c r="L140" s="224">
        <f t="shared" si="65"/>
        <v>0.11206307816477316</v>
      </c>
      <c r="M140" s="126"/>
      <c r="N140" s="126"/>
    </row>
    <row r="141" spans="1:14" ht="26.25">
      <c r="A141" s="258" t="s">
        <v>418</v>
      </c>
      <c r="B141" s="126"/>
      <c r="C141" s="224">
        <f t="shared" ref="C141:L141" si="66">C30/C50</f>
        <v>7.4535488004556144E-2</v>
      </c>
      <c r="D141" s="224">
        <f t="shared" si="66"/>
        <v>6.9724439633788854E-2</v>
      </c>
      <c r="E141" s="224">
        <f t="shared" si="66"/>
        <v>7.8083671720746567E-2</v>
      </c>
      <c r="F141" s="224">
        <f t="shared" si="66"/>
        <v>8.5133043414166748E-2</v>
      </c>
      <c r="G141" s="224">
        <f t="shared" si="66"/>
        <v>7.8048481880509293E-2</v>
      </c>
      <c r="H141" s="224">
        <f t="shared" si="66"/>
        <v>8.5173846490268976E-2</v>
      </c>
      <c r="I141" s="224">
        <f t="shared" si="66"/>
        <v>8.4585868436115416E-2</v>
      </c>
      <c r="J141" s="224">
        <f t="shared" si="66"/>
        <v>8.8816843533824671E-2</v>
      </c>
      <c r="K141" s="224">
        <f t="shared" si="66"/>
        <v>9.511663154781709E-2</v>
      </c>
      <c r="L141" s="224">
        <f t="shared" si="66"/>
        <v>0.10353237053690509</v>
      </c>
      <c r="M141" s="126"/>
      <c r="N141" s="126"/>
    </row>
    <row r="142" spans="1:14">
      <c r="A142" s="258" t="s">
        <v>414</v>
      </c>
      <c r="B142" s="126"/>
      <c r="C142" s="224"/>
      <c r="D142" s="224"/>
      <c r="E142" s="261">
        <f t="shared" ref="E142" si="67">AVERAGE(C138:E138)*AVERAGE(C139:E139)*(1-AVERAGE(C140:E140))-AVERAGE(C141:E141)</f>
        <v>5.5695150187143508E-2</v>
      </c>
      <c r="F142" s="261">
        <f t="shared" ref="F142" si="68">AVERAGE(D138:F138)*AVERAGE(D139:F139)*(1-AVERAGE(D140:F140))-AVERAGE(D141:F141)</f>
        <v>6.8016896334307936E-2</v>
      </c>
      <c r="G142" s="261">
        <f t="shared" ref="G142:K142" si="69">AVERAGE(E138:G138)*AVERAGE(E139:G139)*(1-AVERAGE(E140:G140))-AVERAGE(E141:G141)</f>
        <v>4.7018904327104968E-2</v>
      </c>
      <c r="H142" s="261">
        <f t="shared" si="69"/>
        <v>7.1433963290092314E-2</v>
      </c>
      <c r="I142" s="261">
        <f t="shared" si="69"/>
        <v>0.10165300556811545</v>
      </c>
      <c r="J142" s="261">
        <f t="shared" si="69"/>
        <v>0.12677889515321397</v>
      </c>
      <c r="K142" s="261">
        <f t="shared" si="69"/>
        <v>0.13006231676709584</v>
      </c>
      <c r="L142" s="261">
        <f>AVERAGE(J138:L138)*AVERAGE(J139:L139)*(1-AVERAGE(J140:L140))-AVERAGE(J141:L141)</f>
        <v>0.13552777769869867</v>
      </c>
      <c r="M142" s="126"/>
      <c r="N142" s="126"/>
    </row>
    <row r="143" spans="1:14">
      <c r="A143" s="258"/>
      <c r="B143" s="126"/>
      <c r="C143" s="224"/>
      <c r="D143" s="224"/>
      <c r="E143" s="224"/>
      <c r="F143" s="224"/>
      <c r="G143" s="224"/>
      <c r="H143" s="224"/>
      <c r="I143" s="224"/>
      <c r="J143" s="224"/>
      <c r="K143" s="224"/>
      <c r="L143" s="224"/>
      <c r="M143" s="126"/>
      <c r="N143" s="126"/>
    </row>
    <row r="144" spans="1:14">
      <c r="A144" s="258"/>
      <c r="B144" s="126"/>
      <c r="C144" s="224"/>
      <c r="D144" s="224"/>
      <c r="E144" s="224"/>
      <c r="F144" s="224"/>
      <c r="G144" s="224"/>
      <c r="H144" s="224"/>
      <c r="I144" s="224"/>
      <c r="J144" s="224"/>
      <c r="K144" s="224"/>
      <c r="L144" s="224"/>
      <c r="M144" s="126"/>
      <c r="N144" s="126"/>
    </row>
    <row r="145" spans="1:14">
      <c r="A145" s="258"/>
      <c r="B145" s="126"/>
      <c r="C145" s="224"/>
      <c r="D145" s="224"/>
      <c r="E145" s="224"/>
      <c r="F145" s="224"/>
      <c r="G145" s="224"/>
      <c r="H145" s="224"/>
      <c r="I145" s="224"/>
      <c r="J145" s="224"/>
      <c r="K145" s="224"/>
      <c r="L145" s="224"/>
      <c r="M145" s="126"/>
      <c r="N145" s="126"/>
    </row>
    <row r="146" spans="1:14">
      <c r="A146" s="258"/>
      <c r="B146" s="126"/>
      <c r="C146" s="224"/>
      <c r="D146" s="224"/>
      <c r="E146" s="224"/>
      <c r="F146" s="224"/>
      <c r="G146" s="224"/>
      <c r="H146" s="224"/>
      <c r="I146" s="224"/>
      <c r="J146" s="224"/>
      <c r="K146" s="224"/>
      <c r="L146" s="224"/>
      <c r="M146" s="126"/>
      <c r="N146" s="126"/>
    </row>
    <row r="147" spans="1:14">
      <c r="A147" s="258"/>
      <c r="B147" s="126"/>
      <c r="C147" s="224"/>
      <c r="D147" s="224"/>
      <c r="E147" s="224"/>
      <c r="F147" s="224"/>
      <c r="G147" s="224"/>
      <c r="H147" s="224"/>
      <c r="I147" s="224"/>
      <c r="J147" s="224"/>
      <c r="K147" s="224"/>
      <c r="L147" s="224"/>
      <c r="M147" s="126"/>
      <c r="N147" s="126"/>
    </row>
    <row r="148" spans="1:14">
      <c r="A148" s="258"/>
      <c r="B148" s="126"/>
      <c r="C148" s="224"/>
      <c r="D148" s="224"/>
      <c r="E148" s="224"/>
      <c r="F148" s="224"/>
      <c r="G148" s="224"/>
      <c r="H148" s="224"/>
      <c r="I148" s="224"/>
      <c r="J148" s="224"/>
      <c r="K148" s="224"/>
      <c r="L148" s="224"/>
      <c r="M148" s="126"/>
      <c r="N148" s="126"/>
    </row>
    <row r="149" spans="1:14">
      <c r="A149" s="258"/>
      <c r="B149" s="126"/>
      <c r="C149" s="224"/>
      <c r="D149" s="224"/>
      <c r="E149" s="224"/>
      <c r="F149" s="224"/>
      <c r="G149" s="224"/>
      <c r="H149" s="224"/>
      <c r="I149" s="224"/>
      <c r="J149" s="224"/>
      <c r="K149" s="224"/>
      <c r="L149" s="224"/>
      <c r="M149" s="126"/>
      <c r="N149" s="126"/>
    </row>
    <row r="150" spans="1:14">
      <c r="A150" s="258"/>
      <c r="B150" s="126"/>
      <c r="C150" s="224"/>
      <c r="D150" s="224"/>
      <c r="E150" s="224"/>
      <c r="F150" s="224"/>
      <c r="G150" s="224"/>
      <c r="H150" s="224"/>
      <c r="I150" s="224"/>
      <c r="J150" s="224"/>
      <c r="K150" s="224"/>
      <c r="L150" s="224"/>
      <c r="M150" s="126"/>
      <c r="N150" s="126"/>
    </row>
    <row r="151" spans="1:14">
      <c r="A151" s="258"/>
      <c r="B151" s="126"/>
      <c r="C151" s="224"/>
      <c r="D151" s="224"/>
      <c r="E151" s="224"/>
      <c r="F151" s="224"/>
      <c r="G151" s="224"/>
      <c r="H151" s="224"/>
      <c r="I151" s="224"/>
      <c r="J151" s="224"/>
      <c r="K151" s="224"/>
      <c r="L151" s="224"/>
      <c r="M151" s="126"/>
      <c r="N151" s="126"/>
    </row>
    <row r="152" spans="1:14">
      <c r="A152" s="258"/>
      <c r="B152" s="126"/>
      <c r="C152" s="224"/>
      <c r="D152" s="224"/>
      <c r="E152" s="224"/>
      <c r="F152" s="224"/>
      <c r="G152" s="224"/>
      <c r="H152" s="224"/>
      <c r="I152" s="224"/>
      <c r="J152" s="224"/>
      <c r="K152" s="224"/>
      <c r="L152" s="224"/>
      <c r="M152" s="126"/>
      <c r="N152" s="126"/>
    </row>
    <row r="153" spans="1:14">
      <c r="A153" s="126"/>
      <c r="B153" s="126"/>
      <c r="C153" s="126"/>
      <c r="D153" s="126"/>
      <c r="E153" s="126"/>
      <c r="F153" s="126"/>
      <c r="G153" s="126"/>
      <c r="H153" s="126"/>
      <c r="I153" s="126"/>
      <c r="J153" s="126"/>
      <c r="K153" s="126"/>
      <c r="L153" s="126"/>
      <c r="M153" s="126"/>
      <c r="N153" s="126"/>
    </row>
    <row r="155" spans="1:14">
      <c r="A155" s="228" t="s">
        <v>330</v>
      </c>
      <c r="C155" s="239">
        <f t="shared" ref="C155:L155" si="70">C4</f>
        <v>39873</v>
      </c>
      <c r="D155" s="239">
        <f t="shared" si="70"/>
        <v>40238</v>
      </c>
      <c r="E155" s="239">
        <f t="shared" si="70"/>
        <v>40603</v>
      </c>
      <c r="F155" s="239">
        <f t="shared" si="70"/>
        <v>40969</v>
      </c>
      <c r="G155" s="239">
        <f t="shared" si="70"/>
        <v>41334</v>
      </c>
      <c r="H155" s="239">
        <f t="shared" si="70"/>
        <v>41699</v>
      </c>
      <c r="I155" s="239">
        <f t="shared" si="70"/>
        <v>42064</v>
      </c>
      <c r="J155" s="239">
        <f t="shared" si="70"/>
        <v>42430</v>
      </c>
      <c r="K155" s="239">
        <f t="shared" si="70"/>
        <v>42795</v>
      </c>
      <c r="L155" s="239">
        <f t="shared" si="70"/>
        <v>43160</v>
      </c>
      <c r="M155" s="239"/>
      <c r="N155" s="239"/>
    </row>
    <row r="156" spans="1:14">
      <c r="A156" s="126" t="s">
        <v>361</v>
      </c>
      <c r="C156" s="229">
        <f>'Screener Input'!B62</f>
        <v>140.47</v>
      </c>
      <c r="D156" s="229">
        <f>'Screener Input'!C62</f>
        <v>221.73</v>
      </c>
      <c r="E156" s="229">
        <f>'Screener Input'!D62</f>
        <v>268.43</v>
      </c>
      <c r="F156" s="229">
        <f>'Screener Input'!E62</f>
        <v>271.33999999999997</v>
      </c>
      <c r="G156" s="229">
        <f>'Screener Input'!F62</f>
        <v>326.72000000000003</v>
      </c>
      <c r="H156" s="229">
        <f>'Screener Input'!G62</f>
        <v>365.84</v>
      </c>
      <c r="I156" s="229">
        <f>'Screener Input'!H62</f>
        <v>471.71</v>
      </c>
      <c r="J156" s="229">
        <f>'Screener Input'!I62</f>
        <v>530.53</v>
      </c>
      <c r="K156" s="229">
        <f>'Screener Input'!J62</f>
        <v>541.02</v>
      </c>
      <c r="L156" s="229">
        <f>'Screener Input'!K62</f>
        <v>524.86</v>
      </c>
      <c r="M156" s="229"/>
      <c r="N156" s="229"/>
    </row>
    <row r="157" spans="1:14">
      <c r="A157" s="126" t="s">
        <v>361</v>
      </c>
      <c r="B157" s="126"/>
      <c r="C157" s="224">
        <f>'Screener Input'!B62/'Screener Input'!B66</f>
        <v>0.58820819898664212</v>
      </c>
      <c r="D157" s="224">
        <f>'Screener Input'!C62/'Screener Input'!C66</f>
        <v>0.63722841705943212</v>
      </c>
      <c r="E157" s="224">
        <f>'Screener Input'!D62/'Screener Input'!D66</f>
        <v>0.60468102360785725</v>
      </c>
      <c r="F157" s="224">
        <f>'Screener Input'!E62/'Screener Input'!E66</f>
        <v>0.56388196176226102</v>
      </c>
      <c r="G157" s="224">
        <f>'Screener Input'!F62/'Screener Input'!F66</f>
        <v>0.54897084768545756</v>
      </c>
      <c r="H157" s="224">
        <f>'Screener Input'!G62/'Screener Input'!G66</f>
        <v>0.54920210769669575</v>
      </c>
      <c r="I157" s="224">
        <f>'Screener Input'!H62/'Screener Input'!H66</f>
        <v>0.55245713482619685</v>
      </c>
      <c r="J157" s="224">
        <f>'Screener Input'!I62/'Screener Input'!I66</f>
        <v>0.52328253686442761</v>
      </c>
      <c r="K157" s="224">
        <f>'Screener Input'!J62/'Screener Input'!J66</f>
        <v>0.49575281084201556</v>
      </c>
      <c r="L157" s="224">
        <f>'Screener Input'!K62/'Screener Input'!K66</f>
        <v>0.4069407723857742</v>
      </c>
      <c r="M157" s="224"/>
      <c r="N157" s="224"/>
    </row>
    <row r="158" spans="1:14">
      <c r="A158" s="126" t="s">
        <v>362</v>
      </c>
      <c r="B158" s="126"/>
      <c r="C158" s="224">
        <f>'Screener Input'!B64/'Screener Input'!B66</f>
        <v>2.5124576022779612E-4</v>
      </c>
      <c r="D158" s="224">
        <f>'Screener Input'!C64/'Screener Input'!C66</f>
        <v>1.7243361305897229E-4</v>
      </c>
      <c r="E158" s="224">
        <f>'Screener Input'!D64/'Screener Input'!D66</f>
        <v>1.3515948819607136E-4</v>
      </c>
      <c r="F158" s="224">
        <f>'Screener Input'!E64/'Screener Input'!E66</f>
        <v>1.2468827930174563E-4</v>
      </c>
      <c r="G158" s="224">
        <f>'Screener Input'!F64/'Screener Input'!F66</f>
        <v>1.0081492060825002E-4</v>
      </c>
      <c r="H158" s="224">
        <f>'Screener Input'!G64/'Screener Input'!G66</f>
        <v>9.0072508369237237E-5</v>
      </c>
      <c r="I158" s="224">
        <f>'Screener Input'!H64/'Screener Input'!H66</f>
        <v>7.0270776726318737E-5</v>
      </c>
      <c r="J158" s="224">
        <f>'Screener Input'!I64/'Screener Input'!I66</f>
        <v>4.9316960102579273E-4</v>
      </c>
      <c r="K158" s="224">
        <f>'Screener Input'!J64/'Screener Input'!J66</f>
        <v>6.4143094079592415E-4</v>
      </c>
      <c r="L158" s="224">
        <f>'Screener Input'!K64/'Screener Input'!K66</f>
        <v>5.4273242516107516E-4</v>
      </c>
      <c r="M158" s="224"/>
      <c r="N158" s="224"/>
    </row>
    <row r="159" spans="1:14">
      <c r="A159" s="126" t="s">
        <v>365</v>
      </c>
      <c r="B159" s="126"/>
      <c r="C159" s="224">
        <f>'Screener Input'!B68/'Screener Input'!B66</f>
        <v>0.16670156191114277</v>
      </c>
      <c r="D159" s="224">
        <f>'Screener Input'!C68/'Screener Input'!C66</f>
        <v>0.19301069088400966</v>
      </c>
      <c r="E159" s="224">
        <f>'Screener Input'!D68/'Screener Input'!D66</f>
        <v>0.26263741214633268</v>
      </c>
      <c r="F159" s="224">
        <f>'Screener Input'!E68/'Screener Input'!E66</f>
        <v>0.26704073150457192</v>
      </c>
      <c r="G159" s="224">
        <f>'Screener Input'!F68/'Screener Input'!F66</f>
        <v>0.26789884902965638</v>
      </c>
      <c r="H159" s="224">
        <f>'Screener Input'!G68/'Screener Input'!G66</f>
        <v>0.24619818954258177</v>
      </c>
      <c r="I159" s="224">
        <f>'Screener Input'!H68/'Screener Input'!H66</f>
        <v>0.2912489459383491</v>
      </c>
      <c r="J159" s="224">
        <f>'Screener Input'!I68/'Screener Input'!I66</f>
        <v>0.2819351975144252</v>
      </c>
      <c r="K159" s="224">
        <f>'Screener Input'!J68/'Screener Input'!J66</f>
        <v>0.26592810475483591</v>
      </c>
      <c r="L159" s="224">
        <f>'Screener Input'!K68/'Screener Input'!K66</f>
        <v>0.24339998604402335</v>
      </c>
      <c r="M159" s="224"/>
      <c r="N159" s="224"/>
    </row>
    <row r="160" spans="1:14">
      <c r="A160" s="126" t="s">
        <v>366</v>
      </c>
      <c r="B160" s="126"/>
      <c r="C160" s="224">
        <f>'Screener Input'!B67/'Screener Input'!B66</f>
        <v>8.2617980821573636E-2</v>
      </c>
      <c r="D160" s="224">
        <f>'Screener Input'!C67/'Screener Input'!C66</f>
        <v>5.9949419473502706E-2</v>
      </c>
      <c r="E160" s="224">
        <f>'Screener Input'!D67/'Screener Input'!D66</f>
        <v>5.2351775094611634E-2</v>
      </c>
      <c r="F160" s="224">
        <f>'Screener Input'!E67/'Screener Input'!E66</f>
        <v>4.7714048212801334E-2</v>
      </c>
      <c r="G160" s="224">
        <f>'Screener Input'!F67/'Screener Input'!F66</f>
        <v>6.0421742417877851E-2</v>
      </c>
      <c r="H160" s="224">
        <f>'Screener Input'!G67/'Screener Input'!G66</f>
        <v>0.10241244201582274</v>
      </c>
      <c r="I160" s="224">
        <f>'Screener Input'!H67/'Screener Input'!H66</f>
        <v>9.6130422561604048E-2</v>
      </c>
      <c r="J160" s="224">
        <f>'Screener Input'!I67/'Screener Input'!I66</f>
        <v>0.10720520787098682</v>
      </c>
      <c r="K160" s="224">
        <f>'Screener Input'!J67/'Screener Input'!J66</f>
        <v>0.11287351898177421</v>
      </c>
      <c r="L160" s="224">
        <f>'Screener Input'!K67/'Screener Input'!K66</f>
        <v>0.14913511711390404</v>
      </c>
      <c r="M160" s="224"/>
      <c r="N160" s="224"/>
    </row>
    <row r="161" spans="1:14">
      <c r="A161" s="126" t="s">
        <v>367</v>
      </c>
      <c r="B161" s="126"/>
      <c r="C161" s="224">
        <f>'Screener Input'!B69/'Screener Input'!B66</f>
        <v>1.1431682090364725E-2</v>
      </c>
      <c r="D161" s="224">
        <f>'Screener Input'!C69/'Screener Input'!C66</f>
        <v>2.9888492930221868E-3</v>
      </c>
      <c r="E161" s="224">
        <f>'Screener Input'!D69/'Screener Input'!D66</f>
        <v>4.8206884123265454E-3</v>
      </c>
      <c r="F161" s="224">
        <f>'Screener Input'!E69/'Screener Input'!E66</f>
        <v>2.1820448877805489E-3</v>
      </c>
      <c r="G161" s="224">
        <f>'Screener Input'!F69/'Screener Input'!F66</f>
        <v>4.9903385701083767E-3</v>
      </c>
      <c r="H161" s="224">
        <f>'Screener Input'!G69/'Screener Input'!G66</f>
        <v>8.4968399561647125E-3</v>
      </c>
      <c r="I161" s="224">
        <f>'Screener Input'!H69/'Screener Input'!H66</f>
        <v>5.258596458352853E-3</v>
      </c>
      <c r="J161" s="224">
        <f>'Screener Input'!I69/'Screener Input'!I66</f>
        <v>2.3376239088622576E-3</v>
      </c>
      <c r="K161" s="224">
        <f>'Screener Input'!J69/'Screener Input'!J66</f>
        <v>3.3446041912930332E-3</v>
      </c>
      <c r="L161" s="224">
        <f>'Screener Input'!K69/'Screener Input'!K66</f>
        <v>3.1013281437775727E-3</v>
      </c>
      <c r="M161" s="224"/>
      <c r="N161" s="224"/>
    </row>
    <row r="162" spans="1:14">
      <c r="A162" s="126" t="s">
        <v>363</v>
      </c>
      <c r="B162" s="126"/>
      <c r="C162" s="224">
        <f>('Screener Input'!B66-'Screener Input'!B62-'Screener Input'!B64-'Screener Input'!B68-'Screener Input'!B67-'Screener Input'!B69)/'Screener Input'!B66</f>
        <v>0.150789330430049</v>
      </c>
      <c r="D162" s="224">
        <f>('Screener Input'!C66-'Screener Input'!C62-'Screener Input'!C64-'Screener Input'!C68-'Screener Input'!C67-'Screener Input'!C69)/'Screener Input'!C66</f>
        <v>0.10665018967697434</v>
      </c>
      <c r="E162" s="224">
        <f>('Screener Input'!D66-'Screener Input'!D62-'Screener Input'!D64-'Screener Input'!D68-'Screener Input'!D67-'Screener Input'!D69)/'Screener Input'!D66</f>
        <v>7.5373941250675813E-2</v>
      </c>
      <c r="F162" s="224">
        <f>('Screener Input'!E66-'Screener Input'!E62-'Screener Input'!E64-'Screener Input'!E68-'Screener Input'!E67-'Screener Input'!E69)/'Screener Input'!E66</f>
        <v>0.11905652535328348</v>
      </c>
      <c r="G162" s="224">
        <f>('Screener Input'!F66-'Screener Input'!F62-'Screener Input'!F64-'Screener Input'!F68-'Screener Input'!F67-'Screener Input'!F69)/'Screener Input'!F66</f>
        <v>0.1176174073762916</v>
      </c>
      <c r="H162" s="224">
        <f>('Screener Input'!G66-'Screener Input'!G62-'Screener Input'!G64-'Screener Input'!G68-'Screener Input'!G67-'Screener Input'!G69)/'Screener Input'!G66</f>
        <v>9.3600348280365731E-2</v>
      </c>
      <c r="I162" s="224">
        <f>('Screener Input'!H66-'Screener Input'!H62-'Screener Input'!H64-'Screener Input'!H68-'Screener Input'!H67-'Screener Input'!H69)/'Screener Input'!H66</f>
        <v>5.4834629438770779E-2</v>
      </c>
      <c r="J162" s="224">
        <f>('Screener Input'!I66-'Screener Input'!I62-'Screener Input'!I64-'Screener Input'!I68-'Screener Input'!I67-'Screener Input'!I69)/'Screener Input'!I66</f>
        <v>8.4746264240272304E-2</v>
      </c>
      <c r="K162" s="224">
        <f>('Screener Input'!J66-'Screener Input'!J62-'Screener Input'!J64-'Screener Input'!J68-'Screener Input'!J67-'Screener Input'!J69)/'Screener Input'!J66</f>
        <v>0.12145953028928529</v>
      </c>
      <c r="L162" s="224">
        <f>('Screener Input'!K66-'Screener Input'!K62-'Screener Input'!K64-'Screener Input'!K68-'Screener Input'!K67-'Screener Input'!K69)/'Screener Input'!K66</f>
        <v>0.19688006388735974</v>
      </c>
      <c r="M162" s="224"/>
      <c r="N162" s="224"/>
    </row>
    <row r="164" spans="1:14">
      <c r="A164" s="230" t="s">
        <v>368</v>
      </c>
      <c r="C164" s="239">
        <f t="shared" ref="C164:L164" si="71">C4</f>
        <v>39873</v>
      </c>
      <c r="D164" s="239">
        <f t="shared" si="71"/>
        <v>40238</v>
      </c>
      <c r="E164" s="239">
        <f t="shared" si="71"/>
        <v>40603</v>
      </c>
      <c r="F164" s="239">
        <f t="shared" si="71"/>
        <v>40969</v>
      </c>
      <c r="G164" s="239">
        <f t="shared" si="71"/>
        <v>41334</v>
      </c>
      <c r="H164" s="239">
        <f t="shared" si="71"/>
        <v>41699</v>
      </c>
      <c r="I164" s="239">
        <f t="shared" si="71"/>
        <v>42064</v>
      </c>
      <c r="J164" s="239">
        <f t="shared" si="71"/>
        <v>42430</v>
      </c>
      <c r="K164" s="239">
        <f t="shared" si="71"/>
        <v>42795</v>
      </c>
      <c r="L164" s="239">
        <f t="shared" si="71"/>
        <v>43160</v>
      </c>
      <c r="M164" s="239"/>
      <c r="N164" s="239"/>
    </row>
    <row r="165" spans="1:14">
      <c r="A165" s="126" t="s">
        <v>369</v>
      </c>
      <c r="C165" s="231">
        <f>SUM('Screener Input'!B57:B58)/'Screener Input'!B61</f>
        <v>0.30970227377413001</v>
      </c>
      <c r="D165" s="231">
        <f>SUM('Screener Input'!C57:C58)/'Screener Input'!C61</f>
        <v>0.3159271180595471</v>
      </c>
      <c r="E165" s="231">
        <f>SUM('Screener Input'!D57:D58)/'Screener Input'!D61</f>
        <v>0.3032528383492521</v>
      </c>
      <c r="F165" s="231">
        <f>SUM('Screener Input'!E57:E58)/'Screener Input'!E61</f>
        <v>0.35833333333333334</v>
      </c>
      <c r="G165" s="231">
        <f>SUM('Screener Input'!F57:F58)/'Screener Input'!F61</f>
        <v>0.3603125262538856</v>
      </c>
      <c r="H165" s="231">
        <f>SUM('Screener Input'!G57:G58)/'Screener Input'!G61</f>
        <v>0.41517421524327086</v>
      </c>
      <c r="I165" s="231">
        <f>SUM('Screener Input'!H57:H58)/'Screener Input'!H61</f>
        <v>0.43078328492457602</v>
      </c>
      <c r="J165" s="231">
        <f>SUM('Screener Input'!I57:I58)/'Screener Input'!I61</f>
        <v>0.47342309020072004</v>
      </c>
      <c r="K165" s="231">
        <f>SUM('Screener Input'!J57:J58)/'Screener Input'!J61</f>
        <v>0.55563497081489222</v>
      </c>
      <c r="L165" s="231">
        <f>SUM('Screener Input'!K57:K58)/'Screener Input'!K61</f>
        <v>0.59019049908123145</v>
      </c>
      <c r="M165" s="231"/>
      <c r="N165" s="231"/>
    </row>
    <row r="166" spans="1:14">
      <c r="A166" s="126" t="s">
        <v>363</v>
      </c>
      <c r="C166" s="232">
        <f>1-C165</f>
        <v>0.69029772622587005</v>
      </c>
      <c r="D166" s="232">
        <f t="shared" ref="D166:L166" si="72">1-D165</f>
        <v>0.6840728819404529</v>
      </c>
      <c r="E166" s="232">
        <f t="shared" si="72"/>
        <v>0.6967471616507479</v>
      </c>
      <c r="F166" s="232">
        <f t="shared" si="72"/>
        <v>0.64166666666666661</v>
      </c>
      <c r="G166" s="232">
        <f t="shared" si="72"/>
        <v>0.63968747374611445</v>
      </c>
      <c r="H166" s="232">
        <f t="shared" si="72"/>
        <v>0.58482578475672908</v>
      </c>
      <c r="I166" s="232">
        <f t="shared" si="72"/>
        <v>0.56921671507542393</v>
      </c>
      <c r="J166" s="232">
        <f t="shared" si="72"/>
        <v>0.52657690979927996</v>
      </c>
      <c r="K166" s="232">
        <f t="shared" si="72"/>
        <v>0.44436502918510778</v>
      </c>
      <c r="L166" s="232">
        <f t="shared" si="72"/>
        <v>0.40980950091876855</v>
      </c>
      <c r="M166" s="232"/>
      <c r="N166" s="232"/>
    </row>
    <row r="170" spans="1:14">
      <c r="A170" s="230" t="s">
        <v>372</v>
      </c>
      <c r="C170" s="239">
        <f t="shared" ref="C170:L170" si="73">C4</f>
        <v>39873</v>
      </c>
      <c r="D170" s="239">
        <f t="shared" si="73"/>
        <v>40238</v>
      </c>
      <c r="E170" s="239">
        <f t="shared" si="73"/>
        <v>40603</v>
      </c>
      <c r="F170" s="239">
        <f t="shared" si="73"/>
        <v>40969</v>
      </c>
      <c r="G170" s="239">
        <f t="shared" si="73"/>
        <v>41334</v>
      </c>
      <c r="H170" s="239">
        <f t="shared" si="73"/>
        <v>41699</v>
      </c>
      <c r="I170" s="239">
        <f t="shared" si="73"/>
        <v>42064</v>
      </c>
      <c r="J170" s="239">
        <f t="shared" si="73"/>
        <v>42430</v>
      </c>
      <c r="K170" s="239">
        <f t="shared" si="73"/>
        <v>42795</v>
      </c>
      <c r="L170" s="239">
        <f t="shared" si="73"/>
        <v>43160</v>
      </c>
      <c r="M170" s="239"/>
      <c r="N170" s="239"/>
    </row>
    <row r="171" spans="1:14">
      <c r="A171" s="126" t="s">
        <v>364</v>
      </c>
      <c r="B171" s="126"/>
      <c r="C171" s="224">
        <f>IF(('Screener Input'!B18-'Screener Input'!B19)/('Screener Input'!B$17+'Screener Input'!B$25)&lt;0, 0, ('Screener Input'!B18-'Screener Input'!B19)/('Screener Input'!B$17+'Screener Input'!B$25))</f>
        <v>0.53188635532252171</v>
      </c>
      <c r="D171" s="224">
        <f>IF(('Screener Input'!C18-'Screener Input'!C19)/('Screener Input'!C$17+'Screener Input'!C$25)&lt;0, 0, ('Screener Input'!C18-'Screener Input'!C19)/('Screener Input'!C$17+'Screener Input'!C$25))</f>
        <v>0.52004230755440828</v>
      </c>
      <c r="E171" s="224">
        <f>IF(('Screener Input'!D18-'Screener Input'!D19)/('Screener Input'!D$17+'Screener Input'!D$25)&lt;0, 0, ('Screener Input'!D18-'Screener Input'!D19)/('Screener Input'!D$17+'Screener Input'!D$25))</f>
        <v>0.55498426488187591</v>
      </c>
      <c r="F171" s="224">
        <f>IF(('Screener Input'!E18-'Screener Input'!E19)/('Screener Input'!E$17+'Screener Input'!E$25)&lt;0, 0, ('Screener Input'!E18-'Screener Input'!E19)/('Screener Input'!E$17+'Screener Input'!E$25))</f>
        <v>0.54294801310017859</v>
      </c>
      <c r="G171" s="224">
        <f>IF(('Screener Input'!F18-'Screener Input'!F19)/('Screener Input'!F$17+'Screener Input'!F$25)&lt;0, 0, ('Screener Input'!F18-'Screener Input'!F19)/('Screener Input'!F$17+'Screener Input'!F$25))</f>
        <v>0.47797089939008863</v>
      </c>
      <c r="H171" s="224">
        <f>IF(('Screener Input'!G18-'Screener Input'!G19)/('Screener Input'!G$17+'Screener Input'!G$25)&lt;0, 0, ('Screener Input'!G18-'Screener Input'!G19)/('Screener Input'!G$17+'Screener Input'!G$25))</f>
        <v>0.46636657472120224</v>
      </c>
      <c r="I171" s="224">
        <f>IF(('Screener Input'!H18-'Screener Input'!H19)/('Screener Input'!H$17+'Screener Input'!H$25)&lt;0, 0, ('Screener Input'!H18-'Screener Input'!H19)/('Screener Input'!H$17+'Screener Input'!H$25))</f>
        <v>0.38665426967617489</v>
      </c>
      <c r="J171" s="224">
        <f>IF(('Screener Input'!I18-'Screener Input'!I19)/('Screener Input'!I$17+'Screener Input'!I$25)&lt;0, 0, ('Screener Input'!I18-'Screener Input'!I19)/('Screener Input'!I$17+'Screener Input'!I$25))</f>
        <v>0.42253882608539944</v>
      </c>
      <c r="K171" s="224">
        <f>IF(('Screener Input'!J18-'Screener Input'!J19)/('Screener Input'!J$17+'Screener Input'!J$25)&lt;0, 0, ('Screener Input'!J18-'Screener Input'!J19)/('Screener Input'!J$17+'Screener Input'!J$25))</f>
        <v>0.4412984265181546</v>
      </c>
      <c r="L171" s="224">
        <f>IF(('Screener Input'!K18-'Screener Input'!K19)/('Screener Input'!K$17+'Screener Input'!K$25)&lt;0, 0, ('Screener Input'!K18-'Screener Input'!K19)/('Screener Input'!K$17+'Screener Input'!K$25))</f>
        <v>0.45019832974742269</v>
      </c>
      <c r="M171" s="224"/>
      <c r="N171" s="224"/>
    </row>
    <row r="172" spans="1:14">
      <c r="A172" s="159" t="s">
        <v>284</v>
      </c>
      <c r="B172" s="126"/>
      <c r="C172" s="224">
        <f>IF(('Screener Input'!B20)/('Screener Input'!B$17+'Screener Input'!B$25)&lt;0, 0, ('Screener Input'!B20)/('Screener Input'!B$17+'Screener Input'!B$25))</f>
        <v>4.6189489086696754E-2</v>
      </c>
      <c r="D172" s="224">
        <f>IF(('Screener Input'!C20)/('Screener Input'!C$17+'Screener Input'!C$25)&lt;0, 0, ('Screener Input'!C20)/('Screener Input'!C$17+'Screener Input'!C$25))</f>
        <v>4.0945107740848301E-2</v>
      </c>
      <c r="E172" s="224">
        <f>IF(('Screener Input'!D20)/('Screener Input'!D$17+'Screener Input'!D$25)&lt;0, 0, ('Screener Input'!D20)/('Screener Input'!D$17+'Screener Input'!D$25))</f>
        <v>4.119202754015041E-2</v>
      </c>
      <c r="F172" s="224">
        <f>IF(('Screener Input'!E20)/('Screener Input'!E$17+'Screener Input'!E$25)&lt;0, 0, ('Screener Input'!E20)/('Screener Input'!E$17+'Screener Input'!E$25))</f>
        <v>3.6711240378817442E-2</v>
      </c>
      <c r="G172" s="224">
        <f>IF(('Screener Input'!F20)/('Screener Input'!F$17+'Screener Input'!F$25)&lt;0, 0, ('Screener Input'!F20)/('Screener Input'!F$17+'Screener Input'!F$25))</f>
        <v>3.9527140544338209E-2</v>
      </c>
      <c r="H172" s="224">
        <f>IF(('Screener Input'!G20)/('Screener Input'!G$17+'Screener Input'!G$25)&lt;0, 0, ('Screener Input'!G20)/('Screener Input'!G$17+'Screener Input'!G$25))</f>
        <v>3.6603320190208656E-2</v>
      </c>
      <c r="I172" s="224">
        <f>IF(('Screener Input'!H20)/('Screener Input'!H$17+'Screener Input'!H$25)&lt;0, 0, ('Screener Input'!H20)/('Screener Input'!H$17+'Screener Input'!H$25))</f>
        <v>3.4186551578187771E-2</v>
      </c>
      <c r="J172" s="224">
        <f>IF(('Screener Input'!I20)/('Screener Input'!I$17+'Screener Input'!I$25)&lt;0, 0, ('Screener Input'!I20)/('Screener Input'!I$17+'Screener Input'!I$25))</f>
        <v>3.0141695813587041E-2</v>
      </c>
      <c r="K172" s="224">
        <f>IF(('Screener Input'!J20)/('Screener Input'!J$17+'Screener Input'!J$25)&lt;0, 0, ('Screener Input'!J20)/('Screener Input'!J$17+'Screener Input'!J$25))</f>
        <v>2.8958632262457748E-2</v>
      </c>
      <c r="L172" s="224">
        <f>IF(('Screener Input'!K20)/('Screener Input'!K$17+'Screener Input'!K$25)&lt;0, 0, ('Screener Input'!K20)/('Screener Input'!K$17+'Screener Input'!K$25))</f>
        <v>2.7531635889016914E-2</v>
      </c>
      <c r="M172" s="224"/>
      <c r="N172" s="224"/>
    </row>
    <row r="173" spans="1:14">
      <c r="A173" s="159" t="s">
        <v>285</v>
      </c>
      <c r="B173" s="126"/>
      <c r="C173" s="224">
        <f>IF(('Screener Input'!B21)/('Screener Input'!B$17+'Screener Input'!B$25)&lt;0, 0, ('Screener Input'!B21)/('Screener Input'!B$17+'Screener Input'!B$25))</f>
        <v>7.5283502011949777E-2</v>
      </c>
      <c r="D173" s="224">
        <f>IF(('Screener Input'!C21)/('Screener Input'!C$17+'Screener Input'!C$25)&lt;0, 0, ('Screener Input'!C21)/('Screener Input'!C$17+'Screener Input'!C$25))</f>
        <v>1.7765587465490659E-2</v>
      </c>
      <c r="E173" s="224">
        <f>IF(('Screener Input'!D21)/('Screener Input'!D$17+'Screener Input'!D$25)&lt;0, 0, ('Screener Input'!D21)/('Screener Input'!D$17+'Screener Input'!D$25))</f>
        <v>2.2915650901999027E-2</v>
      </c>
      <c r="F173" s="224">
        <f>IF(('Screener Input'!E21)/('Screener Input'!E$17+'Screener Input'!E$25)&lt;0, 0, ('Screener Input'!E21)/('Screener Input'!E$17+'Screener Input'!E$25))</f>
        <v>5.0154293618983437E-2</v>
      </c>
      <c r="G173" s="224">
        <f>IF(('Screener Input'!F21)/('Screener Input'!F$17+'Screener Input'!F$25)&lt;0, 0, ('Screener Input'!F21)/('Screener Input'!F$17+'Screener Input'!F$25))</f>
        <v>7.0226349390597798E-2</v>
      </c>
      <c r="H173" s="224">
        <f>IF(('Screener Input'!G21)/('Screener Input'!G$17+'Screener Input'!G$25)&lt;0, 0, ('Screener Input'!G21)/('Screener Input'!G$17+'Screener Input'!G$25))</f>
        <v>8.4671619311932039E-2</v>
      </c>
      <c r="I173" s="224">
        <f>IF(('Screener Input'!H21)/('Screener Input'!H$17+'Screener Input'!H$25)&lt;0, 0, ('Screener Input'!H21)/('Screener Input'!H$17+'Screener Input'!H$25))</f>
        <v>0.15813795352516288</v>
      </c>
      <c r="J173" s="224">
        <f>IF(('Screener Input'!I21)/('Screener Input'!I$17+'Screener Input'!I$25)&lt;0, 0, ('Screener Input'!I21)/('Screener Input'!I$17+'Screener Input'!I$25))</f>
        <v>0.10259517016628665</v>
      </c>
      <c r="K173" s="224">
        <f>IF(('Screener Input'!J21)/('Screener Input'!J$17+'Screener Input'!J$25)&lt;0, 0, ('Screener Input'!J21)/('Screener Input'!J$17+'Screener Input'!J$25))</f>
        <v>9.9248522580802065E-2</v>
      </c>
      <c r="L173" s="224">
        <f>IF(('Screener Input'!K21)/('Screener Input'!K$17+'Screener Input'!K$25)&lt;0, 0, ('Screener Input'!K21)/('Screener Input'!K$17+'Screener Input'!K$25))</f>
        <v>9.5009636072561146E-2</v>
      </c>
      <c r="M173" s="224"/>
      <c r="N173" s="224"/>
    </row>
    <row r="174" spans="1:14">
      <c r="A174" s="159" t="s">
        <v>16</v>
      </c>
      <c r="B174" s="126"/>
      <c r="C174" s="224">
        <f>IF(('Screener Input'!B22)/('Screener Input'!B$17+'Screener Input'!B$25)&lt;0, 0, ('Screener Input'!B22)/('Screener Input'!B$17+'Screener Input'!B$25))</f>
        <v>8.1502255822460692E-2</v>
      </c>
      <c r="D174" s="224">
        <f>IF(('Screener Input'!C22)/('Screener Input'!C$17+'Screener Input'!C$25)&lt;0, 0, ('Screener Input'!C22)/('Screener Input'!C$17+'Screener Input'!C$25))</f>
        <v>9.9261410490839322E-2</v>
      </c>
      <c r="E174" s="224">
        <f>IF(('Screener Input'!D22)/('Screener Input'!D$17+'Screener Input'!D$25)&lt;0, 0, ('Screener Input'!D22)/('Screener Input'!D$17+'Screener Input'!D$25))</f>
        <v>0.11004240355776193</v>
      </c>
      <c r="F174" s="224">
        <f>IF(('Screener Input'!E22)/('Screener Input'!E$17+'Screener Input'!E$25)&lt;0, 0, ('Screener Input'!E22)/('Screener Input'!E$17+'Screener Input'!E$25))</f>
        <v>9.7352770782345513E-2</v>
      </c>
      <c r="G174" s="224">
        <f>IF(('Screener Input'!F22)/('Screener Input'!F$17+'Screener Input'!F$25)&lt;0, 0, ('Screener Input'!F22)/('Screener Input'!F$17+'Screener Input'!F$25))</f>
        <v>0.11322560609300383</v>
      </c>
      <c r="H174" s="224">
        <f>IF(('Screener Input'!G22)/('Screener Input'!G$17+'Screener Input'!G$25)&lt;0, 0, ('Screener Input'!G22)/('Screener Input'!G$17+'Screener Input'!G$25))</f>
        <v>9.6957338432640081E-2</v>
      </c>
      <c r="I174" s="224">
        <f>IF(('Screener Input'!H22)/('Screener Input'!H$17+'Screener Input'!H$25)&lt;0, 0, ('Screener Input'!H22)/('Screener Input'!H$17+'Screener Input'!H$25))</f>
        <v>9.3324359392454953E-2</v>
      </c>
      <c r="J174" s="224">
        <f>IF(('Screener Input'!I22)/('Screener Input'!I$17+'Screener Input'!I$25)&lt;0, 0, ('Screener Input'!I22)/('Screener Input'!I$17+'Screener Input'!I$25))</f>
        <v>9.5999809003115638E-2</v>
      </c>
      <c r="K174" s="224">
        <f>IF(('Screener Input'!J22)/('Screener Input'!J$17+'Screener Input'!J$25)&lt;0, 0, ('Screener Input'!J22)/('Screener Input'!J$17+'Screener Input'!J$25))</f>
        <v>0.1076388044456334</v>
      </c>
      <c r="L174" s="224">
        <f>IF(('Screener Input'!K22)/('Screener Input'!K$17+'Screener Input'!K$25)&lt;0, 0, ('Screener Input'!K22)/('Screener Input'!K$17+'Screener Input'!K$25))</f>
        <v>0.1091476409466804</v>
      </c>
      <c r="M174" s="224"/>
      <c r="N174" s="224"/>
    </row>
    <row r="175" spans="1:14">
      <c r="A175" s="159" t="s">
        <v>286</v>
      </c>
      <c r="B175" s="126"/>
      <c r="C175" s="224">
        <f>IF(('Screener Input'!B23)/('Screener Input'!B$17+'Screener Input'!B$25)&lt;0, 0, ('Screener Input'!B23)/('Screener Input'!B$17+'Screener Input'!B$25))</f>
        <v>0.12344835995610293</v>
      </c>
      <c r="D175" s="224">
        <f>IF(('Screener Input'!C23)/('Screener Input'!C$17+'Screener Input'!C$25)&lt;0, 0, ('Screener Input'!C23)/('Screener Input'!C$17+'Screener Input'!C$25))</f>
        <v>0.14314653472446306</v>
      </c>
      <c r="E175" s="224">
        <f>IF(('Screener Input'!D23)/('Screener Input'!D$17+'Screener Input'!D$25)&lt;0, 0, ('Screener Input'!D23)/('Screener Input'!D$17+'Screener Input'!D$25))</f>
        <v>0.17921782426901883</v>
      </c>
      <c r="F175" s="224">
        <f>IF(('Screener Input'!E23)/('Screener Input'!E$17+'Screener Input'!E$25)&lt;0, 0, ('Screener Input'!E23)/('Screener Input'!E$17+'Screener Input'!E$25))</f>
        <v>0.16823324938814599</v>
      </c>
      <c r="G175" s="224">
        <f>IF(('Screener Input'!F23)/('Screener Input'!F$17+'Screener Input'!F$25)&lt;0, 0, ('Screener Input'!F23)/('Screener Input'!F$17+'Screener Input'!F$25))</f>
        <v>0.20721711417254685</v>
      </c>
      <c r="H175" s="224">
        <f>IF(('Screener Input'!G23)/('Screener Input'!G$17+'Screener Input'!G$25)&lt;0, 0, ('Screener Input'!G23)/('Screener Input'!G$17+'Screener Input'!G$25))</f>
        <v>0.21263093767451308</v>
      </c>
      <c r="I175" s="224">
        <f>IF(('Screener Input'!H23)/('Screener Input'!H$17+'Screener Input'!H$25)&lt;0, 0, ('Screener Input'!H23)/('Screener Input'!H$17+'Screener Input'!H$25))</f>
        <v>0.2116277294773142</v>
      </c>
      <c r="J175" s="224">
        <f>IF(('Screener Input'!I23)/('Screener Input'!I$17+'Screener Input'!I$25)&lt;0, 0, ('Screener Input'!I23)/('Screener Input'!I$17+'Screener Input'!I$25))</f>
        <v>0.22230246744099985</v>
      </c>
      <c r="K175" s="224">
        <f>IF(('Screener Input'!J23)/('Screener Input'!J$17+'Screener Input'!J$25)&lt;0, 0, ('Screener Input'!J23)/('Screener Input'!J$17+'Screener Input'!J$25))</f>
        <v>0.15650915635107859</v>
      </c>
      <c r="L175" s="224">
        <f>IF(('Screener Input'!K23)/('Screener Input'!K$17+'Screener Input'!K$25)&lt;0, 0, ('Screener Input'!K23)/('Screener Input'!K$17+'Screener Input'!K$25))</f>
        <v>0.14955796429044854</v>
      </c>
      <c r="M175" s="224"/>
      <c r="N175" s="224"/>
    </row>
    <row r="176" spans="1:14">
      <c r="A176" s="159" t="s">
        <v>287</v>
      </c>
      <c r="B176" s="126"/>
      <c r="C176" s="224">
        <f>IF(('Screener Input'!B24)/('Screener Input'!B$17+'Screener Input'!B$25)&lt;0, 0, ('Screener Input'!B24)/('Screener Input'!B$17+'Screener Input'!B$25))</f>
        <v>1.1023045970003658E-2</v>
      </c>
      <c r="D176" s="224">
        <f>IF(('Screener Input'!C24)/('Screener Input'!C$17+'Screener Input'!C$25)&lt;0, 0, ('Screener Input'!C24)/('Screener Input'!C$17+'Screener Input'!C$25))</f>
        <v>8.8559033379943357E-3</v>
      </c>
      <c r="E176" s="224">
        <f>IF(('Screener Input'!D24)/('Screener Input'!D$17+'Screener Input'!D$25)&lt;0, 0, ('Screener Input'!D24)/('Screener Input'!D$17+'Screener Input'!D$25))</f>
        <v>0</v>
      </c>
      <c r="F176" s="224">
        <f>IF(('Screener Input'!E24)/('Screener Input'!E$17+'Screener Input'!E$25)&lt;0, 0, ('Screener Input'!E24)/('Screener Input'!E$17+'Screener Input'!E$25))</f>
        <v>0</v>
      </c>
      <c r="G176" s="224">
        <f>IF(('Screener Input'!F24)/('Screener Input'!F$17+'Screener Input'!F$25)&lt;0, 0, ('Screener Input'!F24)/('Screener Input'!F$17+'Screener Input'!F$25))</f>
        <v>0</v>
      </c>
      <c r="H176" s="224">
        <f>IF(('Screener Input'!G24)/('Screener Input'!G$17+'Screener Input'!G$25)&lt;0, 0, ('Screener Input'!G24)/('Screener Input'!G$17+'Screener Input'!G$25))</f>
        <v>0</v>
      </c>
      <c r="I176" s="224">
        <f>IF(('Screener Input'!H24)/('Screener Input'!H$17+'Screener Input'!H$25)&lt;0, 0, ('Screener Input'!H24)/('Screener Input'!H$17+'Screener Input'!H$25))</f>
        <v>0</v>
      </c>
      <c r="J176" s="224">
        <f>IF(('Screener Input'!I24)/('Screener Input'!I$17+'Screener Input'!I$25)&lt;0, 0, ('Screener Input'!I24)/('Screener Input'!I$17+'Screener Input'!I$25))</f>
        <v>0</v>
      </c>
      <c r="K176" s="224">
        <f>IF(('Screener Input'!J24)/('Screener Input'!J$17+'Screener Input'!J$25)&lt;0, 0, ('Screener Input'!J24)/('Screener Input'!J$17+'Screener Input'!J$25))</f>
        <v>1.7680391060093874E-2</v>
      </c>
      <c r="L176" s="224">
        <f>IF(('Screener Input'!K24)/('Screener Input'!K$17+'Screener Input'!K$25)&lt;0, 0, ('Screener Input'!K24)/('Screener Input'!K$17+'Screener Input'!K$25))</f>
        <v>1.2261774872793644E-2</v>
      </c>
      <c r="M176" s="224"/>
      <c r="N176" s="224"/>
    </row>
    <row r="177" spans="1:14">
      <c r="A177" s="163" t="s">
        <v>18</v>
      </c>
      <c r="B177" s="126"/>
      <c r="C177" s="224">
        <f>IF(('Screener Input'!B26)/('Screener Input'!B$17+'Screener Input'!B$25)&lt;0, 0, ('Screener Input'!B26)/('Screener Input'!B$17+'Screener Input'!B$25))</f>
        <v>2.5533471527862461E-2</v>
      </c>
      <c r="D177" s="224">
        <f>IF(('Screener Input'!C26)/('Screener Input'!C$17+'Screener Input'!C$25)&lt;0, 0, ('Screener Input'!C26)/('Screener Input'!C$17+'Screener Input'!C$25))</f>
        <v>2.7715033523358787E-2</v>
      </c>
      <c r="E177" s="224">
        <f>IF(('Screener Input'!D26)/('Screener Input'!D$17+'Screener Input'!D$25)&lt;0, 0, ('Screener Input'!D26)/('Screener Input'!D$17+'Screener Input'!D$25))</f>
        <v>3.0967894449123123E-2</v>
      </c>
      <c r="F177" s="224">
        <f>IF(('Screener Input'!E26)/('Screener Input'!E$17+'Screener Input'!E$25)&lt;0, 0, ('Screener Input'!E26)/('Screener Input'!E$17+'Screener Input'!E$25))</f>
        <v>2.7311744049941477E-2</v>
      </c>
      <c r="G177" s="224">
        <f>IF(('Screener Input'!F26)/('Screener Input'!F$17+'Screener Input'!F$25)&lt;0, 0, ('Screener Input'!F26)/('Screener Input'!F$17+'Screener Input'!F$25))</f>
        <v>2.5964504994348901E-2</v>
      </c>
      <c r="H177" s="224">
        <f>IF(('Screener Input'!G26)/('Screener Input'!G$17+'Screener Input'!G$25)&lt;0, 0, ('Screener Input'!G26)/('Screener Input'!G$17+'Screener Input'!G$25))</f>
        <v>2.636522092295196E-2</v>
      </c>
      <c r="I177" s="224">
        <f>IF(('Screener Input'!H26)/('Screener Input'!H$17+'Screener Input'!H$25)&lt;0, 0, ('Screener Input'!H26)/('Screener Input'!H$17+'Screener Input'!H$25))</f>
        <v>2.768507018408143E-2</v>
      </c>
      <c r="J177" s="224">
        <f>IF(('Screener Input'!I26)/('Screener Input'!I$17+'Screener Input'!I$25)&lt;0, 0, ('Screener Input'!I26)/('Screener Input'!I$17+'Screener Input'!I$25))</f>
        <v>2.8124291222499431E-2</v>
      </c>
      <c r="K177" s="224">
        <f>IF(('Screener Input'!J26)/('Screener Input'!J$17+'Screener Input'!J$25)&lt;0, 0, ('Screener Input'!J26)/('Screener Input'!J$17+'Screener Input'!J$25))</f>
        <v>3.128723947566818E-2</v>
      </c>
      <c r="L177" s="224">
        <f>IF(('Screener Input'!K26)/('Screener Input'!K$17+'Screener Input'!K$25)&lt;0, 0, ('Screener Input'!K26)/('Screener Input'!K$17+'Screener Input'!K$25))</f>
        <v>2.7704983226095912E-2</v>
      </c>
      <c r="M177" s="224"/>
      <c r="N177" s="224"/>
    </row>
    <row r="178" spans="1:14">
      <c r="A178" s="163" t="s">
        <v>17</v>
      </c>
      <c r="B178" s="126"/>
      <c r="C178" s="224">
        <f>IF(('Screener Input'!B27)/('Screener Input'!B$17+'Screener Input'!B$25)&lt;0, 0, ('Screener Input'!B27)/('Screener Input'!B$17+'Screener Input'!B$25))</f>
        <v>4.6604072674064141E-2</v>
      </c>
      <c r="D178" s="224">
        <f>IF(('Screener Input'!C27)/('Screener Input'!C$17+'Screener Input'!C$25)&lt;0, 0, ('Screener Input'!C27)/('Screener Input'!C$17+'Screener Input'!C$25))</f>
        <v>4.5803305725861387E-2</v>
      </c>
      <c r="E178" s="224">
        <f>IF(('Screener Input'!D27)/('Screener Input'!D$17+'Screener Input'!D$25)&lt;0, 0, ('Screener Input'!D27)/('Screener Input'!D$17+'Screener Input'!D$25))</f>
        <v>2.3506641254081528E-2</v>
      </c>
      <c r="F178" s="224">
        <f>IF(('Screener Input'!E27)/('Screener Input'!E$17+'Screener Input'!E$25)&lt;0, 0, ('Screener Input'!E27)/('Screener Input'!E$17+'Screener Input'!E$25))</f>
        <v>2.2074037290580408E-2</v>
      </c>
      <c r="G178" s="224">
        <f>IF(('Screener Input'!F27)/('Screener Input'!F$17+'Screener Input'!F$25)&lt;0, 0, ('Screener Input'!F27)/('Screener Input'!F$17+'Screener Input'!F$25))</f>
        <v>1.802242111372453E-2</v>
      </c>
      <c r="H178" s="224">
        <f>IF(('Screener Input'!G27)/('Screener Input'!G$17+'Screener Input'!G$25)&lt;0, 0, ('Screener Input'!G27)/('Screener Input'!G$17+'Screener Input'!G$25))</f>
        <v>1.9173167718680724E-2</v>
      </c>
      <c r="I178" s="224">
        <f>IF(('Screener Input'!H27)/('Screener Input'!H$17+'Screener Input'!H$25)&lt;0, 0, ('Screener Input'!H27)/('Screener Input'!H$17+'Screener Input'!H$25))</f>
        <v>1.2822558822100873E-2</v>
      </c>
      <c r="J178" s="224">
        <f>IF(('Screener Input'!I27)/('Screener Input'!I$17+'Screener Input'!I$25)&lt;0, 0, ('Screener Input'!I27)/('Screener Input'!I$17+'Screener Input'!I$25))</f>
        <v>1.3662245884614007E-2</v>
      </c>
      <c r="K178" s="224">
        <f>IF(('Screener Input'!J27)/('Screener Input'!J$17+'Screener Input'!J$25)&lt;0, 0, ('Screener Input'!J27)/('Screener Input'!J$17+'Screener Input'!J$25))</f>
        <v>9.138111335392397E-3</v>
      </c>
      <c r="L178" s="224">
        <f>IF(('Screener Input'!K27)/('Screener Input'!K$17+'Screener Input'!K$25)&lt;0, 0, ('Screener Input'!K27)/('Screener Input'!K$17+'Screener Input'!K$25))</f>
        <v>4.3795694867899129E-3</v>
      </c>
      <c r="M178" s="224"/>
      <c r="N178" s="224"/>
    </row>
    <row r="179" spans="1:14">
      <c r="A179" s="163" t="s">
        <v>19</v>
      </c>
      <c r="B179" s="126"/>
      <c r="C179" s="224">
        <f>IF(('Screener Input'!B29)/('Screener Input'!B$17+'Screener Input'!B$25)&lt;0, 0, ('Screener Input'!B29)/('Screener Input'!B$17+'Screener Input'!B$25))</f>
        <v>2.3826362638702598E-2</v>
      </c>
      <c r="D179" s="224">
        <f>IF(('Screener Input'!C29)/('Screener Input'!C$17+'Screener Input'!C$25)&lt;0, 0, ('Screener Input'!C29)/('Screener Input'!C$17+'Screener Input'!C$25))</f>
        <v>2.8898210892402566E-2</v>
      </c>
      <c r="E179" s="224">
        <f>IF(('Screener Input'!D29)/('Screener Input'!D$17+'Screener Input'!D$25)&lt;0, 0, ('Screener Input'!D29)/('Screener Input'!D$17+'Screener Input'!D$25))</f>
        <v>1.3046112022221239E-2</v>
      </c>
      <c r="F179" s="224">
        <f>IF(('Screener Input'!E29)/('Screener Input'!E$17+'Screener Input'!E$25)&lt;0, 0, ('Screener Input'!E29)/('Screener Input'!E$17+'Screener Input'!E$25))</f>
        <v>1.6067818252757778E-2</v>
      </c>
      <c r="G179" s="224">
        <f>IF(('Screener Input'!F29)/('Screener Input'!F$17+'Screener Input'!F$25)&lt;0, 0, ('Screener Input'!F29)/('Screener Input'!F$17+'Screener Input'!F$25))</f>
        <v>2.3296779383164816E-2</v>
      </c>
      <c r="H179" s="224">
        <f>IF(('Screener Input'!G29)/('Screener Input'!G$17+'Screener Input'!G$25)&lt;0, 0, ('Screener Input'!G29)/('Screener Input'!G$17+'Screener Input'!G$25))</f>
        <v>2.5299104800907045E-2</v>
      </c>
      <c r="I179" s="224">
        <f>IF(('Screener Input'!H29)/('Screener Input'!H$17+'Screener Input'!H$25)&lt;0, 0, ('Screener Input'!H29)/('Screener Input'!H$17+'Screener Input'!H$25))</f>
        <v>2.747691176164473E-2</v>
      </c>
      <c r="J179" s="224">
        <f>IF(('Screener Input'!I29)/('Screener Input'!I$17+'Screener Input'!I$25)&lt;0, 0, ('Screener Input'!I29)/('Screener Input'!I$17+'Screener Input'!I$25))</f>
        <v>3.4206348258944023E-2</v>
      </c>
      <c r="K179" s="224">
        <f>IF(('Screener Input'!J29)/('Screener Input'!J$17+'Screener Input'!J$25)&lt;0, 0, ('Screener Input'!J29)/('Screener Input'!J$17+'Screener Input'!J$25))</f>
        <v>3.5312142805029305E-2</v>
      </c>
      <c r="L179" s="224">
        <f>IF(('Screener Input'!K29)/('Screener Input'!K$17+'Screener Input'!K$25)&lt;0, 0, ('Screener Input'!K29)/('Screener Input'!K$17+'Screener Input'!K$25))</f>
        <v>4.208771375256197E-2</v>
      </c>
      <c r="M179" s="224"/>
      <c r="N179" s="224"/>
    </row>
    <row r="180" spans="1:14">
      <c r="A180" s="163" t="s">
        <v>288</v>
      </c>
      <c r="B180" s="126"/>
      <c r="C180" s="253">
        <f>1-SUM(C171:C179)</f>
        <v>3.4703084989635147E-2</v>
      </c>
      <c r="D180" s="253">
        <f t="shared" ref="D180:L180" si="74">1-SUM(D171:D179)</f>
        <v>6.7566598544333445E-2</v>
      </c>
      <c r="E180" s="253">
        <f t="shared" si="74"/>
        <v>2.4127181123767993E-2</v>
      </c>
      <c r="F180" s="253">
        <f t="shared" si="74"/>
        <v>3.9146833138249182E-2</v>
      </c>
      <c r="G180" s="253">
        <f t="shared" si="74"/>
        <v>2.4549184918186473E-2</v>
      </c>
      <c r="H180" s="253">
        <f t="shared" si="74"/>
        <v>3.1932716226964364E-2</v>
      </c>
      <c r="I180" s="253">
        <f t="shared" si="74"/>
        <v>4.8084595582878253E-2</v>
      </c>
      <c r="J180" s="253">
        <f t="shared" si="74"/>
        <v>5.0429146124553847E-2</v>
      </c>
      <c r="K180" s="253">
        <f t="shared" si="74"/>
        <v>7.2928573165689903E-2</v>
      </c>
      <c r="L180" s="253">
        <f t="shared" si="74"/>
        <v>8.2120751715628937E-2</v>
      </c>
      <c r="M180" s="253"/>
      <c r="N180" s="253"/>
    </row>
    <row r="181" spans="1:14">
      <c r="A181" s="159"/>
      <c r="B181" s="126"/>
      <c r="C181" s="224">
        <f>SUM(C171:C180)</f>
        <v>1</v>
      </c>
      <c r="D181" s="224">
        <f t="shared" ref="D181:L181" si="75">SUM(D171:D180)</f>
        <v>1</v>
      </c>
      <c r="E181" s="224">
        <f t="shared" si="75"/>
        <v>1</v>
      </c>
      <c r="F181" s="224">
        <f t="shared" si="75"/>
        <v>1</v>
      </c>
      <c r="G181" s="224">
        <f t="shared" si="75"/>
        <v>1</v>
      </c>
      <c r="H181" s="224">
        <f t="shared" si="75"/>
        <v>1</v>
      </c>
      <c r="I181" s="224">
        <f t="shared" si="75"/>
        <v>1</v>
      </c>
      <c r="J181" s="224">
        <f t="shared" si="75"/>
        <v>1</v>
      </c>
      <c r="K181" s="224">
        <f t="shared" si="75"/>
        <v>1</v>
      </c>
      <c r="L181" s="224">
        <f t="shared" si="75"/>
        <v>1</v>
      </c>
      <c r="M181" s="224"/>
      <c r="N181" s="224"/>
    </row>
    <row r="182" spans="1:14">
      <c r="A182" s="159"/>
      <c r="B182" s="126"/>
      <c r="C182" s="224"/>
      <c r="D182" s="224"/>
      <c r="E182" s="224"/>
      <c r="F182" s="224"/>
      <c r="G182" s="224"/>
      <c r="H182" s="224"/>
      <c r="I182" s="224"/>
      <c r="J182" s="224"/>
      <c r="K182" s="224"/>
      <c r="L182" s="224"/>
      <c r="M182" s="224"/>
      <c r="N182" s="224"/>
    </row>
    <row r="183" spans="1:14">
      <c r="A183" s="230" t="s">
        <v>378</v>
      </c>
      <c r="B183" s="126"/>
      <c r="C183" s="246">
        <f t="shared" ref="C183:L183" si="76">C4</f>
        <v>39873</v>
      </c>
      <c r="D183" s="246">
        <f t="shared" si="76"/>
        <v>40238</v>
      </c>
      <c r="E183" s="246">
        <f t="shared" si="76"/>
        <v>40603</v>
      </c>
      <c r="F183" s="246">
        <f t="shared" si="76"/>
        <v>40969</v>
      </c>
      <c r="G183" s="246">
        <f t="shared" si="76"/>
        <v>41334</v>
      </c>
      <c r="H183" s="246">
        <f t="shared" si="76"/>
        <v>41699</v>
      </c>
      <c r="I183" s="246">
        <f t="shared" si="76"/>
        <v>42064</v>
      </c>
      <c r="J183" s="246">
        <f t="shared" si="76"/>
        <v>42430</v>
      </c>
      <c r="K183" s="246">
        <f t="shared" si="76"/>
        <v>42795</v>
      </c>
      <c r="L183" s="246">
        <f t="shared" si="76"/>
        <v>43160</v>
      </c>
      <c r="M183" s="246"/>
      <c r="N183" s="246"/>
    </row>
    <row r="184" spans="1:14">
      <c r="A184" s="242" t="s">
        <v>226</v>
      </c>
      <c r="B184" s="126"/>
      <c r="C184" s="246"/>
      <c r="D184" s="251">
        <f>('Screener Input'!C17+'Screener Input'!C25)</f>
        <v>557.82000000000005</v>
      </c>
      <c r="E184" s="251">
        <f>('Screener Input'!D17+'Screener Input'!D25)</f>
        <v>676.82999999999993</v>
      </c>
      <c r="F184" s="251">
        <f>('Screener Input'!E17+'Screener Input'!E25)</f>
        <v>845.79</v>
      </c>
      <c r="G184" s="251">
        <f>('Screener Input'!F17+'Screener Input'!F25)</f>
        <v>982.11</v>
      </c>
      <c r="H184" s="251">
        <f>('Screener Input'!G17+'Screener Input'!G25)</f>
        <v>1181.8599999999999</v>
      </c>
      <c r="I184" s="251">
        <f>('Screener Input'!H17+'Screener Input'!H25)</f>
        <v>1441.21</v>
      </c>
      <c r="J184" s="251">
        <f>('Screener Input'!I17+'Screener Input'!I25)</f>
        <v>1675.42</v>
      </c>
      <c r="K184" s="251">
        <f>('Screener Input'!J17+'Screener Input'!J25)</f>
        <v>1644.76</v>
      </c>
      <c r="L184" s="251">
        <f>('Screener Input'!K17+'Screener Input'!K25)</f>
        <v>1961.38</v>
      </c>
      <c r="M184" s="251"/>
      <c r="N184" s="251"/>
    </row>
    <row r="185" spans="1:14" s="244" customFormat="1">
      <c r="A185" s="242" t="s">
        <v>399</v>
      </c>
      <c r="B185" s="242"/>
      <c r="C185" s="243"/>
      <c r="D185" s="243">
        <f>('Screener Input'!C17+'Screener Input'!C25)/('Screener Input'!B17+'Screener Input'!B25)-1</f>
        <v>0.3603706865016465</v>
      </c>
      <c r="E185" s="243">
        <f>('Screener Input'!D17+'Screener Input'!D25)/('Screener Input'!C17+'Screener Input'!C25)-1</f>
        <v>0.2133483919543937</v>
      </c>
      <c r="F185" s="243">
        <f>('Screener Input'!E17+'Screener Input'!E25)/('Screener Input'!D17+'Screener Input'!D25)-1</f>
        <v>0.24963432471964908</v>
      </c>
      <c r="G185" s="243">
        <f>('Screener Input'!F17+'Screener Input'!F25)/('Screener Input'!E17+'Screener Input'!E25)-1</f>
        <v>0.16117475969212225</v>
      </c>
      <c r="H185" s="243">
        <f>('Screener Input'!G17+'Screener Input'!G25)/('Screener Input'!F17+'Screener Input'!F25)-1</f>
        <v>0.20338862245573286</v>
      </c>
      <c r="I185" s="243">
        <f>('Screener Input'!H17+'Screener Input'!H25)/('Screener Input'!G17+'Screener Input'!G25)-1</f>
        <v>0.21944223512091132</v>
      </c>
      <c r="J185" s="243">
        <f>('Screener Input'!I17+'Screener Input'!I25)/('Screener Input'!H17+'Screener Input'!H25)-1</f>
        <v>0.16250928039633372</v>
      </c>
      <c r="K185" s="243">
        <f>('Screener Input'!J17+'Screener Input'!J25)/('Screener Input'!I17+'Screener Input'!I25)-1</f>
        <v>-1.8299888983061008E-2</v>
      </c>
      <c r="L185" s="243">
        <f>('Screener Input'!K17+'Screener Input'!K25)/('Screener Input'!J17+'Screener Input'!J25)-1</f>
        <v>0.19250224956832618</v>
      </c>
      <c r="M185" s="243"/>
      <c r="N185" s="243"/>
    </row>
    <row r="186" spans="1:14" s="244" customFormat="1">
      <c r="A186" s="242" t="s">
        <v>28</v>
      </c>
      <c r="B186" s="242"/>
      <c r="C186" s="243"/>
      <c r="D186" s="250">
        <f>'Screener Input'!C30/'Screener Input'!C93</f>
        <v>3.1405192814051923</v>
      </c>
      <c r="E186" s="250">
        <f>'Screener Input'!D30/'Screener Input'!D93</f>
        <v>2.2256107722561076</v>
      </c>
      <c r="F186" s="250">
        <f>'Screener Input'!E30/'Screener Input'!E93</f>
        <v>3.3246675332466751</v>
      </c>
      <c r="G186" s="250">
        <f>'Screener Input'!F30/'Screener Input'!F93</f>
        <v>3.7337932873379329</v>
      </c>
      <c r="H186" s="250">
        <f>'Screener Input'!G30/'Screener Input'!G93</f>
        <v>5.4694530546945304</v>
      </c>
      <c r="I186" s="250">
        <f>'Screener Input'!H30/'Screener Input'!H93</f>
        <v>8.5866413358664122</v>
      </c>
      <c r="J186" s="250">
        <f>'Screener Input'!I30/'Screener Input'!I93</f>
        <v>10.020018377253525</v>
      </c>
      <c r="K186" s="250">
        <f>'Screener Input'!J30/'Screener Input'!J93</f>
        <v>9.9849954528522158</v>
      </c>
      <c r="L186" s="250">
        <f>'Screener Input'!K30/'Screener Input'!K93</f>
        <v>13.383062345777386</v>
      </c>
      <c r="M186" s="250"/>
      <c r="N186" s="250"/>
    </row>
    <row r="187" spans="1:14" s="244" customFormat="1">
      <c r="A187" s="242" t="s">
        <v>400</v>
      </c>
      <c r="B187" s="242"/>
      <c r="C187" s="243"/>
      <c r="D187" s="243">
        <f>(('Screener Input'!C30/'Screener Input'!C93)/('Screener Input'!B30/'Screener Input'!B93))-1</f>
        <v>1.6486296556570625</v>
      </c>
      <c r="E187" s="243">
        <f>(('Screener Input'!D30/'Screener Input'!D93)/('Screener Input'!C30/'Screener Input'!C93))-1</f>
        <v>-0.29132395860971072</v>
      </c>
      <c r="F187" s="243">
        <f>(('Screener Input'!E30/'Screener Input'!E93)/('Screener Input'!D30/'Screener Input'!D93))-1</f>
        <v>0.49382253837514045</v>
      </c>
      <c r="G187" s="243">
        <f>(('Screener Input'!F30/'Screener Input'!F93)/('Screener Input'!E30/'Screener Input'!E93))-1</f>
        <v>0.12305764411027575</v>
      </c>
      <c r="H187" s="243">
        <f>(('Screener Input'!G30/'Screener Input'!G93)/('Screener Input'!F30/'Screener Input'!F93))-1</f>
        <v>0.46485159562597622</v>
      </c>
      <c r="I187" s="243">
        <f>(('Screener Input'!H30/'Screener Input'!H93)/('Screener Input'!G30/'Screener Input'!G93))-1</f>
        <v>0.56992687385740393</v>
      </c>
      <c r="J187" s="243">
        <f>(('Screener Input'!I30/'Screener Input'!I93)/('Screener Input'!H30/'Screener Input'!H93))-1</f>
        <v>0.16693104851135399</v>
      </c>
      <c r="K187" s="243">
        <f>(('Screener Input'!J30/'Screener Input'!J93)/('Screener Input'!I30/'Screener Input'!I93))-1</f>
        <v>-3.4952954258861135E-3</v>
      </c>
      <c r="L187" s="243">
        <f>(('Screener Input'!K30/'Screener Input'!K93)/('Screener Input'!J30/'Screener Input'!J93))-1</f>
        <v>0.34031732001986148</v>
      </c>
      <c r="M187" s="243"/>
      <c r="N187" s="243"/>
    </row>
    <row r="188" spans="1:14" s="244" customFormat="1">
      <c r="A188" s="245"/>
      <c r="B188" s="242"/>
      <c r="C188" s="243"/>
      <c r="D188" s="243"/>
      <c r="E188" s="243"/>
      <c r="F188" s="243"/>
      <c r="G188" s="243"/>
      <c r="H188" s="243"/>
      <c r="I188" s="243"/>
      <c r="J188" s="243"/>
      <c r="K188" s="243"/>
      <c r="L188" s="243"/>
      <c r="M188" s="243"/>
      <c r="N188" s="243"/>
    </row>
    <row r="189" spans="1:14" s="244" customFormat="1">
      <c r="A189" s="230" t="s">
        <v>395</v>
      </c>
      <c r="B189" s="126"/>
      <c r="C189" s="246">
        <f>'Screener Input'!B41</f>
        <v>42460</v>
      </c>
      <c r="D189" s="246">
        <f>'Screener Input'!C41</f>
        <v>42551</v>
      </c>
      <c r="E189" s="246">
        <f>'Screener Input'!D41</f>
        <v>42643</v>
      </c>
      <c r="F189" s="246">
        <f>'Screener Input'!E41</f>
        <v>42735</v>
      </c>
      <c r="G189" s="246">
        <f>'Screener Input'!F41</f>
        <v>42825</v>
      </c>
      <c r="H189" s="246">
        <f>'Screener Input'!G41</f>
        <v>42916</v>
      </c>
      <c r="I189" s="246">
        <f>'Screener Input'!H41</f>
        <v>43008</v>
      </c>
      <c r="J189" s="246">
        <f>'Screener Input'!I41</f>
        <v>43100</v>
      </c>
      <c r="K189" s="246">
        <f>'Screener Input'!J41</f>
        <v>43190</v>
      </c>
      <c r="L189" s="246">
        <f>'Screener Input'!K41</f>
        <v>43281</v>
      </c>
      <c r="M189" s="246"/>
      <c r="N189" s="246"/>
    </row>
    <row r="190" spans="1:14" s="244" customFormat="1">
      <c r="A190" s="242" t="s">
        <v>396</v>
      </c>
      <c r="B190" s="126"/>
      <c r="C190" s="249">
        <f>('Screener Input'!B42+'Screener Input'!B44)</f>
        <v>486.15000000000003</v>
      </c>
      <c r="D190" s="249">
        <f>('Screener Input'!C42+'Screener Input'!C44)</f>
        <v>408.02</v>
      </c>
      <c r="E190" s="249">
        <f>('Screener Input'!D42+'Screener Input'!D44)</f>
        <v>393.36</v>
      </c>
      <c r="F190" s="249">
        <f>('Screener Input'!E42+'Screener Input'!E44)</f>
        <v>367.84999999999997</v>
      </c>
      <c r="G190" s="249">
        <f>('Screener Input'!F42+'Screener Input'!F44)</f>
        <v>475.53</v>
      </c>
      <c r="H190" s="249">
        <f>('Screener Input'!G42+'Screener Input'!G44)</f>
        <v>483.71999999999997</v>
      </c>
      <c r="I190" s="249">
        <f>('Screener Input'!H42+'Screener Input'!H44)</f>
        <v>461.3</v>
      </c>
      <c r="J190" s="249">
        <f>('Screener Input'!I42+'Screener Input'!I44)</f>
        <v>459.15</v>
      </c>
      <c r="K190" s="249">
        <f>('Screener Input'!J42+'Screener Input'!J44)</f>
        <v>557.21</v>
      </c>
      <c r="L190" s="249">
        <f>('Screener Input'!K42+'Screener Input'!K44)</f>
        <v>568.9</v>
      </c>
      <c r="M190" s="249"/>
      <c r="N190" s="249"/>
    </row>
    <row r="191" spans="1:14" s="244" customFormat="1">
      <c r="A191" s="242" t="s">
        <v>397</v>
      </c>
      <c r="B191" s="242"/>
      <c r="C191" s="243"/>
      <c r="D191" s="243"/>
      <c r="E191" s="243"/>
      <c r="F191" s="243"/>
      <c r="G191" s="243">
        <f t="shared" ref="G191:K191" si="77">G190/C190-1</f>
        <v>-2.1845109534094576E-2</v>
      </c>
      <c r="H191" s="243">
        <f t="shared" si="77"/>
        <v>0.18553012107249645</v>
      </c>
      <c r="I191" s="243">
        <f t="shared" si="77"/>
        <v>0.1727171039251576</v>
      </c>
      <c r="J191" s="243">
        <f t="shared" si="77"/>
        <v>0.24819899415522628</v>
      </c>
      <c r="K191" s="243">
        <f t="shared" si="77"/>
        <v>0.1717662397745674</v>
      </c>
      <c r="L191" s="243">
        <f>L190/H190-1</f>
        <v>0.17609360787232275</v>
      </c>
      <c r="M191" s="243"/>
      <c r="N191" s="243"/>
    </row>
    <row r="192" spans="1:14" s="244" customFormat="1">
      <c r="A192" s="242" t="s">
        <v>360</v>
      </c>
      <c r="B192" s="242"/>
      <c r="C192" s="249">
        <f>'Screener Input'!B49</f>
        <v>32.82</v>
      </c>
      <c r="D192" s="249">
        <f>'Screener Input'!C49</f>
        <v>36.979999999999997</v>
      </c>
      <c r="E192" s="249">
        <f>'Screener Input'!D49</f>
        <v>26.96</v>
      </c>
      <c r="F192" s="249">
        <f>'Screener Input'!E49</f>
        <v>24.34</v>
      </c>
      <c r="G192" s="249">
        <f>'Screener Input'!F49</f>
        <v>31.67</v>
      </c>
      <c r="H192" s="249">
        <f>'Screener Input'!G49</f>
        <v>37.35</v>
      </c>
      <c r="I192" s="249">
        <f>'Screener Input'!H49</f>
        <v>32.08</v>
      </c>
      <c r="J192" s="249">
        <f>'Screener Input'!I49</f>
        <v>38.18</v>
      </c>
      <c r="K192" s="249">
        <f>'Screener Input'!J49</f>
        <v>53.46</v>
      </c>
      <c r="L192" s="249">
        <f>'Screener Input'!K49</f>
        <v>45.95</v>
      </c>
      <c r="M192" s="249"/>
      <c r="N192" s="249"/>
    </row>
    <row r="193" spans="1:14" s="244" customFormat="1">
      <c r="A193" s="242" t="s">
        <v>398</v>
      </c>
      <c r="B193" s="242"/>
      <c r="C193" s="243"/>
      <c r="D193" s="243"/>
      <c r="E193" s="243"/>
      <c r="F193" s="243"/>
      <c r="G193" s="243">
        <f t="shared" ref="G193:K193" si="78">G192/C192-1</f>
        <v>-3.5039609993906096E-2</v>
      </c>
      <c r="H193" s="243">
        <f t="shared" si="78"/>
        <v>1.000540832882657E-2</v>
      </c>
      <c r="I193" s="243">
        <f t="shared" si="78"/>
        <v>0.18991097922848654</v>
      </c>
      <c r="J193" s="243">
        <f t="shared" si="78"/>
        <v>0.5686113393590797</v>
      </c>
      <c r="K193" s="243">
        <f t="shared" si="78"/>
        <v>0.68803283864856324</v>
      </c>
      <c r="L193" s="243">
        <f>L192/H192-1</f>
        <v>0.23025435073627842</v>
      </c>
      <c r="M193" s="243"/>
      <c r="N193" s="243"/>
    </row>
    <row r="194" spans="1:14" s="244" customFormat="1">
      <c r="A194" s="242"/>
      <c r="B194" s="242"/>
      <c r="C194" s="242"/>
      <c r="D194" s="242"/>
      <c r="E194" s="242"/>
      <c r="F194" s="242"/>
      <c r="G194" s="242"/>
      <c r="H194" s="242"/>
      <c r="I194" s="242"/>
      <c r="J194" s="242"/>
      <c r="K194" s="242"/>
      <c r="L194" s="242"/>
      <c r="M194" s="242"/>
      <c r="N194" s="242"/>
    </row>
    <row r="195" spans="1:14">
      <c r="A195" s="230" t="s">
        <v>373</v>
      </c>
      <c r="B195" s="126"/>
      <c r="C195" s="240">
        <f>'Screener Input'!B41</f>
        <v>42460</v>
      </c>
      <c r="D195" s="240">
        <f>'Screener Input'!C41</f>
        <v>42551</v>
      </c>
      <c r="E195" s="240">
        <f>'Screener Input'!D41</f>
        <v>42643</v>
      </c>
      <c r="F195" s="240">
        <f>'Screener Input'!E41</f>
        <v>42735</v>
      </c>
      <c r="G195" s="240">
        <f>'Screener Input'!F41</f>
        <v>42825</v>
      </c>
      <c r="H195" s="240">
        <f>'Screener Input'!G41</f>
        <v>42916</v>
      </c>
      <c r="I195" s="240">
        <f>'Screener Input'!H41</f>
        <v>43008</v>
      </c>
      <c r="J195" s="240">
        <f>'Screener Input'!I41</f>
        <v>43100</v>
      </c>
      <c r="K195" s="240">
        <f>'Screener Input'!J41</f>
        <v>43190</v>
      </c>
      <c r="L195" s="240">
        <f>'Screener Input'!K41</f>
        <v>43281</v>
      </c>
      <c r="M195" s="240"/>
      <c r="N195" s="240"/>
    </row>
    <row r="196" spans="1:14">
      <c r="A196" s="163" t="s">
        <v>289</v>
      </c>
      <c r="B196" s="126"/>
      <c r="C196" s="224">
        <f>IF('Screener Input'!B43/('Screener Input'!B42+'Screener Input'!B44)&lt;0, 0, 'Screener Input'!B43/('Screener Input'!B42+'Screener Input'!B44))</f>
        <v>0.86088655764681676</v>
      </c>
      <c r="D196" s="224">
        <f>IF('Screener Input'!C43/('Screener Input'!C42+'Screener Input'!C44)&lt;0, 0, 'Screener Input'!C43/('Screener Input'!C42+'Screener Input'!C44))</f>
        <v>0.82106269300524481</v>
      </c>
      <c r="E196" s="224">
        <f>IF('Screener Input'!D43/('Screener Input'!D42+'Screener Input'!D44)&lt;0, 0, 'Screener Input'!D43/('Screener Input'!D42+'Screener Input'!D44))</f>
        <v>0.85827232052064273</v>
      </c>
      <c r="F196" s="224">
        <f>IF('Screener Input'!E43/('Screener Input'!E42+'Screener Input'!E44)&lt;0, 0, 'Screener Input'!E43/('Screener Input'!E42+'Screener Input'!E44))</f>
        <v>0.85700693217344037</v>
      </c>
      <c r="G196" s="224">
        <f>IF('Screener Input'!F43/('Screener Input'!F42+'Screener Input'!F44)&lt;0, 0, 'Screener Input'!F43/('Screener Input'!F42+'Screener Input'!F44))</f>
        <v>0.86717977835257509</v>
      </c>
      <c r="H196" s="224">
        <f>IF('Screener Input'!G43/('Screener Input'!G42+'Screener Input'!G44)&lt;0, 0, 'Screener Input'!G43/('Screener Input'!G42+'Screener Input'!G44))</f>
        <v>0.85183577276110156</v>
      </c>
      <c r="I196" s="224">
        <f>IF('Screener Input'!H43/('Screener Input'!H42+'Screener Input'!H44)&lt;0, 0, 'Screener Input'!H43/('Screener Input'!H42+'Screener Input'!H44))</f>
        <v>0.86351615001083881</v>
      </c>
      <c r="J196" s="224">
        <f>IF('Screener Input'!I43/('Screener Input'!I42+'Screener Input'!I44)&lt;0, 0, 'Screener Input'!I43/('Screener Input'!I42+'Screener Input'!I44))</f>
        <v>0.83989981487531307</v>
      </c>
      <c r="K196" s="224">
        <f>IF('Screener Input'!J43/('Screener Input'!J42+'Screener Input'!J44)&lt;0, 0, 'Screener Input'!J43/('Screener Input'!J42+'Screener Input'!J44))</f>
        <v>0.82338795068286641</v>
      </c>
      <c r="L196" s="253">
        <f>IF('Screener Input'!K43/('Screener Input'!K42+'Screener Input'!K44)&lt;0, 0, 'Screener Input'!K43/('Screener Input'!K42+'Screener Input'!K44))</f>
        <v>0.85006152223589393</v>
      </c>
      <c r="M196" s="224"/>
      <c r="N196" s="224"/>
    </row>
    <row r="197" spans="1:14">
      <c r="A197" s="163" t="s">
        <v>18</v>
      </c>
      <c r="B197" s="126"/>
      <c r="C197" s="224">
        <f>IF('Screener Input'!B45/('Screener Input'!B42+'Screener Input'!B44)&lt;0,0, 'Screener Input'!B45/('Screener Input'!B42+'Screener Input'!B44))</f>
        <v>2.73372415921012E-2</v>
      </c>
      <c r="D197" s="224">
        <f>IF('Screener Input'!C45/('Screener Input'!C42+'Screener Input'!C44)&lt;0,0, 'Screener Input'!C45/('Screener Input'!C42+'Screener Input'!C44))</f>
        <v>3.0684770354394392E-2</v>
      </c>
      <c r="E197" s="224">
        <f>IF('Screener Input'!D45/('Screener Input'!D42+'Screener Input'!D44)&lt;0,0, 'Screener Input'!D45/('Screener Input'!D42+'Screener Input'!D44))</f>
        <v>3.2870652837095789E-2</v>
      </c>
      <c r="F197" s="224">
        <f>IF('Screener Input'!E45/('Screener Input'!E42+'Screener Input'!E44)&lt;0,0, 'Screener Input'!E45/('Screener Input'!E42+'Screener Input'!E44))</f>
        <v>3.5394862036156043E-2</v>
      </c>
      <c r="G197" s="224">
        <f>IF('Screener Input'!F45/('Screener Input'!F42+'Screener Input'!F44)&lt;0,0, 'Screener Input'!F45/('Screener Input'!F42+'Screener Input'!F44))</f>
        <v>2.7316888524383322E-2</v>
      </c>
      <c r="H197" s="224">
        <f>IF('Screener Input'!G45/('Screener Input'!G42+'Screener Input'!G44)&lt;0,0, 'Screener Input'!G45/('Screener Input'!G42+'Screener Input'!G44))</f>
        <v>2.7763995699991731E-2</v>
      </c>
      <c r="I197" s="224">
        <f>IF('Screener Input'!H45/('Screener Input'!H42+'Screener Input'!H44)&lt;0,0, 'Screener Input'!H45/('Screener Input'!H42+'Screener Input'!H44))</f>
        <v>2.9308476045957075E-2</v>
      </c>
      <c r="J197" s="224">
        <f>IF('Screener Input'!I45/('Screener Input'!I42+'Screener Input'!I44)&lt;0,0, 'Screener Input'!I45/('Screener Input'!I42+'Screener Input'!I44))</f>
        <v>2.9685288032233477E-2</v>
      </c>
      <c r="K197" s="224">
        <f>IF('Screener Input'!J45/('Screener Input'!J42+'Screener Input'!J44)&lt;0,0, 'Screener Input'!J45/('Screener Input'!J42+'Screener Input'!J44))</f>
        <v>2.4694459898422495E-2</v>
      </c>
      <c r="L197" s="253">
        <f>IF('Screener Input'!K45/('Screener Input'!K42+'Screener Input'!K44)&lt;0,0, 'Screener Input'!K45/('Screener Input'!K42+'Screener Input'!K44))</f>
        <v>2.4573738794164177E-2</v>
      </c>
      <c r="M197" s="224"/>
      <c r="N197" s="224"/>
    </row>
    <row r="198" spans="1:14">
      <c r="A198" s="163" t="s">
        <v>17</v>
      </c>
      <c r="B198" s="126"/>
      <c r="C198" s="224">
        <f>IF('Screener Input'!B46/('Screener Input'!B42+'Screener Input'!B44)&lt;0, 0, 'Screener Input'!B46/('Screener Input'!B42+'Screener Input'!B44))</f>
        <v>1.1313380643834206E-2</v>
      </c>
      <c r="D198" s="224">
        <f>IF('Screener Input'!C46/('Screener Input'!C42+'Screener Input'!C44)&lt;0, 0, 'Screener Input'!C46/('Screener Input'!C42+'Screener Input'!C44))</f>
        <v>1.1568060389196609E-2</v>
      </c>
      <c r="E198" s="224">
        <f>IF('Screener Input'!D46/('Screener Input'!D42+'Screener Input'!D44)&lt;0, 0, 'Screener Input'!D46/('Screener Input'!D42+'Screener Input'!D44))</f>
        <v>9.3044539353264177E-3</v>
      </c>
      <c r="F198" s="224">
        <f>IF('Screener Input'!E46/('Screener Input'!E42+'Screener Input'!E44)&lt;0, 0, 'Screener Input'!E46/('Screener Input'!E42+'Screener Input'!E44))</f>
        <v>1.0167187712382767E-2</v>
      </c>
      <c r="G198" s="224">
        <f>IF('Screener Input'!F46/('Screener Input'!F42+'Screener Input'!F44)&lt;0, 0, 'Screener Input'!F46/('Screener Input'!F42+'Screener Input'!F44))</f>
        <v>6.1194877294807907E-3</v>
      </c>
      <c r="H198" s="224">
        <f>IF('Screener Input'!G46/('Screener Input'!G42+'Screener Input'!G44)&lt;0, 0, 'Screener Input'!G46/('Screener Input'!G42+'Screener Input'!G44))</f>
        <v>4.7548168361862229E-3</v>
      </c>
      <c r="I198" s="224">
        <f>IF('Screener Input'!H46/('Screener Input'!H42+'Screener Input'!H44)&lt;0, 0, 'Screener Input'!H46/('Screener Input'!H42+'Screener Input'!H44))</f>
        <v>4.0104053761109912E-3</v>
      </c>
      <c r="J198" s="224">
        <f>IF('Screener Input'!I46/('Screener Input'!I42+'Screener Input'!I44)&lt;0, 0, 'Screener Input'!I46/('Screener Input'!I42+'Screener Input'!I44))</f>
        <v>4.3340956114559515E-3</v>
      </c>
      <c r="K198" s="224">
        <f>IF('Screener Input'!J46/('Screener Input'!J42+'Screener Input'!J44)&lt;0, 0, 'Screener Input'!J46/('Screener Input'!J42+'Screener Input'!J44))</f>
        <v>4.3969060138906333E-3</v>
      </c>
      <c r="L198" s="253">
        <f>IF('Screener Input'!K46/('Screener Input'!K42+'Screener Input'!K44)&lt;0, 0, 'Screener Input'!K46/('Screener Input'!K42+'Screener Input'!K44))</f>
        <v>3.4100896466865882E-3</v>
      </c>
      <c r="M198" s="224"/>
      <c r="N198" s="224"/>
    </row>
    <row r="199" spans="1:14">
      <c r="A199" s="163" t="s">
        <v>19</v>
      </c>
      <c r="B199" s="126"/>
      <c r="C199" s="224">
        <f>IF('Screener Input'!B48/('Screener Input'!B42+'Screener Input'!B44)&lt;0, 0, 'Screener Input'!B48/('Screener Input'!B42+'Screener Input'!B44))</f>
        <v>3.2952792348040723E-2</v>
      </c>
      <c r="D199" s="224">
        <f>IF('Screener Input'!C48/('Screener Input'!C42+'Screener Input'!C44)&lt;0, 0, 'Screener Input'!C48/('Screener Input'!C42+'Screener Input'!C44))</f>
        <v>4.6051664134111076E-2</v>
      </c>
      <c r="E199" s="224">
        <f>IF('Screener Input'!D48/('Screener Input'!D42+'Screener Input'!D44)&lt;0, 0, 'Screener Input'!D48/('Screener Input'!D42+'Screener Input'!D44))</f>
        <v>3.1014846451088058E-2</v>
      </c>
      <c r="F199" s="224">
        <f>IF('Screener Input'!E48/('Screener Input'!E42+'Screener Input'!E44)&lt;0, 0, 'Screener Input'!E48/('Screener Input'!E42+'Screener Input'!E44))</f>
        <v>3.1262742965882835E-2</v>
      </c>
      <c r="G199" s="224">
        <f>IF('Screener Input'!F48/('Screener Input'!F42+'Screener Input'!F44)&lt;0, 0, 'Screener Input'!F48/('Screener Input'!F42+'Screener Input'!F44))</f>
        <v>3.2784472062751036E-2</v>
      </c>
      <c r="H199" s="224">
        <f>IF('Screener Input'!G48/('Screener Input'!G42+'Screener Input'!G44)&lt;0, 0, 'Screener Input'!G48/('Screener Input'!G42+'Screener Input'!G44))</f>
        <v>3.8431323906392131E-2</v>
      </c>
      <c r="I199" s="224">
        <f>IF('Screener Input'!H48/('Screener Input'!H42+'Screener Input'!H44)&lt;0, 0, 'Screener Input'!H48/('Screener Input'!H42+'Screener Input'!H44))</f>
        <v>3.3622371558638627E-2</v>
      </c>
      <c r="J199" s="224">
        <f>IF('Screener Input'!I48/('Screener Input'!I42+'Screener Input'!I44)&lt;0, 0, 'Screener Input'!I48/('Screener Input'!I42+'Screener Input'!I44))</f>
        <v>4.292714799085267E-2</v>
      </c>
      <c r="K199" s="224">
        <f>IF('Screener Input'!J48/('Screener Input'!J42+'Screener Input'!J44)&lt;0, 0, 'Screener Input'!J48/('Screener Input'!J42+'Screener Input'!J44))</f>
        <v>5.157839952621094E-2</v>
      </c>
      <c r="L199" s="253">
        <f>IF('Screener Input'!K48/('Screener Input'!K42+'Screener Input'!K44)&lt;0, 0, 'Screener Input'!K48/('Screener Input'!K42+'Screener Input'!K44))</f>
        <v>4.1184742485498332E-2</v>
      </c>
      <c r="M199" s="224"/>
      <c r="N199" s="224"/>
    </row>
    <row r="200" spans="1:14">
      <c r="A200" s="163" t="s">
        <v>288</v>
      </c>
      <c r="B200" s="126"/>
      <c r="C200" s="224">
        <f>1-SUM(C196:C199)</f>
        <v>6.7510027769207115E-2</v>
      </c>
      <c r="D200" s="224">
        <f t="shared" ref="D200:L200" si="79">1-SUM(D196:D199)</f>
        <v>9.0632812117053096E-2</v>
      </c>
      <c r="E200" s="224">
        <f t="shared" si="79"/>
        <v>6.8537726255846976E-2</v>
      </c>
      <c r="F200" s="224">
        <f t="shared" si="79"/>
        <v>6.6168275112137964E-2</v>
      </c>
      <c r="G200" s="224">
        <f t="shared" si="79"/>
        <v>6.6599373330809786E-2</v>
      </c>
      <c r="H200" s="224">
        <f t="shared" si="79"/>
        <v>7.721409079632835E-2</v>
      </c>
      <c r="I200" s="224">
        <f t="shared" si="79"/>
        <v>6.9542597008454443E-2</v>
      </c>
      <c r="J200" s="224">
        <f t="shared" si="79"/>
        <v>8.3153653490144919E-2</v>
      </c>
      <c r="K200" s="224">
        <f t="shared" si="79"/>
        <v>9.5942283878609591E-2</v>
      </c>
      <c r="L200" s="253">
        <f t="shared" si="79"/>
        <v>8.0769906837757088E-2</v>
      </c>
      <c r="M200" s="224"/>
      <c r="N200" s="224"/>
    </row>
    <row r="201" spans="1:14">
      <c r="A201" s="159"/>
      <c r="B201" s="126"/>
      <c r="C201" s="126"/>
      <c r="D201" s="126"/>
      <c r="E201" s="126"/>
      <c r="F201" s="126"/>
      <c r="G201" s="126"/>
      <c r="H201" s="126"/>
      <c r="I201" s="126"/>
      <c r="J201" s="126"/>
      <c r="K201" s="126"/>
      <c r="L201" s="126"/>
      <c r="M201" s="126"/>
      <c r="N201" s="126"/>
    </row>
    <row r="202" spans="1:14">
      <c r="A202" s="163"/>
      <c r="B202" s="126"/>
      <c r="C202" s="126"/>
      <c r="D202" s="126"/>
      <c r="E202" s="126"/>
      <c r="F202" s="126"/>
      <c r="G202" s="126"/>
      <c r="H202" s="126"/>
      <c r="I202" s="126"/>
      <c r="J202" s="126"/>
      <c r="K202" s="126"/>
      <c r="L202" s="126"/>
      <c r="M202" s="126"/>
      <c r="N202" s="126"/>
    </row>
    <row r="203" spans="1:14">
      <c r="A203" s="163"/>
    </row>
    <row r="204" spans="1:14">
      <c r="A204" s="163"/>
    </row>
    <row r="205" spans="1:14">
      <c r="A205" s="163"/>
    </row>
  </sheetData>
  <mergeCells count="7">
    <mergeCell ref="A68:K68"/>
    <mergeCell ref="A85:K85"/>
    <mergeCell ref="A3:J3"/>
    <mergeCell ref="A12:K12"/>
    <mergeCell ref="A13:J13"/>
    <mergeCell ref="C38:K38"/>
    <mergeCell ref="A61:K61"/>
  </mergeCells>
  <pageMargins left="0.7" right="0.7" top="0.75" bottom="0.75" header="0.3" footer="0.3"/>
  <pageSetup orientation="portrait" r:id="rId1"/>
  <ignoredErrors>
    <ignoredError sqref="C32:L34 C47:L47 F192:L192" formula="1"/>
    <ignoredError sqref="C73:L73 M74:N74 M26:N26 M25:N25 N29 M35 M30 M32:M34" formulaRange="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K93"/>
  <sheetViews>
    <sheetView zoomScaleNormal="100" workbookViewId="0">
      <selection sqref="A1:XFD1048576"/>
    </sheetView>
  </sheetViews>
  <sheetFormatPr defaultRowHeight="15"/>
  <cols>
    <col min="1" max="1" width="27.7109375" style="159" bestFit="1" customWidth="1"/>
    <col min="2" max="11" width="13.5703125" style="159" bestFit="1" customWidth="1"/>
    <col min="12" max="16384" width="9.140625" style="159"/>
  </cols>
  <sheetData>
    <row r="1" spans="1:11" s="158" customFormat="1">
      <c r="A1" s="158" t="s">
        <v>481</v>
      </c>
      <c r="B1" s="158" t="s">
        <v>482</v>
      </c>
      <c r="E1" s="438" t="str">
        <f>IF(B2&lt;&gt;B3, "A NEW VERSION OF THE WORKSHEET IS AVAILABLE", "")</f>
        <v/>
      </c>
      <c r="F1" s="438"/>
      <c r="G1" s="438"/>
      <c r="H1" s="438"/>
      <c r="I1" s="438"/>
      <c r="J1" s="438"/>
      <c r="K1" s="438"/>
    </row>
    <row r="2" spans="1:11">
      <c r="A2" s="158" t="s">
        <v>483</v>
      </c>
      <c r="B2" s="159">
        <v>2.1</v>
      </c>
      <c r="E2" s="439" t="s">
        <v>484</v>
      </c>
      <c r="F2" s="439"/>
      <c r="G2" s="439"/>
      <c r="H2" s="439"/>
      <c r="I2" s="439"/>
      <c r="J2" s="439"/>
      <c r="K2" s="439"/>
    </row>
    <row r="3" spans="1:11">
      <c r="A3" s="158" t="s">
        <v>485</v>
      </c>
      <c r="B3" s="159">
        <v>2.1</v>
      </c>
    </row>
    <row r="4" spans="1:11">
      <c r="A4" s="158"/>
    </row>
    <row r="5" spans="1:11">
      <c r="A5" s="158" t="s">
        <v>486</v>
      </c>
    </row>
    <row r="6" spans="1:11">
      <c r="A6" s="159" t="s">
        <v>487</v>
      </c>
      <c r="B6" s="159">
        <f>IF(B9&gt;0, B9/B8, 0)</f>
        <v>12.035368104450065</v>
      </c>
    </row>
    <row r="7" spans="1:11">
      <c r="A7" s="159" t="s">
        <v>488</v>
      </c>
      <c r="B7">
        <v>1</v>
      </c>
    </row>
    <row r="8" spans="1:11">
      <c r="A8" s="159" t="s">
        <v>283</v>
      </c>
      <c r="B8">
        <v>731.45</v>
      </c>
    </row>
    <row r="9" spans="1:11">
      <c r="A9" s="159" t="s">
        <v>489</v>
      </c>
      <c r="B9">
        <v>8803.27</v>
      </c>
    </row>
    <row r="15" spans="1:11">
      <c r="A15" s="158" t="s">
        <v>490</v>
      </c>
    </row>
    <row r="16" spans="1:11" s="162" customFormat="1">
      <c r="A16" s="160" t="s">
        <v>491</v>
      </c>
      <c r="B16" s="161">
        <v>39903</v>
      </c>
      <c r="C16" s="161">
        <v>40268</v>
      </c>
      <c r="D16" s="161">
        <v>40633</v>
      </c>
      <c r="E16" s="161">
        <v>40999</v>
      </c>
      <c r="F16" s="161">
        <v>41364</v>
      </c>
      <c r="G16" s="161">
        <v>41729</v>
      </c>
      <c r="H16" s="161">
        <v>42094</v>
      </c>
      <c r="I16" s="161">
        <v>42460</v>
      </c>
      <c r="J16" s="161">
        <v>42825</v>
      </c>
      <c r="K16" s="161">
        <v>43190</v>
      </c>
    </row>
    <row r="17" spans="1:11" s="163" customFormat="1">
      <c r="A17" s="163" t="s">
        <v>226</v>
      </c>
      <c r="B17">
        <v>407.46</v>
      </c>
      <c r="C17">
        <v>553.70000000000005</v>
      </c>
      <c r="D17">
        <v>676.31</v>
      </c>
      <c r="E17">
        <v>844.74</v>
      </c>
      <c r="F17">
        <v>981.03</v>
      </c>
      <c r="G17">
        <v>1179.52</v>
      </c>
      <c r="H17">
        <v>1440.82</v>
      </c>
      <c r="I17">
        <v>1667.7</v>
      </c>
      <c r="J17">
        <v>1631.15</v>
      </c>
      <c r="K17">
        <v>1956.92</v>
      </c>
    </row>
    <row r="18" spans="1:11" s="163" customFormat="1">
      <c r="A18" s="159" t="s">
        <v>492</v>
      </c>
      <c r="B18">
        <v>222.83</v>
      </c>
      <c r="C18">
        <v>302.87</v>
      </c>
      <c r="D18">
        <v>412.97</v>
      </c>
      <c r="E18">
        <v>467.73</v>
      </c>
      <c r="F18">
        <v>502.96</v>
      </c>
      <c r="G18">
        <v>544.72</v>
      </c>
      <c r="H18">
        <v>630.17999999999995</v>
      </c>
      <c r="I18">
        <v>741.75</v>
      </c>
      <c r="J18">
        <v>720.67</v>
      </c>
      <c r="K18">
        <v>896.63</v>
      </c>
    </row>
    <row r="19" spans="1:11" s="163" customFormat="1">
      <c r="A19" s="159" t="s">
        <v>493</v>
      </c>
      <c r="B19">
        <v>4.7300000000000004</v>
      </c>
      <c r="C19">
        <v>12.78</v>
      </c>
      <c r="D19">
        <v>37.340000000000003</v>
      </c>
      <c r="E19">
        <v>8.51</v>
      </c>
      <c r="F19">
        <v>33.54</v>
      </c>
      <c r="G19">
        <v>-6.46</v>
      </c>
      <c r="H19">
        <v>72.930000000000007</v>
      </c>
      <c r="I19">
        <v>33.82</v>
      </c>
      <c r="J19">
        <v>-5.16</v>
      </c>
      <c r="K19">
        <v>13.62</v>
      </c>
    </row>
    <row r="20" spans="1:11" s="163" customFormat="1">
      <c r="A20" s="159" t="s">
        <v>284</v>
      </c>
      <c r="B20">
        <v>18.940000000000001</v>
      </c>
      <c r="C20">
        <v>22.84</v>
      </c>
      <c r="D20">
        <v>27.88</v>
      </c>
      <c r="E20">
        <v>31.05</v>
      </c>
      <c r="F20">
        <v>38.82</v>
      </c>
      <c r="G20">
        <v>43.26</v>
      </c>
      <c r="H20">
        <v>49.27</v>
      </c>
      <c r="I20">
        <v>50.5</v>
      </c>
      <c r="J20">
        <v>47.63</v>
      </c>
      <c r="K20">
        <v>54</v>
      </c>
    </row>
    <row r="21" spans="1:11" s="163" customFormat="1">
      <c r="A21" s="159" t="s">
        <v>285</v>
      </c>
      <c r="B21">
        <v>30.87</v>
      </c>
      <c r="C21">
        <v>9.91</v>
      </c>
      <c r="D21">
        <v>15.51</v>
      </c>
      <c r="E21">
        <v>42.42</v>
      </c>
      <c r="F21">
        <v>68.97</v>
      </c>
      <c r="G21">
        <v>100.07</v>
      </c>
      <c r="H21">
        <v>227.91</v>
      </c>
      <c r="I21">
        <v>171.89</v>
      </c>
      <c r="J21">
        <v>163.24</v>
      </c>
      <c r="K21">
        <v>186.35</v>
      </c>
    </row>
    <row r="22" spans="1:11" s="163" customFormat="1">
      <c r="A22" s="159" t="s">
        <v>16</v>
      </c>
      <c r="B22">
        <v>33.42</v>
      </c>
      <c r="C22">
        <v>55.37</v>
      </c>
      <c r="D22">
        <v>74.48</v>
      </c>
      <c r="E22">
        <v>82.34</v>
      </c>
      <c r="F22">
        <v>111.2</v>
      </c>
      <c r="G22">
        <v>114.59</v>
      </c>
      <c r="H22">
        <v>134.5</v>
      </c>
      <c r="I22">
        <v>160.84</v>
      </c>
      <c r="J22">
        <v>177.04</v>
      </c>
      <c r="K22">
        <v>214.08</v>
      </c>
    </row>
    <row r="23" spans="1:11" s="163" customFormat="1">
      <c r="A23" s="159" t="s">
        <v>286</v>
      </c>
      <c r="B23">
        <v>50.62</v>
      </c>
      <c r="C23">
        <v>79.849999999999994</v>
      </c>
      <c r="D23">
        <v>121.3</v>
      </c>
      <c r="E23">
        <v>142.29</v>
      </c>
      <c r="F23">
        <v>203.51</v>
      </c>
      <c r="G23">
        <v>251.3</v>
      </c>
      <c r="H23">
        <v>305</v>
      </c>
      <c r="I23">
        <v>372.45</v>
      </c>
      <c r="J23">
        <v>257.42</v>
      </c>
      <c r="K23">
        <v>293.33999999999997</v>
      </c>
    </row>
    <row r="24" spans="1:11" s="163" customFormat="1">
      <c r="A24" s="159" t="s">
        <v>287</v>
      </c>
      <c r="B24">
        <v>4.5199999999999996</v>
      </c>
      <c r="C24">
        <v>4.9400000000000004</v>
      </c>
      <c r="D24">
        <v>-10.38</v>
      </c>
      <c r="E24">
        <v>-6.79</v>
      </c>
      <c r="F24">
        <v>-20.7</v>
      </c>
      <c r="G24">
        <v>-27.87</v>
      </c>
      <c r="H24">
        <v>-33.74</v>
      </c>
      <c r="I24">
        <v>-35.79</v>
      </c>
      <c r="J24">
        <v>29.08</v>
      </c>
      <c r="K24">
        <v>24.05</v>
      </c>
    </row>
    <row r="25" spans="1:11" s="163" customFormat="1">
      <c r="A25" s="163" t="s">
        <v>494</v>
      </c>
      <c r="B25">
        <v>2.59</v>
      </c>
      <c r="C25">
        <v>4.12</v>
      </c>
      <c r="D25">
        <v>0.52</v>
      </c>
      <c r="E25">
        <v>1.05</v>
      </c>
      <c r="F25">
        <v>1.08</v>
      </c>
      <c r="G25">
        <v>2.34</v>
      </c>
      <c r="H25">
        <v>0.39</v>
      </c>
      <c r="I25">
        <v>7.72</v>
      </c>
      <c r="J25">
        <v>13.61</v>
      </c>
      <c r="K25">
        <v>4.46</v>
      </c>
    </row>
    <row r="26" spans="1:11" s="163" customFormat="1">
      <c r="A26" s="163" t="s">
        <v>18</v>
      </c>
      <c r="B26">
        <v>10.47</v>
      </c>
      <c r="C26">
        <v>15.46</v>
      </c>
      <c r="D26">
        <v>20.96</v>
      </c>
      <c r="E26">
        <v>23.1</v>
      </c>
      <c r="F26">
        <v>25.5</v>
      </c>
      <c r="G26">
        <v>31.16</v>
      </c>
      <c r="H26">
        <v>39.9</v>
      </c>
      <c r="I26">
        <v>47.12</v>
      </c>
      <c r="J26">
        <v>51.46</v>
      </c>
      <c r="K26">
        <v>54.34</v>
      </c>
    </row>
    <row r="27" spans="1:11" s="163" customFormat="1">
      <c r="A27" s="163" t="s">
        <v>17</v>
      </c>
      <c r="B27">
        <v>19.11</v>
      </c>
      <c r="C27">
        <v>25.55</v>
      </c>
      <c r="D27">
        <v>15.91</v>
      </c>
      <c r="E27">
        <v>18.670000000000002</v>
      </c>
      <c r="F27">
        <v>17.7</v>
      </c>
      <c r="G27">
        <v>22.66</v>
      </c>
      <c r="H27">
        <v>18.48</v>
      </c>
      <c r="I27">
        <v>22.89</v>
      </c>
      <c r="J27">
        <v>15.03</v>
      </c>
      <c r="K27">
        <v>8.59</v>
      </c>
    </row>
    <row r="28" spans="1:11" s="163" customFormat="1">
      <c r="A28" s="163" t="s">
        <v>495</v>
      </c>
      <c r="B28">
        <v>24</v>
      </c>
      <c r="C28">
        <v>53.81</v>
      </c>
      <c r="D28">
        <v>35.54</v>
      </c>
      <c r="E28">
        <v>53.49</v>
      </c>
      <c r="F28">
        <v>67.69</v>
      </c>
      <c r="G28">
        <v>95.54</v>
      </c>
      <c r="H28">
        <v>142.65</v>
      </c>
      <c r="I28">
        <v>177.59</v>
      </c>
      <c r="J28">
        <v>178.03</v>
      </c>
      <c r="K28">
        <v>243.62</v>
      </c>
    </row>
    <row r="29" spans="1:11" s="163" customFormat="1">
      <c r="A29" s="163" t="s">
        <v>19</v>
      </c>
      <c r="B29">
        <v>9.77</v>
      </c>
      <c r="C29">
        <v>16.12</v>
      </c>
      <c r="D29">
        <v>8.83</v>
      </c>
      <c r="E29">
        <v>13.59</v>
      </c>
      <c r="F29">
        <v>22.88</v>
      </c>
      <c r="G29">
        <v>29.9</v>
      </c>
      <c r="H29">
        <v>39.6</v>
      </c>
      <c r="I29">
        <v>57.31</v>
      </c>
      <c r="J29">
        <v>58.08</v>
      </c>
      <c r="K29">
        <v>82.55</v>
      </c>
    </row>
    <row r="30" spans="1:11" s="163" customFormat="1">
      <c r="A30" s="163" t="s">
        <v>288</v>
      </c>
      <c r="B30">
        <v>14.23</v>
      </c>
      <c r="C30">
        <v>37.69</v>
      </c>
      <c r="D30">
        <v>26.71</v>
      </c>
      <c r="E30">
        <v>39.9</v>
      </c>
      <c r="F30">
        <v>44.81</v>
      </c>
      <c r="G30">
        <v>65.64</v>
      </c>
      <c r="H30">
        <v>103.05</v>
      </c>
      <c r="I30">
        <v>120.28</v>
      </c>
      <c r="J30">
        <v>119.95</v>
      </c>
      <c r="K30">
        <v>161.07</v>
      </c>
    </row>
    <row r="31" spans="1:11" s="163" customFormat="1">
      <c r="A31" s="163" t="s">
        <v>496</v>
      </c>
      <c r="B31">
        <v>0.9</v>
      </c>
      <c r="C31">
        <v>1.8</v>
      </c>
      <c r="D31">
        <v>1.8</v>
      </c>
      <c r="E31">
        <v>1.8</v>
      </c>
      <c r="F31">
        <v>2.4</v>
      </c>
      <c r="G31">
        <v>3</v>
      </c>
      <c r="H31">
        <v>6</v>
      </c>
      <c r="I31">
        <v>7.2</v>
      </c>
      <c r="J31">
        <v>12.01</v>
      </c>
      <c r="K31">
        <v>18.05</v>
      </c>
    </row>
    <row r="32" spans="1:11" s="163" customFormat="1"/>
    <row r="33" spans="1:11">
      <c r="A33" s="163"/>
    </row>
    <row r="34" spans="1:11">
      <c r="A34" s="163"/>
    </row>
    <row r="35" spans="1:11">
      <c r="A35" s="163"/>
    </row>
    <row r="36" spans="1:11">
      <c r="A36" s="163"/>
    </row>
    <row r="37" spans="1:11">
      <c r="A37" s="163"/>
    </row>
    <row r="38" spans="1:11">
      <c r="A38" s="163"/>
    </row>
    <row r="39" spans="1:11">
      <c r="A39" s="163"/>
    </row>
    <row r="40" spans="1:11">
      <c r="A40" s="158" t="s">
        <v>497</v>
      </c>
    </row>
    <row r="41" spans="1:11" s="162" customFormat="1">
      <c r="A41" s="160" t="s">
        <v>491</v>
      </c>
      <c r="B41" s="161">
        <v>42460</v>
      </c>
      <c r="C41" s="161">
        <v>42551</v>
      </c>
      <c r="D41" s="161">
        <v>42643</v>
      </c>
      <c r="E41" s="161">
        <v>42735</v>
      </c>
      <c r="F41" s="161">
        <v>42825</v>
      </c>
      <c r="G41" s="161">
        <v>42916</v>
      </c>
      <c r="H41" s="161">
        <v>43008</v>
      </c>
      <c r="I41" s="161">
        <v>43100</v>
      </c>
      <c r="J41" s="161">
        <v>43190</v>
      </c>
      <c r="K41" s="161">
        <v>43281</v>
      </c>
    </row>
    <row r="42" spans="1:11" s="163" customFormat="1">
      <c r="A42" s="163" t="s">
        <v>226</v>
      </c>
      <c r="B42">
        <v>484.61</v>
      </c>
      <c r="C42">
        <v>405.19</v>
      </c>
      <c r="D42">
        <v>390.11</v>
      </c>
      <c r="E42">
        <v>366.15</v>
      </c>
      <c r="F42">
        <v>469.7</v>
      </c>
      <c r="G42">
        <v>482.96</v>
      </c>
      <c r="H42">
        <v>459.85</v>
      </c>
      <c r="I42">
        <v>457.5</v>
      </c>
      <c r="J42">
        <v>556.61</v>
      </c>
      <c r="K42">
        <v>566.48</v>
      </c>
    </row>
    <row r="43" spans="1:11" s="163" customFormat="1">
      <c r="A43" s="163" t="s">
        <v>289</v>
      </c>
      <c r="B43">
        <v>418.52</v>
      </c>
      <c r="C43">
        <v>335.01</v>
      </c>
      <c r="D43">
        <v>337.61</v>
      </c>
      <c r="E43">
        <v>315.25</v>
      </c>
      <c r="F43">
        <v>412.37</v>
      </c>
      <c r="G43">
        <v>412.05</v>
      </c>
      <c r="H43">
        <v>398.34</v>
      </c>
      <c r="I43">
        <v>385.64</v>
      </c>
      <c r="J43">
        <v>458.8</v>
      </c>
      <c r="K43">
        <v>483.6</v>
      </c>
    </row>
    <row r="44" spans="1:11" s="163" customFormat="1">
      <c r="A44" s="163" t="s">
        <v>494</v>
      </c>
      <c r="B44">
        <v>1.54</v>
      </c>
      <c r="C44">
        <v>2.83</v>
      </c>
      <c r="D44">
        <v>3.25</v>
      </c>
      <c r="E44">
        <v>1.7</v>
      </c>
      <c r="F44">
        <v>5.83</v>
      </c>
      <c r="G44">
        <v>0.76</v>
      </c>
      <c r="H44">
        <v>1.45</v>
      </c>
      <c r="I44">
        <v>1.65</v>
      </c>
      <c r="J44">
        <v>0.6</v>
      </c>
      <c r="K44">
        <v>2.42</v>
      </c>
    </row>
    <row r="45" spans="1:11" s="163" customFormat="1">
      <c r="A45" s="163" t="s">
        <v>18</v>
      </c>
      <c r="B45">
        <v>13.29</v>
      </c>
      <c r="C45">
        <v>12.52</v>
      </c>
      <c r="D45">
        <v>12.93</v>
      </c>
      <c r="E45">
        <v>13.02</v>
      </c>
      <c r="F45">
        <v>12.99</v>
      </c>
      <c r="G45">
        <v>13.43</v>
      </c>
      <c r="H45">
        <v>13.52</v>
      </c>
      <c r="I45">
        <v>13.63</v>
      </c>
      <c r="J45">
        <v>13.76</v>
      </c>
      <c r="K45">
        <v>13.98</v>
      </c>
    </row>
    <row r="46" spans="1:11" s="163" customFormat="1">
      <c r="A46" s="163" t="s">
        <v>17</v>
      </c>
      <c r="B46">
        <v>5.5</v>
      </c>
      <c r="C46">
        <v>4.72</v>
      </c>
      <c r="D46">
        <v>3.66</v>
      </c>
      <c r="E46">
        <v>3.74</v>
      </c>
      <c r="F46">
        <v>2.91</v>
      </c>
      <c r="G46">
        <v>2.2999999999999998</v>
      </c>
      <c r="H46">
        <v>1.85</v>
      </c>
      <c r="I46">
        <v>1.99</v>
      </c>
      <c r="J46">
        <v>2.4500000000000002</v>
      </c>
      <c r="K46">
        <v>1.94</v>
      </c>
    </row>
    <row r="47" spans="1:11" s="163" customFormat="1">
      <c r="A47" s="163" t="s">
        <v>495</v>
      </c>
      <c r="B47">
        <v>48.84</v>
      </c>
      <c r="C47">
        <v>55.77</v>
      </c>
      <c r="D47">
        <v>39.159999999999997</v>
      </c>
      <c r="E47">
        <v>35.840000000000003</v>
      </c>
      <c r="F47">
        <v>47.26</v>
      </c>
      <c r="G47">
        <v>55.94</v>
      </c>
      <c r="H47">
        <v>47.59</v>
      </c>
      <c r="I47">
        <v>57.89</v>
      </c>
      <c r="J47">
        <v>82.2</v>
      </c>
      <c r="K47">
        <v>69.38</v>
      </c>
    </row>
    <row r="48" spans="1:11" s="163" customFormat="1">
      <c r="A48" s="163" t="s">
        <v>19</v>
      </c>
      <c r="B48">
        <v>16.02</v>
      </c>
      <c r="C48">
        <v>18.79</v>
      </c>
      <c r="D48">
        <v>12.2</v>
      </c>
      <c r="E48">
        <v>11.5</v>
      </c>
      <c r="F48">
        <v>15.59</v>
      </c>
      <c r="G48">
        <v>18.59</v>
      </c>
      <c r="H48">
        <v>15.51</v>
      </c>
      <c r="I48">
        <v>19.71</v>
      </c>
      <c r="J48">
        <v>28.74</v>
      </c>
      <c r="K48">
        <v>23.43</v>
      </c>
    </row>
    <row r="49" spans="1:11" s="163" customFormat="1">
      <c r="A49" s="163" t="s">
        <v>288</v>
      </c>
      <c r="B49">
        <v>32.82</v>
      </c>
      <c r="C49">
        <v>36.979999999999997</v>
      </c>
      <c r="D49">
        <v>26.96</v>
      </c>
      <c r="E49">
        <v>24.34</v>
      </c>
      <c r="F49">
        <v>31.67</v>
      </c>
      <c r="G49">
        <v>37.35</v>
      </c>
      <c r="H49">
        <v>32.08</v>
      </c>
      <c r="I49">
        <v>38.18</v>
      </c>
      <c r="J49">
        <v>53.46</v>
      </c>
      <c r="K49">
        <v>45.95</v>
      </c>
    </row>
    <row r="50" spans="1:11">
      <c r="A50" s="163" t="s">
        <v>498</v>
      </c>
      <c r="B50">
        <v>66.09</v>
      </c>
      <c r="C50">
        <v>70.180000000000007</v>
      </c>
      <c r="D50">
        <v>52.5</v>
      </c>
      <c r="E50">
        <v>50.9</v>
      </c>
      <c r="F50">
        <v>57.33</v>
      </c>
      <c r="G50">
        <v>70.91</v>
      </c>
      <c r="H50">
        <v>61.51</v>
      </c>
      <c r="I50">
        <v>71.86</v>
      </c>
      <c r="J50">
        <v>97.81</v>
      </c>
      <c r="K50">
        <v>82.88</v>
      </c>
    </row>
    <row r="51" spans="1:11">
      <c r="A51" s="163"/>
    </row>
    <row r="52" spans="1:11">
      <c r="A52" s="163"/>
    </row>
    <row r="53" spans="1:11">
      <c r="A53" s="163"/>
    </row>
    <row r="54" spans="1:11">
      <c r="A54" s="163"/>
    </row>
    <row r="55" spans="1:11">
      <c r="A55" s="158" t="s">
        <v>499</v>
      </c>
    </row>
    <row r="56" spans="1:11" s="162" customFormat="1">
      <c r="A56" s="160" t="s">
        <v>491</v>
      </c>
      <c r="B56" s="161">
        <v>39903</v>
      </c>
      <c r="C56" s="161">
        <v>40268</v>
      </c>
      <c r="D56" s="161">
        <v>40633</v>
      </c>
      <c r="E56" s="161">
        <v>40999</v>
      </c>
      <c r="F56" s="161">
        <v>41364</v>
      </c>
      <c r="G56" s="161">
        <v>41729</v>
      </c>
      <c r="H56" s="161">
        <v>42094</v>
      </c>
      <c r="I56" s="161">
        <v>42460</v>
      </c>
      <c r="J56" s="161">
        <v>42825</v>
      </c>
      <c r="K56" s="161">
        <v>43190</v>
      </c>
    </row>
    <row r="57" spans="1:11">
      <c r="A57" s="163" t="s">
        <v>500</v>
      </c>
      <c r="B57">
        <v>6</v>
      </c>
      <c r="C57">
        <v>6</v>
      </c>
      <c r="D57">
        <v>6</v>
      </c>
      <c r="E57">
        <v>6</v>
      </c>
      <c r="F57">
        <v>6</v>
      </c>
      <c r="G57">
        <v>6</v>
      </c>
      <c r="H57">
        <v>6</v>
      </c>
      <c r="I57">
        <v>12</v>
      </c>
      <c r="J57">
        <v>12.01</v>
      </c>
      <c r="K57">
        <v>12.03</v>
      </c>
    </row>
    <row r="58" spans="1:11">
      <c r="A58" s="163" t="s">
        <v>501</v>
      </c>
      <c r="B58">
        <v>67.959999999999994</v>
      </c>
      <c r="C58">
        <v>103.93</v>
      </c>
      <c r="D58">
        <v>128.62</v>
      </c>
      <c r="E58">
        <v>166.43</v>
      </c>
      <c r="F58">
        <v>208.44</v>
      </c>
      <c r="G58">
        <v>270.56</v>
      </c>
      <c r="H58">
        <v>361.82</v>
      </c>
      <c r="I58">
        <v>467.98</v>
      </c>
      <c r="J58">
        <v>594.36</v>
      </c>
      <c r="K58">
        <v>749.18</v>
      </c>
    </row>
    <row r="59" spans="1:11">
      <c r="A59" s="163" t="s">
        <v>254</v>
      </c>
      <c r="B59">
        <v>108.38</v>
      </c>
      <c r="C59">
        <v>146.88999999999999</v>
      </c>
      <c r="D59">
        <v>182.09</v>
      </c>
      <c r="E59">
        <v>175.2</v>
      </c>
      <c r="F59">
        <v>225.38</v>
      </c>
      <c r="G59">
        <v>198.35</v>
      </c>
      <c r="H59">
        <v>239.39</v>
      </c>
      <c r="I59">
        <v>236.39</v>
      </c>
      <c r="J59">
        <v>178.34</v>
      </c>
      <c r="K59">
        <v>153.36000000000001</v>
      </c>
    </row>
    <row r="60" spans="1:11">
      <c r="A60" s="163" t="s">
        <v>255</v>
      </c>
      <c r="B60">
        <v>56.47</v>
      </c>
      <c r="C60">
        <v>91.14</v>
      </c>
      <c r="D60">
        <v>127.21</v>
      </c>
      <c r="E60">
        <v>133.57</v>
      </c>
      <c r="F60">
        <v>155.33000000000001</v>
      </c>
      <c r="G60">
        <v>191.22</v>
      </c>
      <c r="H60">
        <v>246.63</v>
      </c>
      <c r="I60">
        <v>297.48</v>
      </c>
      <c r="J60">
        <v>306.60000000000002</v>
      </c>
      <c r="K60">
        <v>375.2</v>
      </c>
    </row>
    <row r="61" spans="1:11" s="158" customFormat="1">
      <c r="A61" s="158" t="s">
        <v>502</v>
      </c>
      <c r="B61">
        <v>238.81</v>
      </c>
      <c r="C61">
        <v>347.96</v>
      </c>
      <c r="D61">
        <v>443.92</v>
      </c>
      <c r="E61">
        <v>481.2</v>
      </c>
      <c r="F61">
        <v>595.15</v>
      </c>
      <c r="G61">
        <v>666.13</v>
      </c>
      <c r="H61">
        <v>853.84</v>
      </c>
      <c r="I61">
        <v>1013.85</v>
      </c>
      <c r="J61">
        <v>1091.31</v>
      </c>
      <c r="K61">
        <v>1289.77</v>
      </c>
    </row>
    <row r="62" spans="1:11">
      <c r="A62" s="163" t="s">
        <v>503</v>
      </c>
      <c r="B62">
        <v>140.47</v>
      </c>
      <c r="C62">
        <v>221.73</v>
      </c>
      <c r="D62">
        <v>268.43</v>
      </c>
      <c r="E62">
        <v>271.33999999999997</v>
      </c>
      <c r="F62">
        <v>326.72000000000003</v>
      </c>
      <c r="G62">
        <v>365.84</v>
      </c>
      <c r="H62">
        <v>471.71</v>
      </c>
      <c r="I62">
        <v>530.53</v>
      </c>
      <c r="J62">
        <v>541.02</v>
      </c>
      <c r="K62">
        <v>524.86</v>
      </c>
    </row>
    <row r="63" spans="1:11">
      <c r="A63" s="163" t="s">
        <v>10</v>
      </c>
      <c r="B63">
        <v>18.61</v>
      </c>
      <c r="C63">
        <v>6.68</v>
      </c>
      <c r="D63">
        <v>0.83</v>
      </c>
      <c r="E63">
        <v>21.26</v>
      </c>
      <c r="F63">
        <v>23.74</v>
      </c>
      <c r="G63">
        <v>24.22</v>
      </c>
      <c r="H63">
        <v>2.11</v>
      </c>
      <c r="I63">
        <v>28.23</v>
      </c>
      <c r="J63">
        <v>62.42</v>
      </c>
      <c r="K63">
        <v>137.58000000000001</v>
      </c>
    </row>
    <row r="64" spans="1:11">
      <c r="A64" s="163" t="s">
        <v>504</v>
      </c>
      <c r="B64">
        <v>0.06</v>
      </c>
      <c r="C64">
        <v>0.06</v>
      </c>
      <c r="D64">
        <v>0.06</v>
      </c>
      <c r="E64">
        <v>0.06</v>
      </c>
      <c r="F64">
        <v>0.06</v>
      </c>
      <c r="G64">
        <v>0.06</v>
      </c>
      <c r="H64">
        <v>0.06</v>
      </c>
      <c r="I64">
        <v>0.5</v>
      </c>
      <c r="J64">
        <v>0.7</v>
      </c>
      <c r="K64">
        <v>0.7</v>
      </c>
    </row>
    <row r="65" spans="1:11">
      <c r="A65" s="163" t="s">
        <v>505</v>
      </c>
      <c r="B65">
        <v>79.67</v>
      </c>
      <c r="C65">
        <v>119.49</v>
      </c>
      <c r="D65">
        <v>174.6</v>
      </c>
      <c r="E65">
        <v>188.54</v>
      </c>
      <c r="F65">
        <v>244.63</v>
      </c>
      <c r="G65">
        <v>276.01</v>
      </c>
      <c r="H65">
        <v>379.96</v>
      </c>
      <c r="I65">
        <v>454.59</v>
      </c>
      <c r="J65">
        <v>487.17</v>
      </c>
      <c r="K65">
        <v>626.63</v>
      </c>
    </row>
    <row r="66" spans="1:11" s="158" customFormat="1">
      <c r="A66" s="158" t="s">
        <v>502</v>
      </c>
      <c r="B66">
        <v>238.81</v>
      </c>
      <c r="C66">
        <v>347.96</v>
      </c>
      <c r="D66">
        <v>443.92</v>
      </c>
      <c r="E66">
        <v>481.2</v>
      </c>
      <c r="F66">
        <v>595.15</v>
      </c>
      <c r="G66">
        <v>666.13</v>
      </c>
      <c r="H66">
        <v>853.84</v>
      </c>
      <c r="I66">
        <v>1013.85</v>
      </c>
      <c r="J66">
        <v>1091.31</v>
      </c>
      <c r="K66">
        <v>1289.77</v>
      </c>
    </row>
    <row r="67" spans="1:11" s="163" customFormat="1">
      <c r="A67" s="163" t="s">
        <v>506</v>
      </c>
      <c r="B67">
        <v>19.73</v>
      </c>
      <c r="C67">
        <v>20.86</v>
      </c>
      <c r="D67">
        <v>23.24</v>
      </c>
      <c r="E67">
        <v>22.96</v>
      </c>
      <c r="F67">
        <v>35.96</v>
      </c>
      <c r="G67">
        <v>68.22</v>
      </c>
      <c r="H67">
        <v>82.08</v>
      </c>
      <c r="I67">
        <v>108.69</v>
      </c>
      <c r="J67">
        <v>123.18</v>
      </c>
      <c r="K67">
        <v>192.35</v>
      </c>
    </row>
    <row r="68" spans="1:11">
      <c r="A68" s="163" t="s">
        <v>234</v>
      </c>
      <c r="B68">
        <v>39.81</v>
      </c>
      <c r="C68">
        <v>67.16</v>
      </c>
      <c r="D68">
        <v>116.59</v>
      </c>
      <c r="E68">
        <v>128.5</v>
      </c>
      <c r="F68">
        <v>159.44</v>
      </c>
      <c r="G68">
        <v>164</v>
      </c>
      <c r="H68">
        <v>248.68</v>
      </c>
      <c r="I68">
        <v>285.83999999999997</v>
      </c>
      <c r="J68">
        <v>290.20999999999998</v>
      </c>
      <c r="K68">
        <v>313.93</v>
      </c>
    </row>
    <row r="69" spans="1:11">
      <c r="A69" s="159" t="s">
        <v>507</v>
      </c>
      <c r="B69">
        <v>2.73</v>
      </c>
      <c r="C69">
        <v>1.04</v>
      </c>
      <c r="D69">
        <v>2.14</v>
      </c>
      <c r="E69">
        <v>1.05</v>
      </c>
      <c r="F69">
        <v>2.97</v>
      </c>
      <c r="G69">
        <v>5.66</v>
      </c>
      <c r="H69">
        <v>4.49</v>
      </c>
      <c r="I69">
        <v>2.37</v>
      </c>
      <c r="J69">
        <v>3.65</v>
      </c>
      <c r="K69">
        <v>4</v>
      </c>
    </row>
    <row r="70" spans="1:11">
      <c r="A70" s="159" t="s">
        <v>508</v>
      </c>
      <c r="B70">
        <v>12001200</v>
      </c>
      <c r="C70">
        <v>12001200</v>
      </c>
      <c r="D70">
        <v>12001200</v>
      </c>
      <c r="E70">
        <v>12001200</v>
      </c>
      <c r="F70">
        <v>12001200</v>
      </c>
      <c r="G70">
        <v>60006000</v>
      </c>
      <c r="H70">
        <v>60006000</v>
      </c>
      <c r="I70">
        <v>120039700</v>
      </c>
      <c r="J70">
        <v>120130250</v>
      </c>
      <c r="K70">
        <v>120353620</v>
      </c>
    </row>
    <row r="71" spans="1:11">
      <c r="A71" s="159" t="s">
        <v>509</v>
      </c>
      <c r="I71">
        <v>60006000</v>
      </c>
    </row>
    <row r="72" spans="1:11">
      <c r="A72" s="159" t="s">
        <v>510</v>
      </c>
      <c r="B72">
        <v>5</v>
      </c>
      <c r="C72">
        <v>5</v>
      </c>
      <c r="D72">
        <v>5</v>
      </c>
      <c r="E72">
        <v>5</v>
      </c>
      <c r="F72">
        <v>5</v>
      </c>
      <c r="G72">
        <v>1</v>
      </c>
      <c r="H72">
        <v>1</v>
      </c>
      <c r="I72">
        <v>1</v>
      </c>
      <c r="J72">
        <v>1</v>
      </c>
      <c r="K72">
        <v>1</v>
      </c>
    </row>
    <row r="74" spans="1:11">
      <c r="A74" s="163"/>
    </row>
    <row r="75" spans="1:11">
      <c r="A75" s="163"/>
    </row>
    <row r="76" spans="1:11">
      <c r="A76" s="163"/>
    </row>
    <row r="77" spans="1:11">
      <c r="A77" s="163"/>
    </row>
    <row r="78" spans="1:11">
      <c r="A78" s="163"/>
    </row>
    <row r="79" spans="1:11">
      <c r="A79" s="163"/>
    </row>
    <row r="80" spans="1:11">
      <c r="A80" s="158" t="s">
        <v>511</v>
      </c>
    </row>
    <row r="81" spans="1:11" s="162" customFormat="1">
      <c r="A81" s="160" t="s">
        <v>491</v>
      </c>
      <c r="B81" s="161">
        <v>39903</v>
      </c>
      <c r="C81" s="161">
        <v>40268</v>
      </c>
      <c r="D81" s="161">
        <v>40633</v>
      </c>
      <c r="E81" s="161">
        <v>40999</v>
      </c>
      <c r="F81" s="161">
        <v>41364</v>
      </c>
      <c r="G81" s="161">
        <v>41729</v>
      </c>
      <c r="H81" s="161">
        <v>42094</v>
      </c>
      <c r="I81" s="161">
        <v>42460</v>
      </c>
      <c r="J81" s="161">
        <v>42825</v>
      </c>
      <c r="K81" s="161">
        <v>43190</v>
      </c>
    </row>
    <row r="82" spans="1:11" s="158" customFormat="1">
      <c r="A82" s="163" t="s">
        <v>512</v>
      </c>
      <c r="B82">
        <v>41.05</v>
      </c>
      <c r="C82">
        <v>71.86</v>
      </c>
      <c r="D82">
        <v>43.7</v>
      </c>
      <c r="E82">
        <v>72.709999999999994</v>
      </c>
      <c r="F82">
        <v>54.01</v>
      </c>
      <c r="G82">
        <v>124.88</v>
      </c>
      <c r="H82">
        <v>107.48</v>
      </c>
      <c r="I82">
        <v>159.43</v>
      </c>
      <c r="J82">
        <v>180.2</v>
      </c>
      <c r="K82">
        <v>154.25</v>
      </c>
    </row>
    <row r="83" spans="1:11" s="163" customFormat="1">
      <c r="A83" s="163" t="s">
        <v>263</v>
      </c>
      <c r="B83">
        <v>-59.18</v>
      </c>
      <c r="C83">
        <v>-84.78</v>
      </c>
      <c r="D83">
        <v>-62.54</v>
      </c>
      <c r="E83">
        <v>-47</v>
      </c>
      <c r="F83">
        <v>-82.47</v>
      </c>
      <c r="G83">
        <v>-69.709999999999994</v>
      </c>
      <c r="H83">
        <v>-129.80000000000001</v>
      </c>
      <c r="I83">
        <v>-130.26</v>
      </c>
      <c r="J83">
        <v>-89.44</v>
      </c>
      <c r="K83">
        <v>-108.37</v>
      </c>
    </row>
    <row r="84" spans="1:11" s="163" customFormat="1">
      <c r="A84" s="163" t="s">
        <v>264</v>
      </c>
      <c r="B84">
        <v>16.739999999999998</v>
      </c>
      <c r="C84">
        <v>11.21</v>
      </c>
      <c r="D84">
        <v>19.989999999999998</v>
      </c>
      <c r="E84">
        <v>-26.8</v>
      </c>
      <c r="F84">
        <v>29.43</v>
      </c>
      <c r="G84">
        <v>-51.25</v>
      </c>
      <c r="H84">
        <v>21.11</v>
      </c>
      <c r="I84">
        <v>-31.31</v>
      </c>
      <c r="J84">
        <v>-89.49</v>
      </c>
      <c r="K84">
        <v>-46.27</v>
      </c>
    </row>
    <row r="85" spans="1:11" s="158" customFormat="1">
      <c r="A85" s="163" t="s">
        <v>513</v>
      </c>
      <c r="B85">
        <v>-1.39</v>
      </c>
      <c r="C85">
        <v>-1.71</v>
      </c>
      <c r="D85">
        <v>1.1499999999999999</v>
      </c>
      <c r="E85">
        <v>-1.0900000000000001</v>
      </c>
      <c r="F85">
        <v>0.97</v>
      </c>
      <c r="G85">
        <v>3.92</v>
      </c>
      <c r="H85">
        <v>-1.21</v>
      </c>
      <c r="I85">
        <v>-2.14</v>
      </c>
      <c r="J85">
        <v>1.27</v>
      </c>
      <c r="K85">
        <v>-0.39</v>
      </c>
    </row>
    <row r="86" spans="1:11">
      <c r="A86" s="163"/>
    </row>
    <row r="87" spans="1:11">
      <c r="A87" s="163"/>
    </row>
    <row r="88" spans="1:11">
      <c r="A88" s="163"/>
    </row>
    <row r="89" spans="1:11">
      <c r="A89" s="163"/>
    </row>
    <row r="90" spans="1:11" s="158" customFormat="1">
      <c r="A90" s="158" t="s">
        <v>514</v>
      </c>
      <c r="B90">
        <v>3.0294120000000002</v>
      </c>
      <c r="C90">
        <v>27.946667000000001</v>
      </c>
      <c r="D90">
        <v>28.218947</v>
      </c>
      <c r="E90">
        <v>32.569499999999998</v>
      </c>
      <c r="F90">
        <v>56.100499999999997</v>
      </c>
      <c r="G90">
        <v>148.79210499999999</v>
      </c>
      <c r="H90">
        <v>354.07100000000003</v>
      </c>
      <c r="I90">
        <v>479.05526300000002</v>
      </c>
      <c r="J90">
        <v>491.62894699999998</v>
      </c>
      <c r="K90">
        <v>687.70238099999995</v>
      </c>
    </row>
    <row r="92" spans="1:11" s="158" customFormat="1">
      <c r="A92" s="158" t="s">
        <v>515</v>
      </c>
    </row>
    <row r="93" spans="1:11">
      <c r="A93" s="159" t="s">
        <v>516</v>
      </c>
      <c r="B93" s="164">
        <f>IF($B7&gt;0,(B70*B72/$B7)+SUM(C71:$K71),0)/10000000</f>
        <v>12.001200000000001</v>
      </c>
      <c r="C93" s="164">
        <f>IF($B7&gt;0,(C70*C72/$B7)+SUM(D71:$K71),0)/10000000</f>
        <v>12.001200000000001</v>
      </c>
      <c r="D93" s="164">
        <f>IF($B7&gt;0,(D70*D72/$B7)+SUM(E71:$K71),0)/10000000</f>
        <v>12.001200000000001</v>
      </c>
      <c r="E93" s="164">
        <f>IF($B7&gt;0,(E70*E72/$B7)+SUM(F71:$K71),0)/10000000</f>
        <v>12.001200000000001</v>
      </c>
      <c r="F93" s="164">
        <f>IF($B7&gt;0,(F70*F72/$B7)+SUM(G71:$K71),0)/10000000</f>
        <v>12.001200000000001</v>
      </c>
      <c r="G93" s="164">
        <f>IF($B7&gt;0,(G70*G72/$B7)+SUM(H71:$K71),0)/10000000</f>
        <v>12.001200000000001</v>
      </c>
      <c r="H93" s="164">
        <f>IF($B7&gt;0,(H70*H72/$B7)+SUM(I71:$K71),0)/10000000</f>
        <v>12.001200000000001</v>
      </c>
      <c r="I93" s="164">
        <f>IF($B7&gt;0,(I70*I72/$B7)+SUM(J71:$K71),0)/10000000</f>
        <v>12.003970000000001</v>
      </c>
      <c r="J93" s="164">
        <f>IF($B7&gt;0,(J70*J72/$B7)+SUM(K71:$K71),0)/10000000</f>
        <v>12.013025000000001</v>
      </c>
      <c r="K93" s="164">
        <f>IF($B7&gt;0,(K70*K72/$B7),0)/10000000</f>
        <v>12.035361999999999</v>
      </c>
    </row>
  </sheetData>
  <mergeCells count="2">
    <mergeCell ref="E1:K1"/>
    <mergeCell ref="E2:K2"/>
  </mergeCells>
  <conditionalFormatting sqref="E1:K1">
    <cfRule type="cellIs" dxfId="0" priority="1" operator="notEqual">
      <formula>""</formula>
    </cfRule>
  </conditionalFormatting>
  <hyperlinks>
    <hyperlink ref="E1:K1" r:id="rId1" display="https://www.screener.in/excel/"/>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3:H26"/>
  <sheetViews>
    <sheetView showGridLines="0" workbookViewId="0">
      <selection activeCell="E5" sqref="E5"/>
    </sheetView>
  </sheetViews>
  <sheetFormatPr defaultColWidth="9" defaultRowHeight="15"/>
  <cols>
    <col min="1" max="1" width="4.140625" style="179" customWidth="1"/>
    <col min="2" max="2" width="46.42578125" style="178" bestFit="1" customWidth="1"/>
    <col min="3" max="3" width="9" style="178"/>
    <col min="4" max="4" width="15.140625" style="178" customWidth="1"/>
    <col min="5" max="5" width="13.5703125" style="179" customWidth="1"/>
    <col min="6" max="16384" width="9" style="179"/>
  </cols>
  <sheetData>
    <row r="3" spans="2:8">
      <c r="B3" s="241" t="s">
        <v>377</v>
      </c>
    </row>
    <row r="5" spans="2:8">
      <c r="B5" s="322" t="s">
        <v>517</v>
      </c>
      <c r="C5" s="321">
        <v>43252</v>
      </c>
      <c r="D5" s="321">
        <v>43160</v>
      </c>
      <c r="E5" s="321">
        <f>EDATE(D5,-12)</f>
        <v>42795</v>
      </c>
      <c r="F5" s="321">
        <f t="shared" ref="F5" si="0">EDATE(E5,-12)</f>
        <v>42430</v>
      </c>
      <c r="G5" s="321">
        <f t="shared" ref="G5" si="1">EDATE(F5,-12)</f>
        <v>42064</v>
      </c>
      <c r="H5" s="321">
        <f t="shared" ref="H5" si="2">EDATE(G5,-12)</f>
        <v>41699</v>
      </c>
    </row>
    <row r="6" spans="2:8">
      <c r="B6" s="317" t="s">
        <v>518</v>
      </c>
      <c r="C6" s="316">
        <v>0.74250000000000005</v>
      </c>
      <c r="D6" s="316">
        <v>0.74250000000000005</v>
      </c>
      <c r="E6" s="316">
        <v>0.74929999999999997</v>
      </c>
      <c r="F6" s="316">
        <v>0.74980000000000002</v>
      </c>
      <c r="G6" s="316">
        <v>0.75</v>
      </c>
      <c r="H6" s="316">
        <v>0.75</v>
      </c>
    </row>
    <row r="7" spans="2:8">
      <c r="B7" s="317" t="s">
        <v>519</v>
      </c>
      <c r="C7" s="316"/>
      <c r="D7" s="316"/>
      <c r="E7" s="316"/>
      <c r="F7" s="316"/>
      <c r="G7" s="316"/>
      <c r="H7" s="316"/>
    </row>
    <row r="8" spans="2:8">
      <c r="B8" s="317" t="s">
        <v>520</v>
      </c>
      <c r="C8" s="316">
        <v>4.36E-2</v>
      </c>
      <c r="D8" s="316">
        <v>4.6199999999999998E-2</v>
      </c>
      <c r="E8" s="316">
        <v>4.4699999999999997E-2</v>
      </c>
      <c r="F8" s="316">
        <v>2.5000000000000001E-2</v>
      </c>
      <c r="G8" s="316">
        <v>2.4400000000000002E-2</v>
      </c>
      <c r="H8" s="316">
        <v>1.84E-2</v>
      </c>
    </row>
    <row r="9" spans="2:8">
      <c r="B9" s="317" t="s">
        <v>521</v>
      </c>
      <c r="C9" s="316">
        <v>2.1499999999999998E-2</v>
      </c>
      <c r="D9" s="316">
        <v>2.1600000000000001E-2</v>
      </c>
      <c r="E9" s="316">
        <v>1.7899999999999999E-2</v>
      </c>
      <c r="F9" s="316">
        <v>1.6199999999999999E-2</v>
      </c>
      <c r="G9" s="316">
        <v>3.5999999999999999E-3</v>
      </c>
      <c r="H9" s="316">
        <v>6.9999999999999999E-4</v>
      </c>
    </row>
    <row r="10" spans="2:8">
      <c r="B10" s="317" t="s">
        <v>522</v>
      </c>
      <c r="C10" s="316">
        <v>0.13439999999999999</v>
      </c>
      <c r="D10" s="316">
        <v>0.13339999999999999</v>
      </c>
      <c r="E10" s="316">
        <v>0.13370000000000001</v>
      </c>
      <c r="F10" s="316">
        <v>0.15129999999999999</v>
      </c>
      <c r="G10" s="316">
        <v>0.15989999999999999</v>
      </c>
      <c r="H10" s="316">
        <v>0.16070000000000001</v>
      </c>
    </row>
    <row r="11" spans="2:8">
      <c r="B11" s="317" t="s">
        <v>523</v>
      </c>
      <c r="C11" s="316">
        <v>4.3200000000000002E-2</v>
      </c>
      <c r="D11" s="316">
        <v>4.41E-2</v>
      </c>
      <c r="E11" s="316">
        <v>4.48E-2</v>
      </c>
      <c r="F11" s="316">
        <v>4.7399999999999998E-2</v>
      </c>
      <c r="G11" s="316">
        <v>4.7100000000000003E-2</v>
      </c>
      <c r="H11" s="316">
        <v>5.0999999999999997E-2</v>
      </c>
    </row>
    <row r="12" spans="2:8">
      <c r="B12" s="317" t="s">
        <v>524</v>
      </c>
      <c r="C12" s="316">
        <v>4.1999999999999997E-3</v>
      </c>
      <c r="D12" s="316">
        <v>4.1999999999999997E-3</v>
      </c>
      <c r="E12" s="316">
        <v>5.0000000000000001E-3</v>
      </c>
      <c r="F12" s="316">
        <v>9.2999999999999992E-3</v>
      </c>
      <c r="G12" s="316">
        <v>1.23E-2</v>
      </c>
      <c r="H12" s="316">
        <v>1.6299999999999999E-2</v>
      </c>
    </row>
    <row r="13" spans="2:8">
      <c r="B13" s="317" t="s">
        <v>525</v>
      </c>
      <c r="C13" s="316">
        <f>1-SUM(C6:C12)</f>
        <v>1.0600000000000054E-2</v>
      </c>
      <c r="D13" s="316">
        <f>1-SUM(D6:D12)</f>
        <v>8.0000000000000071E-3</v>
      </c>
      <c r="E13" s="316">
        <f>1-SUM(E6:E12)</f>
        <v>4.6000000000000485E-3</v>
      </c>
      <c r="F13" s="319">
        <f t="shared" ref="F13:H13" si="3">1-SUM(F6:F12)</f>
        <v>1.0000000000000009E-3</v>
      </c>
      <c r="G13" s="319">
        <f t="shared" si="3"/>
        <v>2.7000000000000357E-3</v>
      </c>
      <c r="H13" s="319">
        <f t="shared" si="3"/>
        <v>2.9000000000000137E-3</v>
      </c>
    </row>
    <row r="14" spans="2:8">
      <c r="B14" s="317"/>
      <c r="C14" s="316"/>
      <c r="D14" s="316"/>
      <c r="E14" s="318"/>
      <c r="F14" s="318"/>
      <c r="G14" s="318"/>
      <c r="H14" s="318"/>
    </row>
    <row r="15" spans="2:8">
      <c r="B15" s="317"/>
      <c r="C15" s="316"/>
      <c r="D15" s="316"/>
      <c r="E15" s="318"/>
      <c r="F15" s="318"/>
      <c r="G15" s="318"/>
      <c r="H15" s="318"/>
    </row>
    <row r="16" spans="2:8">
      <c r="B16" s="317"/>
      <c r="C16" s="316"/>
      <c r="D16" s="316"/>
      <c r="E16" s="318"/>
      <c r="F16" s="318"/>
      <c r="G16" s="318"/>
      <c r="H16" s="318"/>
    </row>
    <row r="17" spans="2:8">
      <c r="B17" s="320" t="s">
        <v>502</v>
      </c>
      <c r="C17" s="319">
        <f>SUM(C6:C16)</f>
        <v>1</v>
      </c>
      <c r="D17" s="319">
        <f t="shared" ref="D17:H17" si="4">SUM(D6:D16)</f>
        <v>1</v>
      </c>
      <c r="E17" s="318">
        <f t="shared" si="4"/>
        <v>1</v>
      </c>
      <c r="F17" s="318">
        <f t="shared" si="4"/>
        <v>1</v>
      </c>
      <c r="G17" s="318">
        <f t="shared" si="4"/>
        <v>1</v>
      </c>
      <c r="H17" s="318">
        <f t="shared" si="4"/>
        <v>1</v>
      </c>
    </row>
    <row r="20" spans="2:8">
      <c r="B20" s="317" t="s">
        <v>526</v>
      </c>
      <c r="C20" s="316"/>
      <c r="D20" s="316"/>
      <c r="E20" s="316"/>
      <c r="F20" s="316"/>
      <c r="G20" s="316"/>
      <c r="H20" s="316"/>
    </row>
    <row r="21" spans="2:8">
      <c r="B21" s="317" t="s">
        <v>527</v>
      </c>
      <c r="C21" s="316">
        <v>0.21970000000000001</v>
      </c>
      <c r="D21" s="316">
        <v>0.21970000000000001</v>
      </c>
      <c r="E21" s="316"/>
      <c r="F21" s="316"/>
      <c r="G21" s="316"/>
      <c r="H21" s="316"/>
    </row>
    <row r="22" spans="2:8">
      <c r="B22" s="317" t="s">
        <v>528</v>
      </c>
      <c r="C22" s="316">
        <v>0.25879999999999997</v>
      </c>
      <c r="D22" s="316">
        <v>0.25879999999999997</v>
      </c>
      <c r="E22" s="316"/>
      <c r="F22" s="316"/>
      <c r="G22" s="316"/>
      <c r="H22" s="316"/>
    </row>
    <row r="23" spans="2:8">
      <c r="B23" s="317" t="s">
        <v>529</v>
      </c>
      <c r="C23" s="316">
        <f>3.74%*6</f>
        <v>0.22440000000000002</v>
      </c>
      <c r="D23" s="316">
        <f>3.74%*6</f>
        <v>0.22440000000000002</v>
      </c>
      <c r="E23" s="316"/>
      <c r="F23" s="316"/>
      <c r="G23" s="316"/>
      <c r="H23" s="316"/>
    </row>
    <row r="24" spans="2:8">
      <c r="B24" s="317"/>
      <c r="C24" s="316"/>
      <c r="D24" s="316"/>
      <c r="E24" s="316"/>
      <c r="F24" s="316"/>
      <c r="G24" s="316"/>
      <c r="H24" s="316"/>
    </row>
    <row r="25" spans="2:8">
      <c r="B25" s="317" t="s">
        <v>363</v>
      </c>
      <c r="C25" s="316"/>
      <c r="D25" s="316"/>
      <c r="E25" s="316"/>
      <c r="F25" s="316"/>
      <c r="G25" s="316"/>
      <c r="H25" s="316"/>
    </row>
    <row r="26" spans="2:8">
      <c r="B26" s="317" t="s">
        <v>363</v>
      </c>
      <c r="C26" s="316">
        <f>SUM(C6:C7)-SUM(C21:C25)</f>
        <v>3.960000000000008E-2</v>
      </c>
      <c r="D26" s="316">
        <f t="shared" ref="D26:H26" si="5">SUM(D6:D7)-SUM(D21:D25)</f>
        <v>3.960000000000008E-2</v>
      </c>
      <c r="E26" s="316">
        <f t="shared" si="5"/>
        <v>0.74929999999999997</v>
      </c>
      <c r="F26" s="316">
        <f t="shared" si="5"/>
        <v>0.74980000000000002</v>
      </c>
      <c r="G26" s="316">
        <f t="shared" si="5"/>
        <v>0.75</v>
      </c>
      <c r="H26" s="316">
        <f t="shared" si="5"/>
        <v>0.75</v>
      </c>
    </row>
  </sheetData>
  <hyperlinks>
    <hyperlink ref="B3"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2:E31"/>
  <sheetViews>
    <sheetView showGridLines="0" workbookViewId="0">
      <selection activeCell="E2" sqref="E2:E5"/>
    </sheetView>
  </sheetViews>
  <sheetFormatPr defaultColWidth="9" defaultRowHeight="15"/>
  <cols>
    <col min="1" max="1" width="4.140625" style="179" customWidth="1"/>
    <col min="2" max="2" width="46.42578125" style="178" bestFit="1" customWidth="1"/>
    <col min="3" max="3" width="9" style="178"/>
    <col min="4" max="4" width="41" style="178" customWidth="1"/>
    <col min="5" max="5" width="94.140625" style="179" customWidth="1"/>
    <col min="6" max="16384" width="9" style="179"/>
  </cols>
  <sheetData>
    <row r="2" spans="2:5" ht="24.95" customHeight="1">
      <c r="B2" s="184" t="s">
        <v>0</v>
      </c>
      <c r="C2" s="184"/>
      <c r="D2" s="184" t="s">
        <v>530</v>
      </c>
      <c r="E2" s="440" t="s">
        <v>531</v>
      </c>
    </row>
    <row r="3" spans="2:5" ht="24.95" customHeight="1">
      <c r="B3" s="181" t="s">
        <v>1</v>
      </c>
      <c r="C3" s="181"/>
      <c r="D3" s="181" t="s">
        <v>532</v>
      </c>
      <c r="E3" s="441"/>
    </row>
    <row r="4" spans="2:5" ht="77.25" customHeight="1">
      <c r="B4" s="181" t="s">
        <v>5</v>
      </c>
      <c r="C4" s="181"/>
      <c r="D4" s="216" t="s">
        <v>533</v>
      </c>
      <c r="E4" s="441"/>
    </row>
    <row r="5" spans="2:5">
      <c r="B5" s="181" t="s">
        <v>283</v>
      </c>
      <c r="C5" s="181"/>
      <c r="D5" s="181">
        <f>VLOOKUP(D2, [1]Data!$B$4:$D$500,2,FALSE)</f>
        <v>731.45</v>
      </c>
      <c r="E5" s="441"/>
    </row>
    <row r="8" spans="2:5">
      <c r="B8" s="184" t="s">
        <v>322</v>
      </c>
      <c r="C8" s="181" t="s">
        <v>74</v>
      </c>
      <c r="D8" s="181" t="s">
        <v>216</v>
      </c>
    </row>
    <row r="9" spans="2:5">
      <c r="B9" s="181" t="s">
        <v>320</v>
      </c>
      <c r="C9" s="181"/>
      <c r="D9" s="182">
        <v>0.18</v>
      </c>
      <c r="E9" s="183"/>
    </row>
    <row r="10" spans="2:5">
      <c r="B10" s="181" t="s">
        <v>128</v>
      </c>
      <c r="C10" s="181"/>
      <c r="D10" s="182">
        <v>0.08</v>
      </c>
      <c r="E10" s="183"/>
    </row>
    <row r="11" spans="2:5">
      <c r="B11" s="181"/>
      <c r="C11" s="181"/>
      <c r="D11" s="181"/>
      <c r="E11" s="183"/>
    </row>
    <row r="12" spans="2:5">
      <c r="B12" s="181"/>
      <c r="C12" s="181"/>
      <c r="D12" s="181"/>
      <c r="E12" s="183"/>
    </row>
    <row r="13" spans="2:5">
      <c r="B13" s="184" t="s">
        <v>476</v>
      </c>
      <c r="C13" s="185"/>
      <c r="D13" s="181"/>
      <c r="E13" s="183"/>
    </row>
    <row r="14" spans="2:5" ht="24.95" customHeight="1">
      <c r="B14" s="181" t="s">
        <v>166</v>
      </c>
      <c r="C14" s="185">
        <v>0.05</v>
      </c>
      <c r="D14" s="181">
        <v>4</v>
      </c>
      <c r="E14" s="186" t="s">
        <v>168</v>
      </c>
    </row>
    <row r="15" spans="2:5" ht="24.95" customHeight="1">
      <c r="B15" s="181" t="s">
        <v>169</v>
      </c>
      <c r="C15" s="185">
        <v>0.02</v>
      </c>
      <c r="D15" s="181">
        <v>2</v>
      </c>
      <c r="E15" s="186" t="s">
        <v>171</v>
      </c>
    </row>
    <row r="16" spans="2:5" ht="24.95" customHeight="1">
      <c r="B16" s="181" t="s">
        <v>172</v>
      </c>
      <c r="C16" s="185">
        <v>0.02</v>
      </c>
      <c r="D16" s="181">
        <v>2</v>
      </c>
      <c r="E16" s="186" t="s">
        <v>174</v>
      </c>
    </row>
    <row r="17" spans="2:5" ht="24.95" customHeight="1">
      <c r="B17" s="181" t="s">
        <v>175</v>
      </c>
      <c r="C17" s="185">
        <v>0.04</v>
      </c>
      <c r="D17" s="181">
        <v>4</v>
      </c>
      <c r="E17" s="186" t="s">
        <v>177</v>
      </c>
    </row>
    <row r="18" spans="2:5" ht="24.95" customHeight="1">
      <c r="B18" s="181"/>
      <c r="C18" s="185"/>
      <c r="D18" s="181"/>
      <c r="E18" s="186"/>
    </row>
    <row r="19" spans="2:5" ht="24.95" customHeight="1">
      <c r="B19" s="181" t="s">
        <v>179</v>
      </c>
      <c r="C19" s="185">
        <v>0.08</v>
      </c>
      <c r="D19" s="181">
        <v>4</v>
      </c>
      <c r="E19" s="186" t="s">
        <v>181</v>
      </c>
    </row>
    <row r="20" spans="2:5" ht="24.95" customHeight="1">
      <c r="B20" s="181" t="s">
        <v>182</v>
      </c>
      <c r="C20" s="185">
        <v>0.02</v>
      </c>
      <c r="D20" s="181">
        <v>2</v>
      </c>
      <c r="E20" s="186" t="s">
        <v>184</v>
      </c>
    </row>
    <row r="21" spans="2:5" ht="24.95" customHeight="1">
      <c r="B21" s="181" t="s">
        <v>185</v>
      </c>
      <c r="C21" s="185">
        <v>0.04</v>
      </c>
      <c r="D21" s="181">
        <v>4</v>
      </c>
      <c r="E21" s="186" t="s">
        <v>187</v>
      </c>
    </row>
    <row r="22" spans="2:5" ht="24.95" customHeight="1">
      <c r="B22" s="181" t="s">
        <v>188</v>
      </c>
      <c r="C22" s="185">
        <v>0.02</v>
      </c>
      <c r="D22" s="181">
        <v>1</v>
      </c>
      <c r="E22" s="186" t="s">
        <v>190</v>
      </c>
    </row>
    <row r="23" spans="2:5" ht="24.95" customHeight="1">
      <c r="B23" s="181" t="s">
        <v>194</v>
      </c>
      <c r="C23" s="185">
        <v>0.03</v>
      </c>
      <c r="D23" s="181"/>
      <c r="E23" s="186" t="s">
        <v>193</v>
      </c>
    </row>
    <row r="24" spans="2:5" ht="24.95" customHeight="1">
      <c r="B24" s="181"/>
      <c r="C24" s="181"/>
      <c r="D24" s="181"/>
      <c r="E24" s="186"/>
    </row>
    <row r="25" spans="2:5" ht="24.95" customHeight="1">
      <c r="B25" s="181"/>
      <c r="C25" s="185"/>
      <c r="D25" s="181"/>
      <c r="E25" s="186"/>
    </row>
    <row r="26" spans="2:5" ht="24.95" customHeight="1">
      <c r="B26" s="181" t="s">
        <v>197</v>
      </c>
      <c r="C26" s="185">
        <v>0.03</v>
      </c>
      <c r="D26" s="181">
        <v>3</v>
      </c>
      <c r="E26" s="186" t="s">
        <v>199</v>
      </c>
    </row>
    <row r="27" spans="2:5" ht="24.95" customHeight="1">
      <c r="B27" s="181" t="s">
        <v>200</v>
      </c>
      <c r="C27" s="185">
        <v>0.02</v>
      </c>
      <c r="D27" s="181">
        <v>1</v>
      </c>
      <c r="E27" s="186" t="s">
        <v>202</v>
      </c>
    </row>
    <row r="28" spans="2:5" ht="24.95" customHeight="1">
      <c r="B28" s="181" t="s">
        <v>203</v>
      </c>
      <c r="C28" s="185">
        <v>0.02</v>
      </c>
      <c r="D28" s="181">
        <v>2</v>
      </c>
      <c r="E28" s="186"/>
    </row>
    <row r="29" spans="2:5" ht="24.95" customHeight="1">
      <c r="B29" s="181" t="s">
        <v>311</v>
      </c>
      <c r="C29" s="185">
        <v>0.03</v>
      </c>
      <c r="D29" s="181">
        <v>2</v>
      </c>
      <c r="E29" s="186" t="s">
        <v>312</v>
      </c>
    </row>
    <row r="30" spans="2:5" ht="24.95" customHeight="1">
      <c r="B30" s="181"/>
      <c r="C30" s="185"/>
      <c r="D30" s="181"/>
      <c r="E30" s="186"/>
    </row>
    <row r="31" spans="2:5" ht="24.95" customHeight="1">
      <c r="B31" s="181" t="s">
        <v>204</v>
      </c>
      <c r="C31" s="185">
        <v>0.04</v>
      </c>
      <c r="D31" s="181">
        <v>2</v>
      </c>
      <c r="E31" s="186" t="s">
        <v>313</v>
      </c>
    </row>
  </sheetData>
  <mergeCells count="1">
    <mergeCell ref="E2: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4:X40"/>
  <sheetViews>
    <sheetView showGridLines="0" workbookViewId="0">
      <selection activeCell="O109" sqref="O109"/>
    </sheetView>
  </sheetViews>
  <sheetFormatPr defaultRowHeight="12.75"/>
  <cols>
    <col min="1" max="16384" width="9.140625" style="221"/>
  </cols>
  <sheetData>
    <row r="4" spans="2:24" ht="15">
      <c r="B4" s="222" t="s">
        <v>332</v>
      </c>
      <c r="X4" s="221" t="s">
        <v>379</v>
      </c>
    </row>
    <row r="6" spans="2:24">
      <c r="B6" s="221" t="s">
        <v>333</v>
      </c>
      <c r="X6" s="221" t="s">
        <v>380</v>
      </c>
    </row>
    <row r="7" spans="2:24">
      <c r="B7" s="221" t="s">
        <v>334</v>
      </c>
    </row>
    <row r="8" spans="2:24">
      <c r="B8" s="221" t="s">
        <v>335</v>
      </c>
      <c r="X8" s="221" t="s">
        <v>381</v>
      </c>
    </row>
    <row r="9" spans="2:24">
      <c r="B9" s="221" t="s">
        <v>336</v>
      </c>
    </row>
    <row r="10" spans="2:24">
      <c r="B10" s="221" t="s">
        <v>337</v>
      </c>
      <c r="X10" s="221" t="s">
        <v>382</v>
      </c>
    </row>
    <row r="12" spans="2:24">
      <c r="B12" s="221" t="s">
        <v>338</v>
      </c>
      <c r="X12" s="221" t="s">
        <v>383</v>
      </c>
    </row>
    <row r="13" spans="2:24">
      <c r="B13" s="221" t="s">
        <v>339</v>
      </c>
    </row>
    <row r="14" spans="2:24">
      <c r="B14" s="221" t="s">
        <v>374</v>
      </c>
      <c r="X14" s="221" t="s">
        <v>384</v>
      </c>
    </row>
    <row r="15" spans="2:24">
      <c r="B15" s="221" t="s">
        <v>340</v>
      </c>
    </row>
    <row r="16" spans="2:24">
      <c r="B16" s="221" t="s">
        <v>341</v>
      </c>
      <c r="X16" s="221" t="s">
        <v>385</v>
      </c>
    </row>
    <row r="18" spans="2:24">
      <c r="B18" s="221" t="s">
        <v>342</v>
      </c>
      <c r="X18" s="221" t="s">
        <v>386</v>
      </c>
    </row>
    <row r="19" spans="2:24">
      <c r="B19" s="221" t="s">
        <v>343</v>
      </c>
    </row>
    <row r="20" spans="2:24">
      <c r="B20" s="221" t="s">
        <v>344</v>
      </c>
      <c r="X20" s="221" t="s">
        <v>387</v>
      </c>
    </row>
    <row r="21" spans="2:24">
      <c r="B21" s="221" t="s">
        <v>375</v>
      </c>
    </row>
    <row r="22" spans="2:24">
      <c r="B22" s="221" t="s">
        <v>345</v>
      </c>
      <c r="X22" s="221" t="s">
        <v>388</v>
      </c>
    </row>
    <row r="24" spans="2:24">
      <c r="B24" s="221" t="s">
        <v>346</v>
      </c>
      <c r="X24" s="221" t="s">
        <v>389</v>
      </c>
    </row>
    <row r="25" spans="2:24">
      <c r="B25" s="221" t="s">
        <v>347</v>
      </c>
    </row>
    <row r="26" spans="2:24">
      <c r="B26" s="221" t="s">
        <v>348</v>
      </c>
      <c r="X26" s="221" t="s">
        <v>390</v>
      </c>
    </row>
    <row r="27" spans="2:24">
      <c r="B27" s="221" t="s">
        <v>349</v>
      </c>
    </row>
    <row r="28" spans="2:24">
      <c r="B28" s="221" t="s">
        <v>350</v>
      </c>
      <c r="X28" s="221" t="s">
        <v>391</v>
      </c>
    </row>
    <row r="30" spans="2:24">
      <c r="B30" s="221" t="s">
        <v>351</v>
      </c>
      <c r="X30" s="221" t="s">
        <v>392</v>
      </c>
    </row>
    <row r="31" spans="2:24">
      <c r="B31" s="221" t="s">
        <v>352</v>
      </c>
    </row>
    <row r="32" spans="2:24">
      <c r="B32" s="221" t="s">
        <v>376</v>
      </c>
      <c r="X32" s="221" t="s">
        <v>393</v>
      </c>
    </row>
    <row r="33" spans="2:24">
      <c r="B33" s="221" t="s">
        <v>353</v>
      </c>
    </row>
    <row r="34" spans="2:24">
      <c r="X34" s="221" t="s">
        <v>394</v>
      </c>
    </row>
    <row r="35" spans="2:24">
      <c r="B35" s="221" t="s">
        <v>354</v>
      </c>
    </row>
    <row r="36" spans="2:24">
      <c r="B36" s="221" t="s">
        <v>355</v>
      </c>
    </row>
    <row r="37" spans="2:24">
      <c r="B37" s="221" t="s">
        <v>356</v>
      </c>
    </row>
    <row r="38" spans="2:24">
      <c r="B38" s="221" t="s">
        <v>357</v>
      </c>
    </row>
    <row r="40" spans="2:24">
      <c r="B40" s="221" t="s">
        <v>358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N55"/>
  <sheetViews>
    <sheetView showGridLines="0" topLeftCell="A4" workbookViewId="0">
      <selection activeCell="B21" sqref="B21"/>
    </sheetView>
  </sheetViews>
  <sheetFormatPr defaultColWidth="9.140625" defaultRowHeight="12.75"/>
  <cols>
    <col min="1" max="1" width="28.5703125" style="8" bestFit="1" customWidth="1"/>
    <col min="2" max="2" width="10" style="8" customWidth="1"/>
    <col min="3" max="3" width="6.28515625" style="204" customWidth="1"/>
    <col min="4" max="4" width="23.140625" style="8" bestFit="1" customWidth="1"/>
    <col min="5" max="9" width="11.5703125" style="8" bestFit="1" customWidth="1"/>
    <col min="10" max="10" width="11.5703125" style="8" customWidth="1"/>
    <col min="11" max="11" width="16" style="8" customWidth="1"/>
    <col min="12" max="13" width="11.5703125" style="8" customWidth="1"/>
    <col min="14" max="16384" width="9.140625" style="8"/>
  </cols>
  <sheetData>
    <row r="1" spans="1:14" customFormat="1" ht="15">
      <c r="C1" s="202"/>
    </row>
    <row r="5" spans="1:14">
      <c r="A5" s="380"/>
      <c r="B5" s="380"/>
      <c r="C5" s="380"/>
      <c r="D5" s="380"/>
      <c r="E5" s="380"/>
      <c r="F5" s="380"/>
      <c r="G5" s="380"/>
      <c r="H5" s="380"/>
      <c r="I5" s="380"/>
      <c r="J5" s="380"/>
      <c r="K5" s="380"/>
    </row>
    <row r="6" spans="1:14">
      <c r="A6" s="379"/>
      <c r="B6" s="379"/>
      <c r="C6" s="379"/>
      <c r="D6" s="379"/>
      <c r="E6" s="379"/>
      <c r="F6" s="379"/>
      <c r="G6" s="379"/>
      <c r="H6" s="379"/>
      <c r="I6" s="379"/>
      <c r="J6" s="379"/>
      <c r="K6" s="379"/>
    </row>
    <row r="7" spans="1:14">
      <c r="A7" s="375" t="s">
        <v>37</v>
      </c>
      <c r="B7" s="376"/>
      <c r="C7" s="203"/>
      <c r="D7" s="198" t="s">
        <v>48</v>
      </c>
      <c r="E7" s="21" t="s">
        <v>90</v>
      </c>
      <c r="F7" s="21" t="s">
        <v>91</v>
      </c>
      <c r="G7" s="21" t="s">
        <v>92</v>
      </c>
      <c r="H7" s="21" t="s">
        <v>93</v>
      </c>
      <c r="I7" s="21" t="s">
        <v>94</v>
      </c>
      <c r="J7" s="21" t="s">
        <v>298</v>
      </c>
      <c r="K7" s="20" t="s">
        <v>24</v>
      </c>
    </row>
    <row r="8" spans="1:14">
      <c r="A8" s="9" t="s">
        <v>29</v>
      </c>
      <c r="B8" s="172">
        <f>'Annual Report input'!D5</f>
        <v>731.45</v>
      </c>
      <c r="D8" s="8" t="s">
        <v>323</v>
      </c>
      <c r="E8" s="10">
        <f>'Screener Output.v0'!L76</f>
        <v>51.386025352933018</v>
      </c>
      <c r="F8" s="10">
        <f>'Screener Output.v0'!K76</f>
        <v>49.236772247058568</v>
      </c>
      <c r="G8" s="10">
        <f>'Screener Output.v0'!J76</f>
        <v>47.809818801081732</v>
      </c>
      <c r="H8" s="323">
        <f>'Screener Output.v0'!I76</f>
        <v>41.235098352256195</v>
      </c>
      <c r="I8" s="323">
        <f>'Screener Output.v0'!H76</f>
        <v>27.204201866636197</v>
      </c>
      <c r="J8" s="10"/>
    </row>
    <row r="9" spans="1:14" ht="15.75">
      <c r="A9" s="9" t="s">
        <v>370</v>
      </c>
      <c r="B9" s="16">
        <f>'Screener Output.v0'!M74</f>
        <v>14.097623320345498</v>
      </c>
      <c r="C9" s="205"/>
      <c r="D9" s="177" t="s">
        <v>28</v>
      </c>
      <c r="E9" s="10">
        <f>'Screener Output.v0'!L74</f>
        <v>13.383062345777386</v>
      </c>
      <c r="F9" s="10">
        <f>'Screener Output.v0'!K74</f>
        <v>9.9849954528522158</v>
      </c>
      <c r="G9" s="10">
        <f>'Screener Output.v0'!J74</f>
        <v>10.020018377253525</v>
      </c>
      <c r="H9" s="10">
        <f>'Screener Output.v0'!I74</f>
        <v>8.5866413358664122</v>
      </c>
      <c r="I9" s="10">
        <f>'Screener Output.v0'!H74</f>
        <v>5.4694530546945304</v>
      </c>
      <c r="J9" s="10">
        <f>'Screener Output.v0'!G74</f>
        <v>3.7337932873379329</v>
      </c>
      <c r="K9" s="171">
        <f>(E9/J9)^(1/5)-1</f>
        <v>0.29086565521584573</v>
      </c>
    </row>
    <row r="10" spans="1:14" ht="15.75">
      <c r="A10" s="9" t="s">
        <v>371</v>
      </c>
      <c r="B10" s="16">
        <f>SUM('Screener Input'!D49:G49)/'Screener Input'!K93</f>
        <v>9.9972065651203508</v>
      </c>
      <c r="C10" s="205"/>
      <c r="D10" s="177" t="s">
        <v>26</v>
      </c>
      <c r="E10" s="10">
        <f>'Screener Output.v0'!L75</f>
        <v>1.4997471617388827</v>
      </c>
      <c r="F10" s="10">
        <f>'Screener Output.v0'!K75</f>
        <v>0.99974818998545323</v>
      </c>
      <c r="G10" s="10">
        <f>'Screener Output.v0'!J75</f>
        <v>0.59980156564869791</v>
      </c>
      <c r="H10" s="10">
        <f>'Screener Output.v0'!I75</f>
        <v>0.49995000499950004</v>
      </c>
      <c r="I10" s="10">
        <f>'Screener Output.v0'!H75</f>
        <v>0.24997500249975002</v>
      </c>
      <c r="J10" s="10">
        <f>'Screener Output.v0'!G75</f>
        <v>0.19998000199980001</v>
      </c>
      <c r="K10" s="171">
        <f>(E10/J10)^(1/5)-1</f>
        <v>0.49625734751645334</v>
      </c>
      <c r="N10" s="235"/>
    </row>
    <row r="11" spans="1:14">
      <c r="A11" s="9" t="s">
        <v>30</v>
      </c>
      <c r="B11" s="16">
        <f>'Screener Output.v0'!L73</f>
        <v>63.247785982673392</v>
      </c>
      <c r="C11" s="205"/>
      <c r="D11" s="8" t="s">
        <v>324</v>
      </c>
      <c r="E11" s="10">
        <f>'Screener Output.v0'!L78</f>
        <v>10.873145523044787</v>
      </c>
      <c r="F11" s="10">
        <f>'Screener Output.v0'!K78</f>
        <v>9.739846679477342</v>
      </c>
      <c r="G11" s="10">
        <f>'Screener Output.v0'!J78</f>
        <v>11.980842963027857</v>
      </c>
      <c r="H11" s="323">
        <f>'Screener Output.v0'!I78</f>
        <v>11.552598785275409</v>
      </c>
      <c r="I11" s="323">
        <f>'Screener Output.v0'!H78</f>
        <v>6.4567681896369686</v>
      </c>
    </row>
    <row r="12" spans="1:14">
      <c r="A12" s="177" t="s">
        <v>35</v>
      </c>
      <c r="B12" s="176">
        <f>Analysis!M4</f>
        <v>0.22289512749438398</v>
      </c>
      <c r="C12" s="206"/>
      <c r="D12" s="177" t="s">
        <v>30</v>
      </c>
      <c r="E12" s="168">
        <f>'Screener Output.v0'!L73</f>
        <v>63.247785982673392</v>
      </c>
      <c r="F12" s="168">
        <f>'Screener Output.v0'!K73</f>
        <v>50.476045791963301</v>
      </c>
      <c r="G12" s="168">
        <f>'Screener Output.v0'!J73</f>
        <v>39.985104927786388</v>
      </c>
      <c r="H12" s="168">
        <f>'Screener Output.v0'!I73</f>
        <v>30.648601806486017</v>
      </c>
      <c r="I12" s="168">
        <f>'Screener Output.v0'!H73</f>
        <v>23.044362230443621</v>
      </c>
      <c r="J12" s="168">
        <f>'Screener Output.v0'!G73</f>
        <v>17.868213178682129</v>
      </c>
      <c r="K12" s="171">
        <f>(E12/J12)^(1/5)-1</f>
        <v>0.28763519995896658</v>
      </c>
    </row>
    <row r="13" spans="1:14">
      <c r="A13" s="9" t="s">
        <v>307</v>
      </c>
      <c r="B13" s="16">
        <f>B8/B9</f>
        <v>51.884632138268394</v>
      </c>
      <c r="C13" s="205"/>
      <c r="D13" s="177"/>
      <c r="E13" s="11"/>
      <c r="F13" s="11"/>
      <c r="G13" s="11"/>
      <c r="H13" s="11"/>
      <c r="I13" s="11"/>
      <c r="J13" s="11"/>
      <c r="K13" s="171"/>
    </row>
    <row r="14" spans="1:14">
      <c r="A14" s="9" t="s">
        <v>32</v>
      </c>
      <c r="B14" s="194">
        <f>B9/B8</f>
        <v>1.9273529729093578E-2</v>
      </c>
      <c r="C14" s="207"/>
      <c r="D14" s="177" t="s">
        <v>36</v>
      </c>
      <c r="E14" s="11">
        <f>E10/E9</f>
        <v>0.11206307816477308</v>
      </c>
      <c r="F14" s="11">
        <f>F10/F9</f>
        <v>0.10012505210504377</v>
      </c>
      <c r="G14" s="11">
        <f>G10/G9</f>
        <v>5.9860325906218828E-2</v>
      </c>
      <c r="H14" s="11">
        <f>H10/H9</f>
        <v>5.8224163027656484E-2</v>
      </c>
      <c r="I14" s="11">
        <f>I10/I9</f>
        <v>4.5703839122486288E-2</v>
      </c>
      <c r="J14" s="11"/>
      <c r="K14" s="11"/>
    </row>
    <row r="15" spans="1:14">
      <c r="A15" s="9" t="s">
        <v>33</v>
      </c>
      <c r="B15" s="194">
        <f>'Screener Output.v0'!L75/B8</f>
        <v>2.0503755030950614E-3</v>
      </c>
      <c r="C15" s="207"/>
      <c r="D15" s="199"/>
      <c r="E15" s="187"/>
      <c r="F15" s="13"/>
      <c r="G15" s="13"/>
      <c r="H15" s="13"/>
      <c r="I15" s="13"/>
      <c r="J15" s="13"/>
      <c r="K15" s="13"/>
      <c r="M15" s="235"/>
    </row>
    <row r="16" spans="1:14">
      <c r="A16" s="9" t="s">
        <v>308</v>
      </c>
      <c r="B16" s="16">
        <f>B8/B11</f>
        <v>11.564831695458548</v>
      </c>
      <c r="C16" s="205"/>
      <c r="D16" s="200" t="s">
        <v>40</v>
      </c>
      <c r="E16" s="15">
        <v>0</v>
      </c>
      <c r="F16" s="9">
        <v>1</v>
      </c>
      <c r="G16" s="9">
        <v>2</v>
      </c>
      <c r="H16" s="9">
        <v>3</v>
      </c>
      <c r="I16" s="9">
        <v>4</v>
      </c>
      <c r="J16" s="9">
        <v>10</v>
      </c>
      <c r="M16" s="234"/>
    </row>
    <row r="17" spans="1:13">
      <c r="A17" s="9" t="s">
        <v>269</v>
      </c>
      <c r="B17" s="16">
        <f>B13/100/K9</f>
        <v>1.7838005693647749</v>
      </c>
      <c r="C17" s="207"/>
      <c r="D17" s="177" t="s">
        <v>303</v>
      </c>
      <c r="E17" s="168"/>
      <c r="F17" s="168"/>
      <c r="G17" s="168"/>
      <c r="H17" s="168"/>
      <c r="I17" s="168"/>
      <c r="J17" s="365">
        <f>IF($A$29=1, IF($A$28=2,M43, $E$12*(1+$K$12)^J16), IF($A$28=2,K43, $E$12*(1+'Annual Report input'!$D$9)^J16))</f>
        <v>110.76059499287898</v>
      </c>
      <c r="M17" s="237"/>
    </row>
    <row r="18" spans="1:13">
      <c r="A18" s="377" t="s">
        <v>38</v>
      </c>
      <c r="B18" s="378"/>
      <c r="C18" s="208"/>
      <c r="D18" s="177" t="s">
        <v>26</v>
      </c>
      <c r="E18" s="10"/>
      <c r="F18" s="10"/>
      <c r="G18" s="10"/>
      <c r="H18" s="10"/>
      <c r="I18" s="10"/>
      <c r="J18" s="10"/>
      <c r="M18" s="236"/>
    </row>
    <row r="19" spans="1:13">
      <c r="A19" s="9" t="s">
        <v>321</v>
      </c>
      <c r="B19" s="195">
        <f>Analysis!M3</f>
        <v>0.2287173848487524</v>
      </c>
      <c r="C19" s="209"/>
      <c r="D19" s="177"/>
      <c r="E19" s="12"/>
      <c r="F19" s="13"/>
      <c r="G19" s="13"/>
      <c r="H19" s="13"/>
      <c r="I19" s="13"/>
      <c r="J19" s="13"/>
      <c r="K19" s="13"/>
    </row>
    <row r="20" spans="1:13">
      <c r="A20" s="9" t="s">
        <v>39</v>
      </c>
      <c r="B20" s="194">
        <f>AVERAGE(E14:I14)</f>
        <v>7.5195291665235683E-2</v>
      </c>
      <c r="C20" s="207"/>
      <c r="D20" s="177" t="s">
        <v>302</v>
      </c>
      <c r="E20" s="172">
        <f>J17</f>
        <v>110.76059499287898</v>
      </c>
      <c r="F20" s="13"/>
      <c r="G20" s="13"/>
      <c r="H20" s="13"/>
      <c r="I20" s="13"/>
      <c r="J20" s="13"/>
      <c r="K20" s="13"/>
    </row>
    <row r="21" spans="1:13">
      <c r="A21" s="9" t="s">
        <v>300</v>
      </c>
      <c r="B21" s="16">
        <f>AVERAGE(E8:G8,B13)</f>
        <v>50.079312134835426</v>
      </c>
      <c r="C21" s="205"/>
      <c r="D21" s="8" t="s">
        <v>325</v>
      </c>
      <c r="E21" s="189">
        <f>B8*B24</f>
        <v>58.516000000000005</v>
      </c>
    </row>
    <row r="22" spans="1:13">
      <c r="A22" s="9" t="s">
        <v>301</v>
      </c>
      <c r="B22" s="16">
        <f>AVERAGE(E11:G11,B16)</f>
        <v>11.039666715252135</v>
      </c>
      <c r="C22" s="205"/>
      <c r="D22" s="177" t="s">
        <v>42</v>
      </c>
      <c r="E22" s="172">
        <f>B20*M43</f>
        <v>8.3286752455045772</v>
      </c>
      <c r="F22" s="13"/>
      <c r="G22" s="174"/>
      <c r="H22" s="13"/>
      <c r="I22" s="13"/>
      <c r="J22" s="13"/>
      <c r="K22" s="13"/>
    </row>
    <row r="23" spans="1:13">
      <c r="A23" s="78" t="s">
        <v>68</v>
      </c>
      <c r="B23" s="196"/>
      <c r="C23" s="210"/>
      <c r="D23" s="177" t="s">
        <v>43</v>
      </c>
      <c r="E23" s="172">
        <f>IF(A28=2, E20*I44, E20*B22)</f>
        <v>4961.272541449116</v>
      </c>
      <c r="F23" s="13"/>
      <c r="G23" s="13"/>
      <c r="H23" s="13"/>
      <c r="I23" s="13"/>
      <c r="J23" s="13"/>
      <c r="K23" s="13"/>
    </row>
    <row r="24" spans="1:13">
      <c r="A24" s="8" t="s">
        <v>128</v>
      </c>
      <c r="B24" s="197">
        <f>'Annual Report input'!D10</f>
        <v>0.08</v>
      </c>
      <c r="C24" s="211"/>
      <c r="D24" s="177" t="s">
        <v>319</v>
      </c>
      <c r="E24" s="172">
        <f>E23+E22</f>
        <v>4969.6012166946202</v>
      </c>
      <c r="F24" s="214"/>
      <c r="G24" s="13"/>
      <c r="H24" s="13"/>
      <c r="I24" s="13"/>
      <c r="J24" s="13"/>
      <c r="K24" s="13"/>
    </row>
    <row r="25" spans="1:13">
      <c r="A25" s="9" t="s">
        <v>299</v>
      </c>
      <c r="B25" s="172">
        <f>IF(A28=2, B21*B9, B22*B11)</f>
        <v>705.99927861891717</v>
      </c>
      <c r="C25" s="212"/>
      <c r="D25" s="201"/>
      <c r="E25" s="14"/>
      <c r="F25" s="13"/>
      <c r="G25" s="13"/>
      <c r="H25" s="13"/>
      <c r="I25" s="13"/>
      <c r="J25" s="13"/>
      <c r="K25" s="13"/>
    </row>
    <row r="26" spans="1:13">
      <c r="A26" s="9" t="s">
        <v>46</v>
      </c>
      <c r="B26" s="172">
        <f>E24/((1+B24)^5)</f>
        <v>3382.2270840408532</v>
      </c>
      <c r="C26" s="212"/>
      <c r="D26" s="200" t="s">
        <v>45</v>
      </c>
      <c r="E26" s="15" t="s">
        <v>69</v>
      </c>
      <c r="F26" s="9">
        <v>1</v>
      </c>
      <c r="G26" s="9">
        <v>2</v>
      </c>
      <c r="H26" s="9">
        <v>3</v>
      </c>
      <c r="I26" s="9">
        <v>4</v>
      </c>
      <c r="J26" s="9">
        <v>5</v>
      </c>
    </row>
    <row r="27" spans="1:13">
      <c r="A27" s="9" t="s">
        <v>47</v>
      </c>
      <c r="B27" s="172">
        <f>E32/(1+B24)^5</f>
        <v>1226.490290379935</v>
      </c>
      <c r="C27" s="212"/>
      <c r="D27" s="177" t="s">
        <v>30</v>
      </c>
      <c r="E27" s="168">
        <f>E12</f>
        <v>63.247785982673392</v>
      </c>
      <c r="F27" s="168">
        <f>E27+E28-E29</f>
        <v>76.285334405658887</v>
      </c>
      <c r="G27" s="168">
        <f>F27+F28-F29</f>
        <v>92.01037087649884</v>
      </c>
      <c r="H27" s="168">
        <f>G27+G28-G29</f>
        <v>110.97687930175555</v>
      </c>
      <c r="I27" s="168">
        <f>H27+H28-H29</f>
        <v>133.85303876328706</v>
      </c>
      <c r="J27" s="168">
        <f>I27+I28-I29</f>
        <v>161.44476307942645</v>
      </c>
    </row>
    <row r="28" spans="1:13">
      <c r="A28" s="173">
        <v>2</v>
      </c>
      <c r="D28" s="177" t="s">
        <v>28</v>
      </c>
      <c r="E28" s="168">
        <f t="shared" ref="E28:J28" si="0">IF($A$30=1, E27*$B$12, E27*$B$19)</f>
        <v>14.097623320345498</v>
      </c>
      <c r="F28" s="168">
        <f t="shared" si="0"/>
        <v>17.003629338301053</v>
      </c>
      <c r="G28" s="168">
        <f t="shared" si="0"/>
        <v>20.508663347322763</v>
      </c>
      <c r="H28" s="168">
        <f t="shared" si="0"/>
        <v>24.736205660893663</v>
      </c>
      <c r="I28" s="168">
        <f t="shared" si="0"/>
        <v>29.835190140653591</v>
      </c>
      <c r="J28" s="168">
        <f t="shared" si="0"/>
        <v>35.985251049889371</v>
      </c>
    </row>
    <row r="29" spans="1:13">
      <c r="A29" s="173">
        <v>1</v>
      </c>
      <c r="D29" s="177" t="s">
        <v>26</v>
      </c>
      <c r="E29" s="10">
        <f>E28*B20</f>
        <v>1.060074897360008</v>
      </c>
      <c r="F29" s="10">
        <f>F28*B20</f>
        <v>1.278592867461106</v>
      </c>
      <c r="G29" s="10">
        <f>G28*B20</f>
        <v>1.542154922066064</v>
      </c>
      <c r="H29" s="10">
        <f>H28*B20</f>
        <v>1.8600461993621531</v>
      </c>
      <c r="I29" s="10">
        <f>I28*B20</f>
        <v>2.2434658245142107</v>
      </c>
      <c r="J29" s="10">
        <f>J28*B20</f>
        <v>2.70592144834316</v>
      </c>
    </row>
    <row r="30" spans="1:13">
      <c r="A30" s="173">
        <v>1</v>
      </c>
      <c r="D30" s="177" t="s">
        <v>41</v>
      </c>
      <c r="E30" s="16">
        <f>J28</f>
        <v>35.985251049889371</v>
      </c>
      <c r="F30" s="13"/>
      <c r="G30" s="13"/>
      <c r="H30" s="13"/>
      <c r="I30" s="13"/>
      <c r="J30" s="13"/>
      <c r="K30" s="13"/>
    </row>
    <row r="31" spans="1:13">
      <c r="D31" s="177" t="s">
        <v>42</v>
      </c>
      <c r="E31" s="16">
        <f>SUM(E29:J29)</f>
        <v>10.690256159106701</v>
      </c>
      <c r="F31" s="13"/>
      <c r="G31" s="13"/>
      <c r="H31" s="13"/>
      <c r="I31" s="13"/>
      <c r="J31" s="13"/>
      <c r="K31" s="13"/>
    </row>
    <row r="32" spans="1:13">
      <c r="D32" s="177" t="s">
        <v>43</v>
      </c>
      <c r="E32" s="16">
        <f>B21*E30</f>
        <v>1802.1166195778239</v>
      </c>
      <c r="F32" s="13"/>
      <c r="G32" s="13"/>
      <c r="H32" s="13"/>
      <c r="I32" s="13"/>
      <c r="J32" s="13"/>
      <c r="K32" s="13"/>
    </row>
    <row r="33" spans="1:13">
      <c r="D33" s="177" t="s">
        <v>44</v>
      </c>
      <c r="E33" s="16">
        <f>E32+E31</f>
        <v>1812.8068757369306</v>
      </c>
      <c r="F33" s="13"/>
      <c r="G33" s="13"/>
      <c r="H33" s="13"/>
      <c r="I33" s="13"/>
      <c r="J33" s="13"/>
      <c r="K33" s="13"/>
    </row>
    <row r="34" spans="1:13">
      <c r="D34" s="201"/>
      <c r="E34" s="14"/>
      <c r="F34" s="13"/>
      <c r="G34" s="13"/>
      <c r="H34" s="13"/>
      <c r="I34" s="13"/>
      <c r="J34" s="13"/>
      <c r="K34" s="13"/>
    </row>
    <row r="37" spans="1:13">
      <c r="A37" s="338" t="s">
        <v>534</v>
      </c>
    </row>
    <row r="38" spans="1:13">
      <c r="A38" s="339" t="s">
        <v>48</v>
      </c>
      <c r="B38" s="21" t="s">
        <v>470</v>
      </c>
      <c r="C38" s="21" t="s">
        <v>90</v>
      </c>
      <c r="D38" s="21" t="s">
        <v>91</v>
      </c>
      <c r="E38" s="21" t="s">
        <v>92</v>
      </c>
      <c r="F38" s="21" t="s">
        <v>93</v>
      </c>
      <c r="G38" s="21" t="s">
        <v>94</v>
      </c>
      <c r="H38" s="21" t="s">
        <v>298</v>
      </c>
      <c r="I38" s="340" t="s">
        <v>231</v>
      </c>
      <c r="J38" s="340" t="s">
        <v>230</v>
      </c>
      <c r="K38" s="340" t="s">
        <v>553</v>
      </c>
      <c r="L38" s="340" t="s">
        <v>535</v>
      </c>
      <c r="M38" s="340" t="s">
        <v>536</v>
      </c>
    </row>
    <row r="39" spans="1:13">
      <c r="A39" s="341" t="s">
        <v>537</v>
      </c>
      <c r="B39" s="342"/>
      <c r="C39" s="342"/>
      <c r="D39" s="342"/>
      <c r="E39" s="342"/>
      <c r="F39" s="343"/>
      <c r="G39" s="343"/>
      <c r="H39" s="342"/>
      <c r="I39" s="344"/>
      <c r="J39" s="344"/>
      <c r="K39" s="344"/>
      <c r="L39" s="344"/>
      <c r="M39" s="344"/>
    </row>
    <row r="40" spans="1:13">
      <c r="A40" s="345" t="s">
        <v>538</v>
      </c>
      <c r="B40" s="342"/>
      <c r="C40" s="342"/>
      <c r="D40" s="342"/>
      <c r="E40" s="342"/>
      <c r="F40" s="342"/>
      <c r="G40" s="342"/>
      <c r="H40" s="342"/>
      <c r="I40" s="346"/>
      <c r="J40" s="346"/>
      <c r="K40" s="346"/>
      <c r="L40" s="346"/>
      <c r="M40" s="346"/>
    </row>
    <row r="41" spans="1:13">
      <c r="A41" s="345" t="s">
        <v>539</v>
      </c>
      <c r="B41" s="347">
        <f>'Screener Output.v0'!M25/'Screener Input'!K93</f>
        <v>170.04557071071065</v>
      </c>
      <c r="C41" s="347">
        <f>'Screener Output.v0'!L25/'Screener Input'!K93</f>
        <v>162.9680935230698</v>
      </c>
      <c r="D41" s="347">
        <f>'Screener Output.v0'!K25/'Screener Input'!K93</f>
        <v>136.66061727100524</v>
      </c>
      <c r="E41" s="347">
        <f>'Screener Output.v0'!J25/'Screener Input'!K93</f>
        <v>139.20811023382598</v>
      </c>
      <c r="F41" s="347">
        <f>'Screener Output.v0'!I25/'Screener Input'!K93</f>
        <v>119.74795606480305</v>
      </c>
      <c r="G41" s="347">
        <f>'Screener Output.v0'!H25/'Screener Input'!K93</f>
        <v>98.198957372449613</v>
      </c>
      <c r="H41" s="347">
        <f>'Screener Output.v0'!G25/'Screener Input'!K93</f>
        <v>81.602032410824037</v>
      </c>
      <c r="I41" s="348">
        <f>Revenue!D5</f>
        <v>0.15817148927251967</v>
      </c>
      <c r="J41" s="348">
        <f>Revenue!C5</f>
        <v>0.19557384952762624</v>
      </c>
      <c r="K41" s="349"/>
      <c r="L41" s="350"/>
      <c r="M41" s="350">
        <f>B41*                                  (1+                   (             IF(MIN(I41:J41) &gt;0.25, 0.25,MIN(I41:J41) )                   )                  )                                      ^10</f>
        <v>738.40396661919317</v>
      </c>
    </row>
    <row r="42" spans="1:13">
      <c r="A42" s="345" t="s">
        <v>540</v>
      </c>
      <c r="B42" s="351">
        <f>'Screener Output.v0'!M127</f>
        <v>8.2904972246110556E-2</v>
      </c>
      <c r="C42" s="351">
        <f>'Screener Output.v0'!L127</f>
        <v>8.2120751715628729E-2</v>
      </c>
      <c r="D42" s="351">
        <f>'Screener Output.v0'!K127</f>
        <v>7.2928573165689931E-2</v>
      </c>
      <c r="E42" s="351">
        <f>'Screener Output.v0'!J127</f>
        <v>7.1790953910064362E-2</v>
      </c>
      <c r="F42" s="351">
        <f>'Screener Output.v0'!I127</f>
        <v>7.1495479492926117E-2</v>
      </c>
      <c r="G42" s="351">
        <f>'Screener Output.v0'!H127</f>
        <v>5.5514189497910066E-2</v>
      </c>
      <c r="H42" s="351">
        <f>'Screener Output.v0'!G127</f>
        <v>4.5626253678304862E-2</v>
      </c>
      <c r="I42" s="351">
        <f>IF(POWER('Screener Output.v0'!M127/'Screener Output.v0'!G127,1/5)-1&gt;0, POWER('Screener Output.v0'!M127/'Screener Output.v0'!G127,1/5)-1, 0)</f>
        <v>0.12686827818878421</v>
      </c>
      <c r="J42" s="351">
        <f>IF(POWER('Screener Output.v0'!M127/'Screener Output.v0'!C127,1/10)-1&gt;0, POWER('Screener Output.v0'!M127/'Screener Output.v0'!C127,1/10)-1,0)</f>
        <v>9.0991204728944508E-2</v>
      </c>
      <c r="K42" s="352"/>
      <c r="L42" s="352"/>
      <c r="M42" s="352">
        <f>IF(B42*(1+MIN(I42:J42))^10&gt;0.15, 0.15, B42*(1+MIN(I42:J42))^10)</f>
        <v>0.15</v>
      </c>
    </row>
    <row r="43" spans="1:13">
      <c r="A43" s="345" t="s">
        <v>541</v>
      </c>
      <c r="B43" s="350"/>
      <c r="C43" s="350"/>
      <c r="D43" s="350"/>
      <c r="E43" s="350"/>
      <c r="F43" s="350"/>
      <c r="G43" s="350"/>
      <c r="H43" s="350"/>
      <c r="I43" s="346"/>
      <c r="J43" s="346"/>
      <c r="K43" s="353">
        <f>(B41*(1+$B53)^5)*C$52</f>
        <v>32.251947103564973</v>
      </c>
      <c r="L43" s="350"/>
      <c r="M43" s="350">
        <f>M41*M42</f>
        <v>110.76059499287898</v>
      </c>
    </row>
    <row r="44" spans="1:13">
      <c r="A44" s="345" t="s">
        <v>542</v>
      </c>
      <c r="B44" s="354"/>
      <c r="C44" s="354"/>
      <c r="D44" s="354"/>
      <c r="E44" s="354"/>
      <c r="F44" s="354"/>
      <c r="G44" s="354"/>
      <c r="H44" s="354"/>
      <c r="I44" s="353">
        <f>AVERAGE(E8:I8,B13)</f>
        <v>44.792758126372348</v>
      </c>
      <c r="J44" s="346"/>
      <c r="K44" s="353">
        <f>I44</f>
        <v>44.792758126372348</v>
      </c>
      <c r="L44" s="346"/>
      <c r="M44" s="346"/>
    </row>
    <row r="45" spans="1:13">
      <c r="A45" s="345" t="s">
        <v>543</v>
      </c>
      <c r="B45" s="354"/>
      <c r="C45" s="354"/>
      <c r="D45" s="354"/>
      <c r="E45" s="354"/>
      <c r="F45" s="354"/>
      <c r="G45" s="354"/>
      <c r="H45" s="354"/>
      <c r="I45" s="346"/>
      <c r="J45" s="346"/>
      <c r="K45" s="353"/>
      <c r="L45" s="353"/>
      <c r="M45" s="350">
        <f>M43*I44</f>
        <v>4961.272541449116</v>
      </c>
    </row>
    <row r="46" spans="1:13">
      <c r="A46" s="345" t="s">
        <v>544</v>
      </c>
      <c r="B46" s="354">
        <f>B8/B41</f>
        <v>4.3014939874227975</v>
      </c>
      <c r="C46" s="354"/>
      <c r="D46" s="354"/>
      <c r="E46" s="354"/>
      <c r="F46" s="354"/>
      <c r="G46" s="354"/>
      <c r="H46" s="354"/>
      <c r="I46" s="346"/>
      <c r="J46" s="346"/>
      <c r="K46" s="354"/>
      <c r="L46" s="354"/>
      <c r="M46" s="355">
        <f>M45/M41</f>
        <v>6.7189137189558519</v>
      </c>
    </row>
    <row r="47" spans="1:13">
      <c r="A47" s="345" t="s">
        <v>545</v>
      </c>
      <c r="B47" s="354"/>
      <c r="C47" s="354"/>
      <c r="D47" s="354"/>
      <c r="E47" s="354"/>
      <c r="F47" s="354"/>
      <c r="G47" s="354"/>
      <c r="H47" s="354"/>
      <c r="I47" s="346"/>
      <c r="J47" s="346"/>
      <c r="K47" s="364"/>
      <c r="L47" s="356"/>
      <c r="M47" s="352">
        <f>POWER(M45/B8,1/10)-1</f>
        <v>0.21099080084967325</v>
      </c>
    </row>
    <row r="49" spans="1:5">
      <c r="A49" s="338" t="s">
        <v>556</v>
      </c>
    </row>
    <row r="50" spans="1:5">
      <c r="A50" s="381" t="s">
        <v>546</v>
      </c>
      <c r="B50" s="381"/>
      <c r="C50" s="382" t="s">
        <v>420</v>
      </c>
      <c r="D50" s="382"/>
      <c r="E50" s="382"/>
    </row>
    <row r="51" spans="1:5">
      <c r="A51" s="381"/>
      <c r="B51" s="381"/>
      <c r="C51" s="340" t="s">
        <v>470</v>
      </c>
      <c r="D51" s="340" t="s">
        <v>547</v>
      </c>
      <c r="E51" s="340" t="s">
        <v>548</v>
      </c>
    </row>
    <row r="52" spans="1:5">
      <c r="A52" s="340" t="s">
        <v>549</v>
      </c>
      <c r="B52" s="357"/>
      <c r="C52" s="358">
        <f>B42</f>
        <v>8.2904972246110556E-2</v>
      </c>
      <c r="D52" s="359">
        <f>C52+1%</f>
        <v>9.2904972246110551E-2</v>
      </c>
      <c r="E52" s="359">
        <f>B42+1.5%</f>
        <v>9.7904972246110555E-2</v>
      </c>
    </row>
    <row r="53" spans="1:5">
      <c r="A53" s="346" t="s">
        <v>550</v>
      </c>
      <c r="B53" s="360">
        <f>'Annual Report input'!D9</f>
        <v>0.18</v>
      </c>
      <c r="C53" s="361">
        <f>POWER((($B$41*(1+$B53)^10)*C$52*$K$44)/$B$8, 1/10)-1</f>
        <v>0.1627836423157043</v>
      </c>
      <c r="D53" s="361">
        <f t="shared" ref="D53:E55" si="1">POWER((($B$41*(1+$B53)^10)*D$52*$K$44)/$B$8, 1/10)-1</f>
        <v>0.17610135840721841</v>
      </c>
      <c r="E53" s="361">
        <f t="shared" si="1"/>
        <v>0.18228268892549715</v>
      </c>
    </row>
    <row r="54" spans="1:5">
      <c r="A54" s="362" t="s">
        <v>551</v>
      </c>
      <c r="B54" s="360">
        <f>B53+2%</f>
        <v>0.19999999999999998</v>
      </c>
      <c r="C54" s="361">
        <f t="shared" ref="C54:C55" si="2">POWER((($B$41*(1+$B54)^10)*C$52*$K$44)/$B$8, 1/10)-1</f>
        <v>0.18249183964308902</v>
      </c>
      <c r="D54" s="361">
        <f t="shared" si="1"/>
        <v>0.19603527973615442</v>
      </c>
      <c r="E54" s="361">
        <f t="shared" si="1"/>
        <v>0.20232137856830223</v>
      </c>
    </row>
    <row r="55" spans="1:5">
      <c r="A55" s="362" t="s">
        <v>552</v>
      </c>
      <c r="B55" s="363">
        <f>B53+3%</f>
        <v>0.21</v>
      </c>
      <c r="C55" s="361">
        <f t="shared" si="2"/>
        <v>0.19234593830678159</v>
      </c>
      <c r="D55" s="361">
        <f t="shared" si="1"/>
        <v>0.20600224040062232</v>
      </c>
      <c r="E55" s="361">
        <f t="shared" si="1"/>
        <v>0.21234072338970478</v>
      </c>
    </row>
  </sheetData>
  <mergeCells count="6">
    <mergeCell ref="A7:B7"/>
    <mergeCell ref="A18:B18"/>
    <mergeCell ref="A6:K6"/>
    <mergeCell ref="A5:K5"/>
    <mergeCell ref="A50:B51"/>
    <mergeCell ref="C50:E50"/>
  </mergeCells>
  <conditionalFormatting sqref="D38:D40">
    <cfRule type="dataBar" priority="1">
      <dataBar>
        <cfvo type="min"/>
        <cfvo type="num" val="100"/>
        <color rgb="FF638EC6"/>
      </dataBar>
      <extLst>
        <ext xmlns:x14="http://schemas.microsoft.com/office/spreadsheetml/2009/9/main" uri="{B025F937-C7B1-47D3-B67F-A62EFF666E3E}">
          <x14:id>{D914B9DC-299D-44FF-A203-01BF9B054035}</x14:id>
        </ext>
      </extLst>
    </cfRule>
    <cfRule type="dataBar" priority="2">
      <dataBar>
        <cfvo type="min"/>
        <cfvo type="max"/>
        <color rgb="FF638EC6"/>
      </dataBar>
      <extLst>
        <ext xmlns:x14="http://schemas.microsoft.com/office/spreadsheetml/2009/9/main" uri="{B025F937-C7B1-47D3-B67F-A62EFF666E3E}">
          <x14:id>{4E3A4DC6-A725-47CF-9D19-BB327F40E9AA}</x14:id>
        </ext>
      </extLst>
    </cfRule>
  </conditionalFormatting>
  <pageMargins left="0.70866141732283472" right="0.70866141732283472" top="0.74803149606299213" bottom="0.74803149606299213" header="0.31496062992125984" footer="0.31496062992125984"/>
  <pageSetup paperSize="9" scale="89" orientation="landscape" r:id="rId1"/>
  <ignoredErrors>
    <ignoredError sqref="B10"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Group Box 2">
              <controlPr defaultSize="0" autoFill="0" autoPict="0">
                <anchor moveWithCells="1">
                  <from>
                    <xdr:col>0</xdr:col>
                    <xdr:colOff>361950</xdr:colOff>
                    <xdr:row>1</xdr:row>
                    <xdr:rowOff>133350</xdr:rowOff>
                  </from>
                  <to>
                    <xdr:col>1</xdr:col>
                    <xdr:colOff>352425</xdr:colOff>
                    <xdr:row>4</xdr:row>
                    <xdr:rowOff>114300</xdr:rowOff>
                  </to>
                </anchor>
              </controlPr>
            </control>
          </mc:Choice>
        </mc:AlternateContent>
        <mc:AlternateContent xmlns:mc="http://schemas.openxmlformats.org/markup-compatibility/2006">
          <mc:Choice Requires="x14">
            <control shapeId="16387" r:id="rId5" name="Option Button 3">
              <controlPr defaultSize="0" autoFill="0" autoLine="0" autoPict="0">
                <anchor moveWithCells="1">
                  <from>
                    <xdr:col>0</xdr:col>
                    <xdr:colOff>504825</xdr:colOff>
                    <xdr:row>2</xdr:row>
                    <xdr:rowOff>133350</xdr:rowOff>
                  </from>
                  <to>
                    <xdr:col>0</xdr:col>
                    <xdr:colOff>1133475</xdr:colOff>
                    <xdr:row>4</xdr:row>
                    <xdr:rowOff>28575</xdr:rowOff>
                  </to>
                </anchor>
              </controlPr>
            </control>
          </mc:Choice>
        </mc:AlternateContent>
        <mc:AlternateContent xmlns:mc="http://schemas.openxmlformats.org/markup-compatibility/2006">
          <mc:Choice Requires="x14">
            <control shapeId="16388" r:id="rId6" name="Option Button 4">
              <controlPr defaultSize="0" autoFill="0" autoLine="0" autoPict="0">
                <anchor moveWithCells="1">
                  <from>
                    <xdr:col>0</xdr:col>
                    <xdr:colOff>1381125</xdr:colOff>
                    <xdr:row>2</xdr:row>
                    <xdr:rowOff>133350</xdr:rowOff>
                  </from>
                  <to>
                    <xdr:col>0</xdr:col>
                    <xdr:colOff>2066925</xdr:colOff>
                    <xdr:row>4</xdr:row>
                    <xdr:rowOff>28575</xdr:rowOff>
                  </to>
                </anchor>
              </controlPr>
            </control>
          </mc:Choice>
        </mc:AlternateContent>
        <mc:AlternateContent xmlns:mc="http://schemas.openxmlformats.org/markup-compatibility/2006">
          <mc:Choice Requires="x14">
            <control shapeId="16389" r:id="rId7" name="Group Box 5">
              <controlPr defaultSize="0" autoFill="0" autoPict="0">
                <anchor moveWithCells="1">
                  <from>
                    <xdr:col>3</xdr:col>
                    <xdr:colOff>228600</xdr:colOff>
                    <xdr:row>1</xdr:row>
                    <xdr:rowOff>133350</xdr:rowOff>
                  </from>
                  <to>
                    <xdr:col>5</xdr:col>
                    <xdr:colOff>0</xdr:colOff>
                    <xdr:row>4</xdr:row>
                    <xdr:rowOff>104775</xdr:rowOff>
                  </to>
                </anchor>
              </controlPr>
            </control>
          </mc:Choice>
        </mc:AlternateContent>
        <mc:AlternateContent xmlns:mc="http://schemas.openxmlformats.org/markup-compatibility/2006">
          <mc:Choice Requires="x14">
            <control shapeId="16390" r:id="rId8" name="Option Button 6">
              <controlPr defaultSize="0" autoFill="0" autoLine="0" autoPict="0">
                <anchor moveWithCells="1">
                  <from>
                    <xdr:col>3</xdr:col>
                    <xdr:colOff>400050</xdr:colOff>
                    <xdr:row>2</xdr:row>
                    <xdr:rowOff>142875</xdr:rowOff>
                  </from>
                  <to>
                    <xdr:col>3</xdr:col>
                    <xdr:colOff>1038225</xdr:colOff>
                    <xdr:row>4</xdr:row>
                    <xdr:rowOff>38100</xdr:rowOff>
                  </to>
                </anchor>
              </controlPr>
            </control>
          </mc:Choice>
        </mc:AlternateContent>
        <mc:AlternateContent xmlns:mc="http://schemas.openxmlformats.org/markup-compatibility/2006">
          <mc:Choice Requires="x14">
            <control shapeId="16391" r:id="rId9" name="Option Button 7">
              <controlPr defaultSize="0" autoFill="0" autoLine="0" autoPict="0">
                <anchor moveWithCells="1">
                  <from>
                    <xdr:col>3</xdr:col>
                    <xdr:colOff>1390650</xdr:colOff>
                    <xdr:row>2</xdr:row>
                    <xdr:rowOff>152400</xdr:rowOff>
                  </from>
                  <to>
                    <xdr:col>4</xdr:col>
                    <xdr:colOff>323850</xdr:colOff>
                    <xdr:row>4</xdr:row>
                    <xdr:rowOff>47625</xdr:rowOff>
                  </to>
                </anchor>
              </controlPr>
            </control>
          </mc:Choice>
        </mc:AlternateContent>
        <mc:AlternateContent xmlns:mc="http://schemas.openxmlformats.org/markup-compatibility/2006">
          <mc:Choice Requires="x14">
            <control shapeId="16392" r:id="rId10" name="Group Box 8">
              <controlPr defaultSize="0" autoFill="0" autoPict="0">
                <anchor moveWithCells="1">
                  <from>
                    <xdr:col>5</xdr:col>
                    <xdr:colOff>342900</xdr:colOff>
                    <xdr:row>1</xdr:row>
                    <xdr:rowOff>152400</xdr:rowOff>
                  </from>
                  <to>
                    <xdr:col>7</xdr:col>
                    <xdr:colOff>704850</xdr:colOff>
                    <xdr:row>4</xdr:row>
                    <xdr:rowOff>123825</xdr:rowOff>
                  </to>
                </anchor>
              </controlPr>
            </control>
          </mc:Choice>
        </mc:AlternateContent>
        <mc:AlternateContent xmlns:mc="http://schemas.openxmlformats.org/markup-compatibility/2006">
          <mc:Choice Requires="x14">
            <control shapeId="16393" r:id="rId11" name="Option Button 9">
              <controlPr defaultSize="0" autoFill="0" autoLine="0" autoPict="0">
                <anchor moveWithCells="1">
                  <from>
                    <xdr:col>5</xdr:col>
                    <xdr:colOff>552450</xdr:colOff>
                    <xdr:row>3</xdr:row>
                    <xdr:rowOff>0</xdr:rowOff>
                  </from>
                  <to>
                    <xdr:col>6</xdr:col>
                    <xdr:colOff>361950</xdr:colOff>
                    <xdr:row>4</xdr:row>
                    <xdr:rowOff>57150</xdr:rowOff>
                  </to>
                </anchor>
              </controlPr>
            </control>
          </mc:Choice>
        </mc:AlternateContent>
        <mc:AlternateContent xmlns:mc="http://schemas.openxmlformats.org/markup-compatibility/2006">
          <mc:Choice Requires="x14">
            <control shapeId="16394" r:id="rId12" name="Option Button 10">
              <controlPr defaultSize="0" autoFill="0" autoLine="0" autoPict="0">
                <anchor moveWithCells="1">
                  <from>
                    <xdr:col>6</xdr:col>
                    <xdr:colOff>638175</xdr:colOff>
                    <xdr:row>2</xdr:row>
                    <xdr:rowOff>152400</xdr:rowOff>
                  </from>
                  <to>
                    <xdr:col>7</xdr:col>
                    <xdr:colOff>485775</xdr:colOff>
                    <xdr:row>4</xdr:row>
                    <xdr:rowOff>47625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D914B9DC-299D-44FF-A203-01BF9B054035}">
            <x14:dataBar minLength="0" maxLength="100" gradient="0">
              <x14:cfvo type="autoMin"/>
              <x14:cfvo type="num">
                <xm:f>100</xm:f>
              </x14:cfvo>
              <x14:negativeFillColor rgb="FFFF0000"/>
              <x14:axisColor rgb="FF000000"/>
            </x14:dataBar>
          </x14:cfRule>
          <x14:cfRule type="dataBar" id="{4E3A4DC6-A725-47CF-9D19-BB327F40E9AA}">
            <x14:dataBar minLength="0" maxLength="100" border="1" negativeBarBorderColorSameAsPositive="0">
              <x14:cfvo type="autoMin"/>
              <x14:cfvo type="autoMax"/>
              <x14:borderColor rgb="FF638EC6"/>
              <x14:negativeFillColor rgb="FFFF0000"/>
              <x14:negativeBorderColor rgb="FFFF0000"/>
              <x14:axisColor rgb="FF000000"/>
            </x14:dataBar>
          </x14:cfRule>
          <xm:sqref>D38:D40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D3" sqref="D3"/>
    </sheetView>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3"/>
  <sheetViews>
    <sheetView showGridLines="0" workbookViewId="0">
      <selection activeCell="G10" sqref="G10:L10"/>
    </sheetView>
  </sheetViews>
  <sheetFormatPr defaultColWidth="22.140625" defaultRowHeight="20.100000000000001" customHeight="1"/>
  <cols>
    <col min="1" max="3" width="22.140625" style="79"/>
    <col min="4" max="4" width="8.85546875" style="79" customWidth="1"/>
    <col min="5" max="5" width="4" style="80" customWidth="1"/>
    <col min="6" max="6" width="11.42578125" style="280" customWidth="1"/>
    <col min="7" max="7" width="20.7109375" style="79" customWidth="1"/>
    <col min="8" max="8" width="11.28515625" style="80" customWidth="1"/>
    <col min="9" max="9" width="10.140625" style="80" customWidth="1"/>
    <col min="10" max="10" width="64.7109375" style="79" customWidth="1"/>
    <col min="11" max="11" width="12" style="80" customWidth="1"/>
    <col min="12" max="12" width="7" style="80" customWidth="1"/>
    <col min="13" max="13" width="8.140625" style="80" customWidth="1"/>
    <col min="14" max="14" width="23.28515625" style="79" customWidth="1"/>
    <col min="15" max="15" width="26.42578125" style="79" customWidth="1"/>
    <col min="16" max="16384" width="22.140625" style="79"/>
  </cols>
  <sheetData>
    <row r="1" spans="1:13" ht="6" customHeight="1" thickBot="1"/>
    <row r="2" spans="1:13" ht="20.100000000000001" customHeight="1" thickBot="1">
      <c r="A2" s="277" t="s">
        <v>129</v>
      </c>
      <c r="B2" s="278"/>
      <c r="C2" s="278"/>
      <c r="E2" s="81" t="s">
        <v>130</v>
      </c>
      <c r="F2" s="281"/>
      <c r="G2" s="82" t="s">
        <v>131</v>
      </c>
      <c r="H2" s="83" t="s">
        <v>132</v>
      </c>
      <c r="I2" s="83" t="s">
        <v>133</v>
      </c>
      <c r="J2" s="83" t="s">
        <v>134</v>
      </c>
      <c r="K2" s="83" t="s">
        <v>135</v>
      </c>
      <c r="L2" s="83" t="s">
        <v>59</v>
      </c>
      <c r="M2" s="83"/>
    </row>
    <row r="3" spans="1:13" ht="20.100000000000001" customHeight="1">
      <c r="A3" s="84" t="s">
        <v>136</v>
      </c>
      <c r="B3" s="84" t="s">
        <v>137</v>
      </c>
      <c r="C3" s="84" t="s">
        <v>138</v>
      </c>
      <c r="E3" s="85"/>
      <c r="F3" s="282"/>
      <c r="G3" s="275" t="s">
        <v>139</v>
      </c>
      <c r="H3" s="276"/>
      <c r="I3" s="276"/>
      <c r="J3" s="276"/>
      <c r="K3" s="293">
        <f>SUM(K4:K14)</f>
        <v>50</v>
      </c>
      <c r="L3" s="85">
        <f>SUM(L4:L14)</f>
        <v>46</v>
      </c>
      <c r="M3" s="86"/>
    </row>
    <row r="4" spans="1:13" ht="30" customHeight="1">
      <c r="A4" s="87" t="s">
        <v>140</v>
      </c>
      <c r="B4" s="292">
        <f>SUM(B5:B9)</f>
        <v>100</v>
      </c>
      <c r="C4" s="290">
        <f>SUM(C5:C9)</f>
        <v>85.5</v>
      </c>
      <c r="E4" s="97">
        <v>1</v>
      </c>
      <c r="F4" s="283" t="s">
        <v>411</v>
      </c>
      <c r="G4" s="263" t="s">
        <v>446</v>
      </c>
      <c r="H4" s="88" t="s">
        <v>145</v>
      </c>
      <c r="I4" s="90">
        <f>Revenue!C5</f>
        <v>0.19557384952762624</v>
      </c>
      <c r="J4" s="285" t="s">
        <v>151</v>
      </c>
      <c r="K4" s="289">
        <v>4</v>
      </c>
      <c r="L4" s="95">
        <f>Revenue!L5</f>
        <v>3</v>
      </c>
      <c r="M4" s="88"/>
    </row>
    <row r="5" spans="1:13" ht="30" customHeight="1">
      <c r="A5" s="87" t="s">
        <v>141</v>
      </c>
      <c r="B5" s="295">
        <f>Scorecard!K3</f>
        <v>50</v>
      </c>
      <c r="C5" s="290">
        <f>Scorecard!L3</f>
        <v>46</v>
      </c>
      <c r="E5" s="97">
        <v>2</v>
      </c>
      <c r="F5" s="383" t="s">
        <v>447</v>
      </c>
      <c r="G5" s="263" t="s">
        <v>149</v>
      </c>
      <c r="H5" s="88" t="s">
        <v>145</v>
      </c>
      <c r="I5" s="90">
        <f>Profit!F5</f>
        <v>0.31662729084920693</v>
      </c>
      <c r="J5" s="285" t="s">
        <v>314</v>
      </c>
      <c r="K5" s="289">
        <v>5</v>
      </c>
      <c r="L5" s="95">
        <f>Profit!L5</f>
        <v>5</v>
      </c>
      <c r="M5" s="88"/>
    </row>
    <row r="6" spans="1:13" ht="30" customHeight="1">
      <c r="A6" s="87" t="s">
        <v>143</v>
      </c>
      <c r="B6" s="291">
        <v>13</v>
      </c>
      <c r="C6" s="294">
        <f>Scorecard!L15</f>
        <v>12</v>
      </c>
      <c r="E6" s="97">
        <v>3</v>
      </c>
      <c r="F6" s="384"/>
      <c r="G6" s="263" t="s">
        <v>144</v>
      </c>
      <c r="H6" s="88" t="s">
        <v>145</v>
      </c>
      <c r="I6" s="90">
        <f>Profit!G5</f>
        <v>0.30436496837203419</v>
      </c>
      <c r="J6" s="285" t="s">
        <v>317</v>
      </c>
      <c r="K6" s="289">
        <v>9</v>
      </c>
      <c r="L6" s="95">
        <f>Profit!M5</f>
        <v>9</v>
      </c>
      <c r="M6" s="88"/>
    </row>
    <row r="7" spans="1:13" ht="30" customHeight="1">
      <c r="A7" s="87" t="s">
        <v>146</v>
      </c>
      <c r="B7" s="291">
        <v>23</v>
      </c>
      <c r="C7" s="294">
        <f>Scorecard!L20</f>
        <v>17.5</v>
      </c>
      <c r="E7" s="97">
        <v>4</v>
      </c>
      <c r="F7" s="385"/>
      <c r="G7" s="263" t="s">
        <v>152</v>
      </c>
      <c r="H7" s="88" t="s">
        <v>153</v>
      </c>
      <c r="I7" s="90">
        <f>Profit!C5</f>
        <v>7.4584406875375014E-2</v>
      </c>
      <c r="J7" s="285" t="s">
        <v>154</v>
      </c>
      <c r="K7" s="289">
        <v>4</v>
      </c>
      <c r="L7" s="95">
        <f>Profit!P5</f>
        <v>2</v>
      </c>
      <c r="M7" s="88"/>
    </row>
    <row r="8" spans="1:13" ht="30" customHeight="1">
      <c r="A8" s="87" t="s">
        <v>148</v>
      </c>
      <c r="B8" s="291">
        <v>10</v>
      </c>
      <c r="C8" s="294">
        <f>Scorecard!L27</f>
        <v>8</v>
      </c>
      <c r="E8" s="97"/>
      <c r="F8" s="288" t="s">
        <v>450</v>
      </c>
      <c r="G8" s="263" t="s">
        <v>142</v>
      </c>
      <c r="H8" s="88" t="s">
        <v>433</v>
      </c>
      <c r="I8" s="90">
        <f>Dupont!D4</f>
        <v>0.21207957500486693</v>
      </c>
      <c r="J8" s="285" t="s">
        <v>318</v>
      </c>
      <c r="K8" s="289">
        <f>10</f>
        <v>10</v>
      </c>
      <c r="L8" s="95">
        <f>Dupont!K4</f>
        <v>10</v>
      </c>
      <c r="M8" s="88"/>
    </row>
    <row r="9" spans="1:13" ht="30" customHeight="1">
      <c r="A9" s="87" t="s">
        <v>150</v>
      </c>
      <c r="B9" s="291">
        <v>4</v>
      </c>
      <c r="C9" s="294">
        <f>Scorecard!L32</f>
        <v>2</v>
      </c>
      <c r="E9" s="97">
        <v>5</v>
      </c>
      <c r="F9" s="383" t="s">
        <v>448</v>
      </c>
      <c r="G9" s="263" t="s">
        <v>159</v>
      </c>
      <c r="H9" s="88" t="s">
        <v>160</v>
      </c>
      <c r="I9" s="93">
        <f>Efficiency!C5</f>
        <v>0.90387222254965516</v>
      </c>
      <c r="J9" s="285" t="s">
        <v>315</v>
      </c>
      <c r="K9" s="289">
        <v>3</v>
      </c>
      <c r="L9" s="95">
        <f>Efficiency!K5</f>
        <v>3</v>
      </c>
      <c r="M9" s="88"/>
    </row>
    <row r="10" spans="1:13" ht="30" customHeight="1">
      <c r="E10" s="97">
        <v>6</v>
      </c>
      <c r="F10" s="384"/>
      <c r="G10" s="263" t="s">
        <v>155</v>
      </c>
      <c r="H10" s="88" t="s">
        <v>156</v>
      </c>
      <c r="I10" s="93">
        <f>Efficiency!E5</f>
        <v>1.2742170365821563</v>
      </c>
      <c r="J10" s="285" t="s">
        <v>157</v>
      </c>
      <c r="K10" s="289">
        <v>4</v>
      </c>
      <c r="L10" s="95">
        <f>Efficiency!M5</f>
        <v>4</v>
      </c>
      <c r="M10" s="88"/>
    </row>
    <row r="11" spans="1:13" ht="30" customHeight="1">
      <c r="E11" s="97">
        <v>7</v>
      </c>
      <c r="F11" s="384"/>
      <c r="G11" s="263" t="s">
        <v>162</v>
      </c>
      <c r="H11" s="88" t="s">
        <v>163</v>
      </c>
      <c r="I11" s="95">
        <f>Efficiency!F5</f>
        <v>154.25</v>
      </c>
      <c r="J11" s="285" t="s">
        <v>164</v>
      </c>
      <c r="K11" s="289">
        <v>1</v>
      </c>
      <c r="L11" s="95">
        <f>Efficiency!N5</f>
        <v>1</v>
      </c>
      <c r="M11" s="88"/>
    </row>
    <row r="12" spans="1:13" ht="30" customHeight="1">
      <c r="E12" s="97">
        <v>8</v>
      </c>
      <c r="F12" s="385"/>
      <c r="G12" s="263" t="s">
        <v>445</v>
      </c>
      <c r="H12" s="88" t="s">
        <v>161</v>
      </c>
      <c r="I12" s="94">
        <f>Efficiency!D5</f>
        <v>0.59875843799371242</v>
      </c>
      <c r="J12" s="287" t="s">
        <v>316</v>
      </c>
      <c r="K12" s="289">
        <v>1</v>
      </c>
      <c r="L12" s="95">
        <f>Efficiency!L5</f>
        <v>0</v>
      </c>
      <c r="M12" s="88"/>
    </row>
    <row r="13" spans="1:13" ht="30" customHeight="1">
      <c r="E13" s="97">
        <v>9</v>
      </c>
      <c r="F13" s="383" t="s">
        <v>449</v>
      </c>
      <c r="G13" s="263" t="s">
        <v>147</v>
      </c>
      <c r="H13" s="92">
        <v>0</v>
      </c>
      <c r="I13" s="90">
        <f>Others!E4</f>
        <v>0</v>
      </c>
      <c r="J13" s="286"/>
      <c r="K13" s="289">
        <v>6</v>
      </c>
      <c r="L13" s="95">
        <f>Others!L4</f>
        <v>6</v>
      </c>
      <c r="M13" s="88"/>
    </row>
    <row r="14" spans="1:13" ht="30" customHeight="1">
      <c r="E14" s="97">
        <v>10</v>
      </c>
      <c r="F14" s="385"/>
      <c r="G14" s="263" t="s">
        <v>158</v>
      </c>
      <c r="H14" s="88" t="s">
        <v>327</v>
      </c>
      <c r="I14" s="193">
        <f>Others!F4</f>
        <v>-7.4999999999999512E-3</v>
      </c>
      <c r="J14" s="285" t="s">
        <v>309</v>
      </c>
      <c r="K14" s="289">
        <v>3</v>
      </c>
      <c r="L14" s="95">
        <f>Others!M4</f>
        <v>3</v>
      </c>
      <c r="M14" s="88"/>
    </row>
    <row r="15" spans="1:13" ht="20.100000000000001" customHeight="1">
      <c r="E15" s="275" t="s">
        <v>165</v>
      </c>
      <c r="F15" s="284"/>
      <c r="G15" s="276"/>
      <c r="H15" s="276"/>
      <c r="I15" s="276"/>
      <c r="J15" s="276"/>
      <c r="K15" s="96">
        <f>SUM(K16:K19)</f>
        <v>0.13</v>
      </c>
      <c r="L15" s="97">
        <f>SUM(L16:L19)</f>
        <v>12</v>
      </c>
      <c r="M15" s="86"/>
    </row>
    <row r="16" spans="1:13" ht="20.100000000000001" customHeight="1">
      <c r="E16" s="88">
        <v>1</v>
      </c>
      <c r="F16" s="91"/>
      <c r="G16" s="89" t="s">
        <v>166</v>
      </c>
      <c r="H16" s="88" t="s">
        <v>167</v>
      </c>
      <c r="I16" s="88"/>
      <c r="J16" s="89" t="s">
        <v>168</v>
      </c>
      <c r="K16" s="92">
        <v>0.05</v>
      </c>
      <c r="L16" s="88">
        <f>'Annual Report input'!D14</f>
        <v>4</v>
      </c>
      <c r="M16" s="88"/>
    </row>
    <row r="17" spans="5:13" ht="20.100000000000001" customHeight="1">
      <c r="E17" s="88">
        <v>2</v>
      </c>
      <c r="F17" s="91"/>
      <c r="G17" s="89" t="s">
        <v>169</v>
      </c>
      <c r="H17" s="88" t="s">
        <v>170</v>
      </c>
      <c r="I17" s="88"/>
      <c r="J17" s="89" t="s">
        <v>171</v>
      </c>
      <c r="K17" s="92">
        <v>0.02</v>
      </c>
      <c r="L17" s="88">
        <f>'Annual Report input'!D15</f>
        <v>2</v>
      </c>
      <c r="M17" s="88"/>
    </row>
    <row r="18" spans="5:13" ht="20.100000000000001" customHeight="1">
      <c r="E18" s="88">
        <v>3</v>
      </c>
      <c r="F18" s="91"/>
      <c r="G18" s="89" t="s">
        <v>172</v>
      </c>
      <c r="H18" s="88" t="s">
        <v>173</v>
      </c>
      <c r="I18" s="98">
        <f>Analysis!H13/Analysis!E13</f>
        <v>1.9289614921573144</v>
      </c>
      <c r="J18" s="91" t="s">
        <v>174</v>
      </c>
      <c r="K18" s="92">
        <v>0.02</v>
      </c>
      <c r="L18" s="88">
        <f>'Annual Report input'!D16</f>
        <v>2</v>
      </c>
      <c r="M18" s="88"/>
    </row>
    <row r="19" spans="5:13" ht="20.100000000000001" customHeight="1">
      <c r="E19" s="88">
        <v>5</v>
      </c>
      <c r="F19" s="91"/>
      <c r="G19" s="89" t="s">
        <v>175</v>
      </c>
      <c r="H19" s="88" t="s">
        <v>176</v>
      </c>
      <c r="I19" s="88"/>
      <c r="J19" s="89" t="s">
        <v>177</v>
      </c>
      <c r="K19" s="92">
        <v>0.04</v>
      </c>
      <c r="L19" s="88">
        <f>'Annual Report input'!D17</f>
        <v>4</v>
      </c>
      <c r="M19" s="88"/>
    </row>
    <row r="20" spans="5:13" ht="20.100000000000001" customHeight="1">
      <c r="E20" s="275" t="s">
        <v>178</v>
      </c>
      <c r="F20" s="284"/>
      <c r="G20" s="276"/>
      <c r="H20" s="276"/>
      <c r="I20" s="276"/>
      <c r="J20" s="276"/>
      <c r="K20" s="96">
        <f>SUM(K21:K26)</f>
        <v>0.23</v>
      </c>
      <c r="L20" s="97">
        <f>SUM(L21:L26)</f>
        <v>17.5</v>
      </c>
      <c r="M20" s="99"/>
    </row>
    <row r="21" spans="5:13" ht="20.100000000000001" customHeight="1">
      <c r="E21" s="88">
        <v>1</v>
      </c>
      <c r="F21" s="91"/>
      <c r="G21" s="89" t="s">
        <v>179</v>
      </c>
      <c r="H21" s="88" t="s">
        <v>180</v>
      </c>
      <c r="I21" s="88"/>
      <c r="J21" s="89" t="s">
        <v>181</v>
      </c>
      <c r="K21" s="92">
        <v>0.08</v>
      </c>
      <c r="L21" s="88">
        <f>'Annual Report input'!D19</f>
        <v>4</v>
      </c>
      <c r="M21" s="88"/>
    </row>
    <row r="22" spans="5:13" ht="20.100000000000001" customHeight="1">
      <c r="E22" s="88">
        <v>2</v>
      </c>
      <c r="F22" s="91"/>
      <c r="G22" s="89" t="s">
        <v>182</v>
      </c>
      <c r="H22" s="88" t="s">
        <v>183</v>
      </c>
      <c r="I22" s="88"/>
      <c r="J22" s="89" t="s">
        <v>184</v>
      </c>
      <c r="K22" s="92">
        <v>0.02</v>
      </c>
      <c r="L22" s="88">
        <f>'Annual Report input'!D20</f>
        <v>2</v>
      </c>
      <c r="M22" s="88"/>
    </row>
    <row r="23" spans="5:13" ht="20.100000000000001" customHeight="1">
      <c r="E23" s="88">
        <v>3</v>
      </c>
      <c r="F23" s="91"/>
      <c r="G23" s="89" t="s">
        <v>185</v>
      </c>
      <c r="H23" s="88" t="s">
        <v>186</v>
      </c>
      <c r="I23" s="88"/>
      <c r="J23" s="89" t="s">
        <v>187</v>
      </c>
      <c r="K23" s="92">
        <v>0.04</v>
      </c>
      <c r="L23" s="88">
        <f>'Annual Report input'!D21</f>
        <v>4</v>
      </c>
      <c r="M23" s="88"/>
    </row>
    <row r="24" spans="5:13" ht="20.100000000000001" customHeight="1">
      <c r="E24" s="88">
        <v>4</v>
      </c>
      <c r="F24" s="91"/>
      <c r="G24" s="89" t="s">
        <v>188</v>
      </c>
      <c r="H24" s="88" t="s">
        <v>189</v>
      </c>
      <c r="I24" s="88"/>
      <c r="J24" s="91" t="s">
        <v>190</v>
      </c>
      <c r="K24" s="92">
        <v>0.02</v>
      </c>
      <c r="L24" s="88">
        <f>'Annual Report input'!D22</f>
        <v>1</v>
      </c>
      <c r="M24" s="99"/>
    </row>
    <row r="25" spans="5:13" ht="20.100000000000001" customHeight="1">
      <c r="E25" s="88">
        <v>6</v>
      </c>
      <c r="F25" s="91"/>
      <c r="G25" s="89" t="s">
        <v>191</v>
      </c>
      <c r="H25" s="88" t="s">
        <v>192</v>
      </c>
      <c r="I25" s="90">
        <f>SUM('Shareholding input'!C6:C7)</f>
        <v>0.74250000000000005</v>
      </c>
      <c r="J25" s="91" t="s">
        <v>193</v>
      </c>
      <c r="K25" s="92">
        <v>0.04</v>
      </c>
      <c r="L25" s="88">
        <f>IF(I25&gt;0.7,4,IF(AND(I25&gt;0.4,I25&lt;0.7),3,IF(AND(I25&gt;0.2,I25&lt;0.4),2,IF(AND(I25&gt;0.1,I25&lt;0.2),1,0))))</f>
        <v>4</v>
      </c>
      <c r="M25" s="88"/>
    </row>
    <row r="26" spans="5:13" ht="20.100000000000001" customHeight="1">
      <c r="E26" s="88">
        <v>8</v>
      </c>
      <c r="F26" s="91"/>
      <c r="G26" s="89" t="s">
        <v>194</v>
      </c>
      <c r="H26" s="88" t="s">
        <v>477</v>
      </c>
      <c r="I26" s="90">
        <f>SUM('Shareholding input'!C8:C8)</f>
        <v>4.36E-2</v>
      </c>
      <c r="J26" s="91" t="s">
        <v>195</v>
      </c>
      <c r="K26" s="92">
        <v>0.03</v>
      </c>
      <c r="L26" s="88">
        <f>IF(I26&gt;0.05,3,IF(AND(I26&gt;0.02,I26&lt;0.05),2.5,IF(AND(I26&gt;0.01,I26&lt;0.02),2,IF(AND(I26&gt;0,I26&lt;0.01),1,0))))</f>
        <v>2.5</v>
      </c>
      <c r="M26" s="88"/>
    </row>
    <row r="27" spans="5:13" ht="20.100000000000001" customHeight="1">
      <c r="E27" s="275" t="s">
        <v>196</v>
      </c>
      <c r="F27" s="284"/>
      <c r="G27" s="276"/>
      <c r="H27" s="276"/>
      <c r="I27" s="276"/>
      <c r="J27" s="276"/>
      <c r="K27" s="96">
        <f>SUM(K28:K31)</f>
        <v>0.1</v>
      </c>
      <c r="L27" s="97">
        <f>SUM(L28:L31)</f>
        <v>8</v>
      </c>
      <c r="M27" s="99"/>
    </row>
    <row r="28" spans="5:13" ht="20.100000000000001" customHeight="1">
      <c r="E28" s="88">
        <v>1</v>
      </c>
      <c r="F28" s="91"/>
      <c r="G28" s="89" t="s">
        <v>197</v>
      </c>
      <c r="H28" s="88" t="s">
        <v>198</v>
      </c>
      <c r="I28" s="88"/>
      <c r="J28" s="91" t="s">
        <v>199</v>
      </c>
      <c r="K28" s="92">
        <v>0.03</v>
      </c>
      <c r="L28" s="88">
        <f>'Annual Report input'!D26</f>
        <v>3</v>
      </c>
      <c r="M28" s="88"/>
    </row>
    <row r="29" spans="5:13" ht="20.100000000000001" customHeight="1">
      <c r="E29" s="88">
        <v>2</v>
      </c>
      <c r="F29" s="91"/>
      <c r="G29" s="89" t="s">
        <v>200</v>
      </c>
      <c r="H29" s="88" t="s">
        <v>201</v>
      </c>
      <c r="I29" s="88"/>
      <c r="J29" s="91" t="s">
        <v>202</v>
      </c>
      <c r="K29" s="92">
        <v>0.02</v>
      </c>
      <c r="L29" s="88">
        <f>'Annual Report input'!D27</f>
        <v>1</v>
      </c>
      <c r="M29" s="88"/>
    </row>
    <row r="30" spans="5:13" ht="20.100000000000001" customHeight="1">
      <c r="E30" s="88">
        <v>3</v>
      </c>
      <c r="F30" s="91"/>
      <c r="G30" s="89" t="s">
        <v>203</v>
      </c>
      <c r="H30" s="88"/>
      <c r="I30" s="88"/>
      <c r="J30" s="91"/>
      <c r="K30" s="92">
        <v>0.02</v>
      </c>
      <c r="L30" s="88">
        <f>'Annual Report input'!D28</f>
        <v>2</v>
      </c>
      <c r="M30" s="88"/>
    </row>
    <row r="31" spans="5:13" ht="20.100000000000001" customHeight="1">
      <c r="E31" s="88">
        <v>3</v>
      </c>
      <c r="F31" s="91"/>
      <c r="G31" s="89" t="s">
        <v>311</v>
      </c>
      <c r="H31" s="88"/>
      <c r="I31" s="88"/>
      <c r="J31" s="89" t="s">
        <v>312</v>
      </c>
      <c r="K31" s="92">
        <v>0.03</v>
      </c>
      <c r="L31" s="88">
        <f>'Annual Report input'!D29</f>
        <v>2</v>
      </c>
      <c r="M31" s="88"/>
    </row>
    <row r="32" spans="5:13" ht="20.100000000000001" customHeight="1">
      <c r="E32" s="275" t="s">
        <v>150</v>
      </c>
      <c r="F32" s="284"/>
      <c r="G32" s="276"/>
      <c r="H32" s="276"/>
      <c r="I32" s="276"/>
      <c r="J32" s="276"/>
      <c r="K32" s="96">
        <f>SUM(K33:K33)</f>
        <v>0.04</v>
      </c>
      <c r="L32" s="97">
        <f>SUM(L33:L33)</f>
        <v>2</v>
      </c>
      <c r="M32" s="99"/>
    </row>
    <row r="33" spans="5:13" ht="20.100000000000001" customHeight="1">
      <c r="E33" s="88">
        <v>4</v>
      </c>
      <c r="F33" s="91"/>
      <c r="G33" s="89" t="s">
        <v>204</v>
      </c>
      <c r="H33" s="88" t="s">
        <v>205</v>
      </c>
      <c r="I33" s="175">
        <f>Analysis!M8</f>
        <v>0.2620070500110156</v>
      </c>
      <c r="J33" s="91" t="s">
        <v>313</v>
      </c>
      <c r="K33" s="92">
        <v>0.04</v>
      </c>
      <c r="L33" s="88">
        <f>'Annual Report input'!D31</f>
        <v>2</v>
      </c>
      <c r="M33" s="88"/>
    </row>
  </sheetData>
  <mergeCells count="3">
    <mergeCell ref="F5:F7"/>
    <mergeCell ref="F9:F12"/>
    <mergeCell ref="F13:F14"/>
  </mergeCells>
  <pageMargins left="0.7" right="0.7" top="0.75" bottom="0.75" header="0.3" footer="0.3"/>
  <pageSetup orientation="portrait" r:id="rId1"/>
  <ignoredErrors>
    <ignoredError sqref="I25:I26" formulaRange="1"/>
    <ignoredError sqref="C4"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V61"/>
  <sheetViews>
    <sheetView showGridLines="0" tabSelected="1" topLeftCell="A22" workbookViewId="0">
      <selection activeCell="D5" sqref="D5"/>
    </sheetView>
  </sheetViews>
  <sheetFormatPr defaultRowHeight="15" customHeight="1"/>
  <cols>
    <col min="1" max="1" width="5.7109375" customWidth="1"/>
    <col min="2" max="2" width="10.42578125" bestFit="1" customWidth="1"/>
    <col min="5" max="5" width="12.28515625" customWidth="1"/>
    <col min="10" max="10" width="7.28515625" customWidth="1"/>
    <col min="11" max="11" width="13" customWidth="1"/>
  </cols>
  <sheetData>
    <row r="3" spans="2:22" ht="15" customHeight="1">
      <c r="B3" s="298" t="s">
        <v>411</v>
      </c>
      <c r="C3" s="101" t="s">
        <v>230</v>
      </c>
      <c r="D3" s="101" t="s">
        <v>231</v>
      </c>
      <c r="E3" s="101" t="s">
        <v>406</v>
      </c>
      <c r="F3" s="101" t="s">
        <v>457</v>
      </c>
      <c r="G3" s="101" t="s">
        <v>414</v>
      </c>
      <c r="K3" s="298" t="s">
        <v>411</v>
      </c>
      <c r="L3" s="101" t="s">
        <v>230</v>
      </c>
      <c r="O3" s="388" t="s">
        <v>438</v>
      </c>
      <c r="P3" s="388"/>
      <c r="Q3" s="388"/>
      <c r="R3" s="388"/>
      <c r="S3" s="388"/>
      <c r="T3" s="388"/>
    </row>
    <row r="4" spans="2:22" ht="15" customHeight="1">
      <c r="B4" s="254" t="s">
        <v>409</v>
      </c>
      <c r="C4" s="299">
        <v>0.2</v>
      </c>
      <c r="D4" s="299"/>
      <c r="E4" s="299"/>
      <c r="F4" s="299"/>
      <c r="G4" s="299"/>
      <c r="K4" s="254" t="s">
        <v>412</v>
      </c>
      <c r="L4" s="297">
        <v>4</v>
      </c>
      <c r="O4" s="388" t="s">
        <v>456</v>
      </c>
      <c r="P4" s="388"/>
      <c r="Q4" s="388"/>
      <c r="R4" s="388"/>
      <c r="S4" s="388"/>
      <c r="T4" s="388"/>
    </row>
    <row r="5" spans="2:22" ht="15" customHeight="1">
      <c r="B5" s="254" t="s">
        <v>410</v>
      </c>
      <c r="C5" s="299">
        <f>POWER('Screener Output.v0'!M25/'Screener Output.v0'!C25,1/9)-1</f>
        <v>0.19557384952762624</v>
      </c>
      <c r="D5" s="299">
        <f>POWER('Screener Output.v0'!M25/'Screener Output.v0'!G25,1/5)-1</f>
        <v>0.15817148927251967</v>
      </c>
      <c r="E5" s="299">
        <f>POWER('Screener Output.v0'!M25/'Screener Output.v0'!N25,1)-1</f>
        <v>0.18954233170198664</v>
      </c>
      <c r="F5" s="299">
        <f>'Screener Output.v0'!L191</f>
        <v>0.17609360787232275</v>
      </c>
      <c r="G5" s="299">
        <f>'Screener Output.v0'!L142</f>
        <v>0.13552777769869867</v>
      </c>
      <c r="K5" s="254" t="s">
        <v>413</v>
      </c>
      <c r="L5" s="296">
        <f>IF(C5&gt;0.2,4,IF(AND(C5&gt;0.1,C5&lt;0.2),3,IF(AND(C5&gt;0.05,C5&lt;0.1),2,IF(AND(C5&gt;0,C5&lt;0.05),1,0))))</f>
        <v>3</v>
      </c>
      <c r="O5" s="388"/>
      <c r="P5" s="388"/>
      <c r="Q5" s="388"/>
      <c r="R5" s="388"/>
      <c r="S5" s="388"/>
      <c r="T5" s="388"/>
    </row>
    <row r="6" spans="2:22" ht="15" customHeight="1">
      <c r="E6" s="255"/>
      <c r="O6" s="388"/>
      <c r="P6" s="388"/>
      <c r="Q6" s="388"/>
      <c r="R6" s="388"/>
      <c r="S6" s="388"/>
      <c r="T6" s="388"/>
    </row>
    <row r="10" spans="2:22" ht="15" customHeight="1">
      <c r="B10" s="387" t="s">
        <v>402</v>
      </c>
      <c r="C10" s="387"/>
      <c r="D10" s="387"/>
      <c r="E10" s="387"/>
      <c r="F10" s="387"/>
      <c r="G10" s="387"/>
      <c r="H10" s="387"/>
      <c r="I10" s="387"/>
      <c r="K10" s="386" t="s">
        <v>403</v>
      </c>
      <c r="L10" s="386"/>
      <c r="M10" s="386"/>
      <c r="N10" s="386"/>
      <c r="O10" s="386"/>
      <c r="P10" s="386"/>
      <c r="Q10" s="386"/>
      <c r="R10" s="386"/>
      <c r="S10" s="386"/>
      <c r="T10" s="386"/>
      <c r="U10" s="252"/>
      <c r="V10" s="301"/>
    </row>
    <row r="11" spans="2:22" ht="15" customHeight="1">
      <c r="B11" s="77"/>
      <c r="C11" s="77"/>
      <c r="K11" s="2"/>
      <c r="L11" s="2"/>
      <c r="M11" s="2"/>
      <c r="N11" s="2"/>
      <c r="O11" s="2"/>
      <c r="P11" s="2"/>
      <c r="Q11" s="2"/>
      <c r="R11" s="2"/>
      <c r="S11" s="2"/>
      <c r="T11" s="2"/>
      <c r="U11" s="2"/>
      <c r="V11" s="2"/>
    </row>
    <row r="12" spans="2:22" ht="15" customHeight="1">
      <c r="B12" s="77"/>
      <c r="C12" s="77"/>
      <c r="K12" s="2"/>
      <c r="L12" s="2"/>
      <c r="M12" s="2"/>
      <c r="N12" s="2"/>
      <c r="O12" s="2"/>
      <c r="P12" s="2"/>
      <c r="Q12" s="2"/>
      <c r="R12" s="2"/>
      <c r="S12" s="2"/>
      <c r="T12" s="2"/>
      <c r="U12" s="2"/>
      <c r="V12" s="2"/>
    </row>
    <row r="13" spans="2:22" ht="15" customHeight="1">
      <c r="B13" s="77"/>
      <c r="C13" s="77"/>
      <c r="K13" s="2"/>
      <c r="L13" s="2"/>
      <c r="M13" s="2"/>
      <c r="N13" s="2"/>
      <c r="O13" s="2"/>
      <c r="P13" s="2"/>
      <c r="Q13" s="2"/>
      <c r="R13" s="2"/>
      <c r="S13" s="2"/>
      <c r="T13" s="2"/>
      <c r="U13" s="2"/>
      <c r="V13" s="2"/>
    </row>
    <row r="14" spans="2:22" ht="15" customHeight="1">
      <c r="B14" s="77"/>
      <c r="C14" s="77"/>
      <c r="K14" s="2"/>
      <c r="L14" s="2"/>
      <c r="M14" s="2"/>
      <c r="N14" s="2"/>
      <c r="O14" s="2"/>
      <c r="P14" s="2"/>
      <c r="Q14" s="2"/>
      <c r="R14" s="2"/>
      <c r="S14" s="2"/>
      <c r="T14" s="2"/>
      <c r="U14" s="2"/>
      <c r="V14" s="2"/>
    </row>
    <row r="15" spans="2:22" ht="15" customHeight="1">
      <c r="B15" s="247"/>
      <c r="C15" s="247"/>
      <c r="K15" s="2"/>
      <c r="L15" s="2"/>
      <c r="M15" s="2"/>
      <c r="N15" s="2"/>
      <c r="O15" s="2"/>
      <c r="P15" s="2"/>
      <c r="Q15" s="2"/>
      <c r="R15" s="2"/>
      <c r="S15" s="2"/>
      <c r="T15" s="2"/>
      <c r="U15" s="2"/>
      <c r="V15" s="2"/>
    </row>
    <row r="16" spans="2:22" ht="15" customHeight="1">
      <c r="B16" s="247"/>
      <c r="C16" s="247"/>
      <c r="K16" s="2"/>
      <c r="L16" s="2"/>
      <c r="M16" s="2"/>
      <c r="N16" s="2"/>
      <c r="O16" s="2"/>
      <c r="P16" s="2"/>
      <c r="Q16" s="2"/>
      <c r="R16" s="2"/>
      <c r="S16" s="2"/>
      <c r="T16" s="2"/>
      <c r="U16" s="2"/>
      <c r="V16" s="2"/>
    </row>
    <row r="17" spans="2:22" ht="15" customHeight="1">
      <c r="B17" s="247"/>
      <c r="C17" s="247"/>
      <c r="K17" s="2"/>
      <c r="L17" s="2"/>
      <c r="M17" s="2"/>
      <c r="N17" s="2"/>
      <c r="O17" s="2"/>
      <c r="P17" s="2"/>
      <c r="Q17" s="2"/>
      <c r="R17" s="2"/>
      <c r="S17" s="2"/>
      <c r="T17" s="2"/>
      <c r="U17" s="2"/>
      <c r="V17" s="2"/>
    </row>
    <row r="18" spans="2:22" ht="15" customHeight="1">
      <c r="B18" s="77"/>
      <c r="C18" s="77"/>
      <c r="K18" s="2"/>
      <c r="L18" s="2"/>
      <c r="M18" s="2"/>
      <c r="N18" s="2"/>
      <c r="O18" s="2"/>
      <c r="P18" s="2"/>
      <c r="Q18" s="2"/>
      <c r="R18" s="2"/>
      <c r="S18" s="2"/>
      <c r="T18" s="2"/>
      <c r="U18" s="2"/>
      <c r="V18" s="2"/>
    </row>
    <row r="19" spans="2:22" ht="15" customHeight="1">
      <c r="B19" s="77"/>
      <c r="C19" s="77"/>
      <c r="K19" s="2"/>
      <c r="L19" s="2"/>
      <c r="M19" s="2"/>
      <c r="N19" s="2"/>
      <c r="O19" s="2"/>
      <c r="P19" s="2"/>
      <c r="Q19" s="2"/>
      <c r="R19" s="2"/>
      <c r="S19" s="2"/>
      <c r="T19" s="2"/>
      <c r="U19" s="2"/>
      <c r="V19" s="2"/>
    </row>
    <row r="20" spans="2:22" ht="15" customHeight="1">
      <c r="B20" s="77"/>
      <c r="C20" s="77"/>
      <c r="K20" s="2"/>
      <c r="L20" s="2"/>
      <c r="M20" s="2"/>
      <c r="N20" s="2"/>
      <c r="O20" s="2"/>
      <c r="P20" s="2"/>
      <c r="Q20" s="2"/>
      <c r="R20" s="2"/>
      <c r="S20" s="2"/>
      <c r="T20" s="2"/>
      <c r="U20" s="2"/>
      <c r="V20" s="2"/>
    </row>
    <row r="21" spans="2:22" ht="15" customHeight="1">
      <c r="B21" s="77"/>
      <c r="C21" s="77"/>
      <c r="K21" s="2"/>
      <c r="L21" s="2"/>
      <c r="M21" s="2"/>
      <c r="N21" s="2"/>
      <c r="O21" s="2"/>
      <c r="P21" s="2"/>
      <c r="Q21" s="2"/>
      <c r="R21" s="2"/>
      <c r="S21" s="2"/>
      <c r="T21" s="2"/>
      <c r="U21" s="2"/>
      <c r="V21" s="2"/>
    </row>
    <row r="22" spans="2:22" ht="15" customHeight="1">
      <c r="B22" s="77"/>
      <c r="C22" s="77"/>
      <c r="K22" s="2"/>
      <c r="L22" s="2"/>
      <c r="M22" s="2"/>
      <c r="N22" s="2"/>
      <c r="O22" s="2"/>
      <c r="P22" s="2"/>
      <c r="Q22" s="2"/>
      <c r="R22" s="2"/>
      <c r="S22" s="2"/>
      <c r="T22" s="2"/>
      <c r="U22" s="2"/>
      <c r="V22" s="2"/>
    </row>
    <row r="23" spans="2:22" ht="15" customHeight="1">
      <c r="B23" s="77"/>
      <c r="C23" s="77"/>
      <c r="K23" s="2"/>
      <c r="L23" s="2"/>
      <c r="M23" s="2"/>
      <c r="N23" s="2"/>
      <c r="O23" s="2"/>
      <c r="P23" s="2"/>
      <c r="Q23" s="2"/>
      <c r="R23" s="2"/>
      <c r="S23" s="2"/>
      <c r="T23" s="2"/>
      <c r="U23" s="2"/>
      <c r="V23" s="2"/>
    </row>
    <row r="24" spans="2:22" ht="15" customHeight="1">
      <c r="B24" s="77"/>
      <c r="C24" s="77"/>
      <c r="K24" s="2"/>
      <c r="L24" s="2"/>
      <c r="M24" s="2"/>
      <c r="N24" s="2"/>
      <c r="O24" s="2"/>
      <c r="P24" s="2"/>
      <c r="Q24" s="2"/>
      <c r="R24" s="2"/>
      <c r="S24" s="2"/>
      <c r="T24" s="2"/>
      <c r="U24" s="2"/>
      <c r="V24" s="2"/>
    </row>
    <row r="25" spans="2:22" ht="15" customHeight="1">
      <c r="B25" s="77"/>
      <c r="C25" s="77"/>
      <c r="K25" s="2"/>
      <c r="L25" s="2"/>
      <c r="M25" s="2"/>
      <c r="N25" s="2"/>
      <c r="O25" s="2"/>
      <c r="P25" s="2"/>
      <c r="Q25" s="2"/>
      <c r="R25" s="2"/>
      <c r="S25" s="2"/>
      <c r="T25" s="2"/>
      <c r="U25" s="2"/>
      <c r="V25" s="2"/>
    </row>
    <row r="28" spans="2:22" ht="15" customHeight="1">
      <c r="B28" s="386" t="s">
        <v>405</v>
      </c>
      <c r="C28" s="386"/>
      <c r="D28" s="386"/>
      <c r="E28" s="386"/>
      <c r="F28" s="386"/>
      <c r="G28" s="386"/>
      <c r="H28" s="386"/>
      <c r="I28" s="386"/>
      <c r="K28" s="386" t="s">
        <v>404</v>
      </c>
      <c r="L28" s="386"/>
      <c r="M28" s="386"/>
      <c r="N28" s="386"/>
      <c r="O28" s="386"/>
      <c r="P28" s="386"/>
      <c r="Q28" s="386"/>
      <c r="R28" s="386"/>
      <c r="S28" s="386"/>
      <c r="T28" s="386"/>
      <c r="U28" s="252"/>
      <c r="V28" s="301"/>
    </row>
    <row r="29" spans="2:22" ht="15" customHeight="1">
      <c r="B29" s="248"/>
      <c r="C29" s="248"/>
      <c r="K29" s="2"/>
      <c r="L29" s="2"/>
      <c r="M29" s="2"/>
      <c r="N29" s="2"/>
      <c r="O29" s="2"/>
      <c r="P29" s="2"/>
      <c r="Q29" s="2"/>
      <c r="R29" s="2"/>
      <c r="S29" s="2"/>
      <c r="T29" s="2"/>
      <c r="U29" s="2"/>
      <c r="V29" s="2"/>
    </row>
    <row r="30" spans="2:22" ht="15" customHeight="1">
      <c r="B30" s="248"/>
      <c r="C30" s="248"/>
      <c r="K30" s="2"/>
      <c r="L30" s="2"/>
      <c r="M30" s="2"/>
      <c r="N30" s="2"/>
      <c r="O30" s="2"/>
      <c r="P30" s="2"/>
      <c r="Q30" s="2"/>
      <c r="R30" s="2"/>
      <c r="S30" s="2"/>
      <c r="T30" s="2"/>
      <c r="U30" s="2"/>
      <c r="V30" s="2"/>
    </row>
    <row r="31" spans="2:22" ht="15" customHeight="1">
      <c r="B31" s="248"/>
      <c r="C31" s="248"/>
      <c r="K31" s="2"/>
      <c r="L31" s="2"/>
      <c r="M31" s="2"/>
      <c r="N31" s="2"/>
      <c r="O31" s="2"/>
      <c r="P31" s="2"/>
      <c r="Q31" s="2"/>
      <c r="R31" s="2"/>
      <c r="S31" s="2"/>
      <c r="T31" s="2"/>
      <c r="U31" s="2"/>
      <c r="V31" s="2"/>
    </row>
    <row r="32" spans="2:22" ht="15" customHeight="1">
      <c r="B32" s="77"/>
      <c r="C32" s="77"/>
      <c r="K32" s="2"/>
      <c r="L32" s="2"/>
      <c r="M32" s="2"/>
      <c r="N32" s="2"/>
      <c r="O32" s="2"/>
      <c r="P32" s="2"/>
      <c r="Q32" s="2"/>
      <c r="R32" s="2"/>
      <c r="S32" s="2"/>
      <c r="T32" s="2"/>
      <c r="U32" s="2"/>
      <c r="V32" s="2"/>
    </row>
    <row r="33" spans="2:22" ht="15" customHeight="1">
      <c r="B33" s="217"/>
      <c r="C33" s="217"/>
      <c r="K33" s="2"/>
      <c r="L33" s="2"/>
      <c r="M33" s="2"/>
      <c r="N33" s="2"/>
      <c r="O33" s="2"/>
      <c r="P33" s="2"/>
      <c r="Q33" s="2"/>
      <c r="R33" s="2"/>
      <c r="S33" s="2"/>
      <c r="T33" s="2"/>
      <c r="U33" s="2"/>
      <c r="V33" s="2"/>
    </row>
    <row r="34" spans="2:22" ht="15" customHeight="1">
      <c r="B34" s="217"/>
      <c r="C34" s="217"/>
      <c r="K34" s="2"/>
      <c r="L34" s="2"/>
      <c r="M34" s="2"/>
      <c r="N34" s="2"/>
      <c r="O34" s="2"/>
      <c r="P34" s="2"/>
      <c r="Q34" s="2"/>
      <c r="R34" s="2"/>
      <c r="S34" s="2"/>
      <c r="T34" s="2"/>
      <c r="U34" s="2"/>
      <c r="V34" s="2"/>
    </row>
    <row r="35" spans="2:22" ht="15" customHeight="1">
      <c r="B35" s="217"/>
      <c r="C35" s="217"/>
      <c r="K35" s="2"/>
      <c r="L35" s="2"/>
      <c r="M35" s="2"/>
      <c r="N35" s="2"/>
      <c r="O35" s="2"/>
      <c r="P35" s="2"/>
      <c r="Q35" s="2"/>
      <c r="R35" s="2"/>
      <c r="S35" s="2"/>
      <c r="T35" s="2"/>
      <c r="U35" s="2"/>
      <c r="V35" s="2"/>
    </row>
    <row r="36" spans="2:22" ht="15" customHeight="1">
      <c r="B36" s="217"/>
      <c r="C36" s="217"/>
      <c r="K36" s="2"/>
      <c r="L36" s="2"/>
      <c r="M36" s="2"/>
      <c r="N36" s="2"/>
      <c r="O36" s="2"/>
      <c r="P36" s="2"/>
      <c r="Q36" s="2"/>
      <c r="R36" s="2"/>
      <c r="S36" s="2"/>
      <c r="T36" s="2"/>
      <c r="U36" s="2"/>
      <c r="V36" s="2"/>
    </row>
    <row r="37" spans="2:22" ht="15" customHeight="1">
      <c r="B37" s="217"/>
      <c r="C37" s="217"/>
      <c r="K37" s="2"/>
      <c r="L37" s="2"/>
      <c r="M37" s="2"/>
      <c r="N37" s="2"/>
      <c r="O37" s="2"/>
      <c r="P37" s="2"/>
      <c r="Q37" s="2"/>
      <c r="R37" s="2"/>
      <c r="S37" s="2"/>
      <c r="T37" s="2"/>
      <c r="U37" s="2"/>
      <c r="V37" s="2"/>
    </row>
    <row r="38" spans="2:22" ht="15" customHeight="1">
      <c r="B38" s="217"/>
      <c r="C38" s="217"/>
      <c r="K38" s="2"/>
      <c r="L38" s="2"/>
      <c r="M38" s="2"/>
      <c r="N38" s="2"/>
      <c r="O38" s="2"/>
      <c r="P38" s="2"/>
      <c r="Q38" s="2"/>
      <c r="R38" s="2"/>
      <c r="S38" s="2"/>
      <c r="T38" s="2"/>
      <c r="U38" s="2"/>
      <c r="V38" s="2"/>
    </row>
    <row r="39" spans="2:22" ht="15" customHeight="1">
      <c r="B39" s="217"/>
      <c r="C39" s="217"/>
      <c r="K39" s="2"/>
      <c r="L39" s="2"/>
      <c r="M39" s="2"/>
      <c r="N39" s="2"/>
      <c r="O39" s="2"/>
      <c r="P39" s="2"/>
      <c r="Q39" s="2"/>
      <c r="R39" s="2"/>
      <c r="S39" s="2"/>
      <c r="T39" s="2"/>
      <c r="U39" s="2"/>
      <c r="V39" s="2"/>
    </row>
    <row r="40" spans="2:22" ht="15" customHeight="1">
      <c r="B40" s="217"/>
      <c r="C40" s="217"/>
      <c r="K40" s="2"/>
      <c r="L40" s="2"/>
      <c r="M40" s="2"/>
      <c r="N40" s="2"/>
      <c r="O40" s="2"/>
      <c r="P40" s="2"/>
      <c r="Q40" s="2"/>
      <c r="R40" s="2"/>
      <c r="S40" s="2"/>
      <c r="T40" s="2"/>
      <c r="U40" s="2"/>
      <c r="V40" s="2"/>
    </row>
    <row r="41" spans="2:22" ht="15" customHeight="1">
      <c r="B41" s="217"/>
      <c r="C41" s="217"/>
      <c r="K41" s="2"/>
      <c r="L41" s="2"/>
      <c r="M41" s="2"/>
      <c r="N41" s="2"/>
      <c r="O41" s="2"/>
      <c r="P41" s="2"/>
      <c r="Q41" s="2"/>
      <c r="R41" s="2"/>
      <c r="S41" s="2"/>
      <c r="T41" s="2"/>
      <c r="U41" s="2"/>
      <c r="V41" s="2"/>
    </row>
    <row r="42" spans="2:22" ht="15" customHeight="1">
      <c r="B42" s="217"/>
      <c r="C42" s="217"/>
      <c r="K42" s="2"/>
      <c r="L42" s="2"/>
      <c r="M42" s="2"/>
      <c r="N42" s="2"/>
      <c r="O42" s="2"/>
      <c r="P42" s="2"/>
      <c r="Q42" s="2"/>
      <c r="R42" s="2"/>
      <c r="S42" s="2"/>
      <c r="T42" s="2"/>
      <c r="U42" s="2"/>
      <c r="V42" s="2"/>
    </row>
    <row r="43" spans="2:22" ht="15" customHeight="1">
      <c r="B43" s="217"/>
      <c r="C43" s="217"/>
      <c r="K43" s="2"/>
      <c r="L43" s="2"/>
      <c r="M43" s="2"/>
      <c r="N43" s="2"/>
      <c r="O43" s="2"/>
      <c r="P43" s="2"/>
      <c r="Q43" s="2"/>
      <c r="R43" s="2"/>
      <c r="S43" s="2"/>
      <c r="T43" s="2"/>
      <c r="U43" s="2"/>
      <c r="V43" s="2"/>
    </row>
    <row r="47" spans="2:22" ht="15" customHeight="1">
      <c r="B47" s="324" t="s">
        <v>427</v>
      </c>
      <c r="C47" s="324"/>
      <c r="D47" s="324"/>
      <c r="E47" s="324"/>
      <c r="F47" s="324"/>
      <c r="G47" s="324"/>
      <c r="H47" s="324"/>
      <c r="I47" s="324"/>
      <c r="K47" s="386" t="s">
        <v>474</v>
      </c>
      <c r="L47" s="386"/>
      <c r="M47" s="386"/>
      <c r="N47" s="386"/>
      <c r="O47" s="386"/>
      <c r="P47" s="386"/>
      <c r="Q47" s="386"/>
      <c r="R47" s="386"/>
      <c r="S47" s="386"/>
      <c r="T47" s="386"/>
      <c r="U47" s="252"/>
    </row>
    <row r="61" spans="2:9" ht="15" customHeight="1">
      <c r="B61" s="389" t="s">
        <v>439</v>
      </c>
      <c r="C61" s="389"/>
      <c r="D61" s="389"/>
      <c r="E61" s="389"/>
      <c r="F61" s="389"/>
      <c r="G61" s="389"/>
      <c r="H61" s="389"/>
      <c r="I61" s="389"/>
    </row>
  </sheetData>
  <mergeCells count="20">
    <mergeCell ref="B61:I61"/>
    <mergeCell ref="B28:I28"/>
    <mergeCell ref="B10:I10"/>
    <mergeCell ref="O3:T3"/>
    <mergeCell ref="K10:L10"/>
    <mergeCell ref="M10:N10"/>
    <mergeCell ref="O10:P10"/>
    <mergeCell ref="Q10:R10"/>
    <mergeCell ref="S10:T10"/>
    <mergeCell ref="O4:T6"/>
    <mergeCell ref="S28:T28"/>
    <mergeCell ref="K47:L47"/>
    <mergeCell ref="M47:N47"/>
    <mergeCell ref="O47:P47"/>
    <mergeCell ref="Q47:R47"/>
    <mergeCell ref="S47:T47"/>
    <mergeCell ref="K28:L28"/>
    <mergeCell ref="M28:N28"/>
    <mergeCell ref="O28:P28"/>
    <mergeCell ref="Q28:R2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3:V47"/>
  <sheetViews>
    <sheetView showGridLines="0" topLeftCell="A7" workbookViewId="0">
      <selection activeCell="F5" sqref="F5"/>
    </sheetView>
  </sheetViews>
  <sheetFormatPr defaultRowHeight="18" customHeight="1"/>
  <cols>
    <col min="1" max="1" width="5.7109375" customWidth="1"/>
    <col min="2" max="2" width="9.85546875" customWidth="1"/>
    <col min="5" max="5" width="12.28515625" customWidth="1"/>
    <col min="10" max="10" width="7.28515625" customWidth="1"/>
    <col min="11" max="11" width="13" customWidth="1"/>
    <col min="15" max="15" width="11.5703125" customWidth="1"/>
  </cols>
  <sheetData>
    <row r="3" spans="2:22" ht="18" customHeight="1">
      <c r="B3" s="390" t="s">
        <v>424</v>
      </c>
      <c r="C3" s="391"/>
      <c r="E3" s="298" t="s">
        <v>28</v>
      </c>
      <c r="F3" s="101" t="s">
        <v>230</v>
      </c>
      <c r="G3" s="101" t="s">
        <v>231</v>
      </c>
      <c r="H3" s="101" t="s">
        <v>406</v>
      </c>
      <c r="K3" s="298" t="s">
        <v>28</v>
      </c>
      <c r="L3" s="101" t="s">
        <v>230</v>
      </c>
      <c r="M3" s="101" t="s">
        <v>231</v>
      </c>
      <c r="O3" s="390" t="s">
        <v>424</v>
      </c>
      <c r="P3" s="391"/>
      <c r="S3" s="101" t="s">
        <v>458</v>
      </c>
    </row>
    <row r="4" spans="2:22" ht="18" customHeight="1">
      <c r="B4" s="254" t="s">
        <v>425</v>
      </c>
      <c r="C4" s="299">
        <v>0.1</v>
      </c>
      <c r="E4" s="254" t="s">
        <v>409</v>
      </c>
      <c r="F4" s="299">
        <v>0.2</v>
      </c>
      <c r="G4" s="299">
        <v>0.2</v>
      </c>
      <c r="H4" s="299"/>
      <c r="K4" s="254" t="s">
        <v>412</v>
      </c>
      <c r="L4" s="300">
        <v>5</v>
      </c>
      <c r="M4" s="300">
        <v>9</v>
      </c>
      <c r="O4" s="254" t="s">
        <v>412</v>
      </c>
      <c r="P4" s="300">
        <v>4</v>
      </c>
      <c r="S4" s="299"/>
    </row>
    <row r="5" spans="2:22" ht="18" customHeight="1">
      <c r="B5" s="254" t="s">
        <v>133</v>
      </c>
      <c r="C5" s="299">
        <f>SUM('Screener Output.v0'!H35:M35)/SUM('Screener Output.v0'!H26:M26)</f>
        <v>7.4584406875375014E-2</v>
      </c>
      <c r="E5" s="254" t="s">
        <v>410</v>
      </c>
      <c r="F5" s="299">
        <f>('Screener Output.v0'!M74/'Screener Output.v0'!C74)^(1/9)-1</f>
        <v>0.31662729084920693</v>
      </c>
      <c r="G5" s="299">
        <f>('Screener Output.v0'!M74/'Screener Output.v0'!G74)^(1/5)-1</f>
        <v>0.30436496837203419</v>
      </c>
      <c r="H5" s="299">
        <f>('Screener Output.v0'!M74/'Screener Output.v0'!N74)^(1/1)-1</f>
        <v>0.41015625000000044</v>
      </c>
      <c r="K5" s="254" t="s">
        <v>413</v>
      </c>
      <c r="L5" s="300">
        <f>IF(F5&gt;0.2,5,IF(AND(F5&gt;0.1,F5&lt;0.2),3,IF(AND(F5&gt;0.05,F5&lt;0.1),1,IF(AND(F5&gt;0,F5&lt;0.05),1,0))))</f>
        <v>5</v>
      </c>
      <c r="M5" s="300">
        <f>IF(G5&gt;0.2,9,IF(AND(G5&gt;0.1,G5&lt;0.2),7,IF(AND(G5&gt;0.05,G5&lt;0.1),3,IF(AND(G5&gt;0,G5&lt;0.05),1,0))))</f>
        <v>9</v>
      </c>
      <c r="O5" s="254" t="s">
        <v>413</v>
      </c>
      <c r="P5" s="300">
        <f>IF(C5&gt;0.1,4,IF(AND(C5&gt;0.08,C5&lt;0.1),3,IF(AND(C5&gt;0.05,C5&lt;0.08),2,IF(AND(C5&gt;0.03,C5&lt;0.05),1,0))))</f>
        <v>2</v>
      </c>
      <c r="S5" s="299">
        <f>'Screener Output.v0'!L193</f>
        <v>0.23025435073627842</v>
      </c>
    </row>
    <row r="6" spans="2:22" ht="18" customHeight="1">
      <c r="E6" s="255"/>
    </row>
    <row r="10" spans="2:22" ht="18" customHeight="1">
      <c r="B10" s="387" t="s">
        <v>401</v>
      </c>
      <c r="C10" s="387"/>
      <c r="D10" s="386"/>
      <c r="E10" s="386"/>
      <c r="F10" s="386"/>
      <c r="G10" s="386"/>
      <c r="H10" s="386"/>
      <c r="I10" s="386"/>
      <c r="J10" s="262"/>
      <c r="K10" s="386" t="s">
        <v>423</v>
      </c>
      <c r="L10" s="386"/>
      <c r="M10" s="386"/>
      <c r="N10" s="386"/>
      <c r="O10" s="386"/>
      <c r="P10" s="386"/>
      <c r="Q10" s="386"/>
      <c r="R10" s="386"/>
      <c r="S10" s="392"/>
      <c r="T10" s="392"/>
      <c r="U10" s="392"/>
      <c r="V10" s="392"/>
    </row>
    <row r="11" spans="2:22" ht="18" customHeight="1">
      <c r="H11" s="2"/>
      <c r="I11" s="2"/>
      <c r="J11" s="2"/>
      <c r="K11" s="2"/>
      <c r="L11" s="2"/>
      <c r="M11" s="2"/>
      <c r="N11" s="2"/>
      <c r="O11" s="2"/>
      <c r="P11" s="2"/>
      <c r="Q11" s="2"/>
      <c r="R11" s="2"/>
      <c r="S11" s="2"/>
      <c r="T11" s="2"/>
      <c r="U11" s="2"/>
      <c r="V11" s="2"/>
    </row>
    <row r="12" spans="2:22" ht="18" customHeight="1">
      <c r="H12" s="2"/>
      <c r="I12" s="2"/>
      <c r="J12" s="2"/>
      <c r="K12" s="2"/>
      <c r="L12" s="2"/>
      <c r="M12" s="2"/>
      <c r="N12" s="2"/>
      <c r="O12" s="2"/>
      <c r="P12" s="2"/>
      <c r="Q12" s="2"/>
      <c r="R12" s="2"/>
      <c r="S12" s="2"/>
      <c r="T12" s="2"/>
      <c r="U12" s="2"/>
      <c r="V12" s="2"/>
    </row>
    <row r="13" spans="2:22" ht="18" customHeight="1">
      <c r="H13" s="2"/>
      <c r="I13" s="2"/>
      <c r="J13" s="2"/>
      <c r="K13" s="2"/>
      <c r="L13" s="2"/>
      <c r="M13" s="2"/>
      <c r="N13" s="2"/>
      <c r="O13" s="2"/>
      <c r="P13" s="2"/>
      <c r="Q13" s="2"/>
      <c r="R13" s="2"/>
      <c r="S13" s="2"/>
      <c r="T13" s="2"/>
      <c r="U13" s="2"/>
      <c r="V13" s="2"/>
    </row>
    <row r="14" spans="2:22" ht="18" customHeight="1">
      <c r="H14" s="2"/>
      <c r="I14" s="2"/>
      <c r="J14" s="2"/>
      <c r="K14" s="2"/>
      <c r="L14" s="2"/>
      <c r="M14" s="2"/>
      <c r="N14" s="2"/>
      <c r="O14" s="2"/>
      <c r="P14" s="2"/>
      <c r="Q14" s="2"/>
      <c r="R14" s="2"/>
      <c r="S14" s="2"/>
      <c r="T14" s="2"/>
      <c r="U14" s="2"/>
      <c r="V14" s="2"/>
    </row>
    <row r="15" spans="2:22" ht="18" customHeight="1">
      <c r="H15" s="2"/>
      <c r="I15" s="2"/>
      <c r="J15" s="2"/>
      <c r="K15" s="2"/>
      <c r="L15" s="2"/>
      <c r="M15" s="2"/>
      <c r="N15" s="2"/>
      <c r="O15" s="2"/>
      <c r="P15" s="2"/>
      <c r="Q15" s="2"/>
      <c r="R15" s="2"/>
      <c r="S15" s="2"/>
      <c r="T15" s="2"/>
      <c r="U15" s="2"/>
      <c r="V15" s="2"/>
    </row>
    <row r="16" spans="2:22" ht="18" customHeight="1">
      <c r="H16" s="2"/>
      <c r="I16" s="2"/>
      <c r="J16" s="2"/>
      <c r="K16" s="2"/>
      <c r="L16" s="2"/>
      <c r="M16" s="2"/>
      <c r="N16" s="2"/>
      <c r="O16" s="2"/>
      <c r="P16" s="2"/>
      <c r="Q16" s="2"/>
      <c r="R16" s="2"/>
      <c r="S16" s="2"/>
      <c r="T16" s="2"/>
      <c r="U16" s="2"/>
      <c r="V16" s="2"/>
    </row>
    <row r="17" spans="2:22" ht="18" customHeight="1">
      <c r="H17" s="2"/>
      <c r="I17" s="2"/>
      <c r="J17" s="2"/>
      <c r="K17" s="2"/>
      <c r="L17" s="2"/>
      <c r="M17" s="2"/>
      <c r="N17" s="2"/>
      <c r="O17" s="2"/>
      <c r="P17" s="2"/>
      <c r="Q17" s="2"/>
      <c r="R17" s="2"/>
      <c r="S17" s="2"/>
      <c r="T17" s="2"/>
      <c r="U17" s="2"/>
      <c r="V17" s="2"/>
    </row>
    <row r="18" spans="2:22" ht="18" customHeight="1">
      <c r="H18" s="2"/>
      <c r="I18" s="2"/>
      <c r="J18" s="2"/>
      <c r="K18" s="2"/>
      <c r="L18" s="2"/>
      <c r="M18" s="2"/>
      <c r="N18" s="2"/>
      <c r="O18" s="2"/>
      <c r="P18" s="2"/>
      <c r="Q18" s="2"/>
      <c r="R18" s="2"/>
      <c r="S18" s="2"/>
      <c r="T18" s="2"/>
      <c r="U18" s="2"/>
      <c r="V18" s="2"/>
    </row>
    <row r="19" spans="2:22" ht="18" customHeight="1">
      <c r="H19" s="2"/>
      <c r="I19" s="2"/>
      <c r="J19" s="2"/>
      <c r="K19" s="2"/>
      <c r="L19" s="2"/>
      <c r="M19" s="2"/>
      <c r="N19" s="2"/>
      <c r="O19" s="2"/>
      <c r="P19" s="2"/>
      <c r="Q19" s="2"/>
      <c r="R19" s="2"/>
      <c r="S19" s="2"/>
      <c r="T19" s="2"/>
      <c r="U19" s="2"/>
      <c r="V19" s="2"/>
    </row>
    <row r="20" spans="2:22" ht="18" customHeight="1">
      <c r="H20" s="2"/>
      <c r="I20" s="2"/>
      <c r="J20" s="2"/>
      <c r="K20" s="2"/>
      <c r="L20" s="2"/>
      <c r="M20" s="2"/>
      <c r="N20" s="2"/>
      <c r="O20" s="2"/>
      <c r="P20" s="2"/>
      <c r="Q20" s="2"/>
      <c r="R20" s="2"/>
      <c r="S20" s="2"/>
      <c r="T20" s="2"/>
      <c r="U20" s="2"/>
      <c r="V20" s="2"/>
    </row>
    <row r="21" spans="2:22" ht="18" customHeight="1">
      <c r="I21" s="2"/>
      <c r="J21" s="2"/>
      <c r="K21" s="2"/>
      <c r="L21" s="2"/>
      <c r="M21" s="2"/>
      <c r="N21" s="2"/>
      <c r="O21" s="2"/>
      <c r="P21" s="2"/>
      <c r="Q21" s="2"/>
      <c r="R21" s="2"/>
      <c r="S21" s="2"/>
      <c r="T21" s="2"/>
      <c r="U21" s="2"/>
      <c r="V21" s="2"/>
    </row>
    <row r="22" spans="2:22" ht="18" customHeight="1">
      <c r="I22" s="2"/>
      <c r="J22" s="2"/>
      <c r="K22" s="2"/>
      <c r="L22" s="2"/>
      <c r="M22" s="2"/>
      <c r="N22" s="2"/>
      <c r="O22" s="2"/>
      <c r="P22" s="2"/>
      <c r="Q22" s="2"/>
      <c r="R22" s="2"/>
      <c r="S22" s="2"/>
      <c r="T22" s="2"/>
      <c r="U22" s="2"/>
      <c r="V22" s="2"/>
    </row>
    <row r="23" spans="2:22" ht="18" customHeight="1">
      <c r="I23" s="2"/>
      <c r="J23" s="2"/>
      <c r="K23" s="2"/>
      <c r="L23" s="2"/>
      <c r="M23" s="2"/>
      <c r="N23" s="2"/>
      <c r="O23" s="2"/>
      <c r="P23" s="2"/>
      <c r="Q23" s="2"/>
      <c r="R23" s="2"/>
      <c r="S23" s="2"/>
      <c r="T23" s="2"/>
      <c r="U23" s="2"/>
      <c r="V23" s="2"/>
    </row>
    <row r="24" spans="2:22" ht="18" customHeight="1">
      <c r="I24" s="2"/>
      <c r="J24" s="2"/>
      <c r="K24" s="2"/>
      <c r="L24" s="2"/>
      <c r="M24" s="2"/>
      <c r="N24" s="2"/>
      <c r="O24" s="2"/>
      <c r="P24" s="2"/>
      <c r="Q24" s="2"/>
      <c r="R24" s="2"/>
      <c r="S24" s="2"/>
      <c r="T24" s="2"/>
      <c r="U24" s="2"/>
      <c r="V24" s="2"/>
    </row>
    <row r="25" spans="2:22" ht="18" customHeight="1">
      <c r="I25" s="2"/>
      <c r="J25" s="2"/>
      <c r="K25" s="2"/>
      <c r="L25" s="2"/>
      <c r="M25" s="2"/>
      <c r="N25" s="2"/>
      <c r="O25" s="2"/>
      <c r="P25" s="2"/>
      <c r="Q25" s="2"/>
      <c r="R25" s="2"/>
      <c r="S25" s="2"/>
      <c r="T25" s="2"/>
      <c r="U25" s="2"/>
      <c r="V25" s="2"/>
    </row>
    <row r="27" spans="2:22" ht="18" customHeight="1">
      <c r="K27" s="393" t="s">
        <v>459</v>
      </c>
      <c r="L27" s="393"/>
      <c r="M27" s="393"/>
      <c r="N27" s="393"/>
      <c r="O27" s="393"/>
      <c r="P27" s="393"/>
      <c r="Q27" s="393"/>
      <c r="R27" s="393"/>
    </row>
    <row r="28" spans="2:22" ht="18" customHeight="1">
      <c r="K28" s="393"/>
      <c r="L28" s="393"/>
      <c r="M28" s="393"/>
      <c r="N28" s="393"/>
      <c r="O28" s="393"/>
      <c r="P28" s="393"/>
      <c r="Q28" s="393"/>
      <c r="R28" s="393"/>
    </row>
    <row r="32" spans="2:22" ht="18" customHeight="1">
      <c r="B32" s="387" t="s">
        <v>419</v>
      </c>
      <c r="C32" s="387"/>
      <c r="D32" s="387"/>
      <c r="E32" s="387"/>
      <c r="F32" s="387"/>
      <c r="G32" s="387"/>
      <c r="H32" s="387"/>
      <c r="I32" s="387"/>
      <c r="J32" s="262"/>
      <c r="K32" s="252" t="s">
        <v>478</v>
      </c>
      <c r="L32" s="252"/>
      <c r="M32" s="252"/>
      <c r="N32" s="252"/>
      <c r="O32" s="252"/>
      <c r="P32" s="252"/>
      <c r="Q32" s="252"/>
      <c r="R32" s="252"/>
      <c r="S32" s="392"/>
      <c r="T32" s="392"/>
      <c r="U32" s="392"/>
      <c r="V32" s="392"/>
    </row>
    <row r="33" spans="2:22" ht="18" customHeight="1">
      <c r="I33" s="2"/>
      <c r="J33" s="2"/>
      <c r="K33" s="2"/>
      <c r="L33" s="2"/>
      <c r="M33" s="2"/>
      <c r="N33" s="2"/>
      <c r="O33" s="2"/>
      <c r="P33" s="2"/>
      <c r="Q33" s="2"/>
      <c r="R33" s="2"/>
      <c r="S33" s="2"/>
      <c r="T33" s="2"/>
      <c r="U33" s="2"/>
      <c r="V33" s="2"/>
    </row>
    <row r="34" spans="2:22" ht="18" customHeight="1">
      <c r="I34" s="2"/>
      <c r="J34" s="2"/>
      <c r="K34" s="2"/>
      <c r="L34" s="2"/>
      <c r="M34" s="2"/>
      <c r="N34" s="2"/>
      <c r="O34" s="2"/>
      <c r="P34" s="2"/>
      <c r="Q34" s="2"/>
      <c r="R34" s="2"/>
      <c r="S34" s="2"/>
      <c r="T34" s="2"/>
      <c r="U34" s="2"/>
      <c r="V34" s="2"/>
    </row>
    <row r="35" spans="2:22" ht="18" customHeight="1">
      <c r="I35" s="2"/>
      <c r="J35" s="2"/>
      <c r="K35" s="2"/>
      <c r="L35" s="2"/>
      <c r="M35" s="2"/>
      <c r="N35" s="2"/>
      <c r="O35" s="2"/>
      <c r="P35" s="2"/>
      <c r="Q35" s="2"/>
      <c r="R35" s="2"/>
      <c r="S35" s="2"/>
      <c r="T35" s="2"/>
      <c r="U35" s="2"/>
      <c r="V35" s="2"/>
    </row>
    <row r="36" spans="2:22" ht="18" customHeight="1">
      <c r="B36" s="2"/>
      <c r="C36" s="2"/>
      <c r="D36" s="2"/>
      <c r="E36" s="2"/>
      <c r="F36" s="2"/>
      <c r="G36" s="2"/>
      <c r="I36" s="2"/>
      <c r="J36" s="2"/>
      <c r="K36" s="2"/>
      <c r="L36" s="2"/>
      <c r="M36" s="2"/>
      <c r="N36" s="2"/>
      <c r="O36" s="2"/>
      <c r="P36" s="2"/>
      <c r="Q36" s="2"/>
      <c r="R36" s="2"/>
      <c r="S36" s="2"/>
      <c r="T36" s="2"/>
      <c r="U36" s="2"/>
      <c r="V36" s="2"/>
    </row>
    <row r="37" spans="2:22" ht="18" customHeight="1">
      <c r="B37" s="2"/>
      <c r="C37" s="2"/>
      <c r="D37" s="2"/>
      <c r="E37" s="2"/>
      <c r="F37" s="2"/>
      <c r="G37" s="2"/>
      <c r="I37" s="2"/>
      <c r="J37" s="2"/>
      <c r="K37" s="2"/>
      <c r="L37" s="2"/>
      <c r="M37" s="2"/>
      <c r="N37" s="2"/>
      <c r="O37" s="2"/>
      <c r="P37" s="2"/>
      <c r="Q37" s="2"/>
      <c r="R37" s="2"/>
      <c r="S37" s="2"/>
      <c r="T37" s="2"/>
      <c r="U37" s="2"/>
      <c r="V37" s="2"/>
    </row>
    <row r="38" spans="2:22" ht="18" customHeight="1">
      <c r="B38" s="2"/>
      <c r="C38" s="2"/>
      <c r="D38" s="2"/>
      <c r="E38" s="2"/>
      <c r="F38" s="2"/>
      <c r="G38" s="2"/>
      <c r="I38" s="2"/>
      <c r="J38" s="2"/>
      <c r="K38" s="2"/>
      <c r="L38" s="2"/>
      <c r="M38" s="2"/>
      <c r="N38" s="2"/>
      <c r="O38" s="2"/>
      <c r="P38" s="2"/>
      <c r="Q38" s="2"/>
      <c r="R38" s="2"/>
      <c r="S38" s="2"/>
      <c r="T38" s="2"/>
      <c r="U38" s="2"/>
      <c r="V38" s="2"/>
    </row>
    <row r="39" spans="2:22" ht="18" customHeight="1">
      <c r="B39" s="2"/>
      <c r="C39" s="2"/>
      <c r="D39" s="2"/>
      <c r="E39" s="2"/>
      <c r="F39" s="2"/>
      <c r="G39" s="2"/>
      <c r="I39" s="2"/>
      <c r="J39" s="2"/>
      <c r="K39" s="2"/>
      <c r="L39" s="2"/>
      <c r="M39" s="2"/>
      <c r="N39" s="2"/>
      <c r="O39" s="2"/>
      <c r="P39" s="2"/>
      <c r="Q39" s="2"/>
      <c r="R39" s="2"/>
      <c r="S39" s="2"/>
      <c r="T39" s="2"/>
      <c r="U39" s="2"/>
      <c r="V39" s="2"/>
    </row>
    <row r="40" spans="2:22" ht="18" customHeight="1">
      <c r="B40" s="2"/>
      <c r="C40" s="2"/>
      <c r="D40" s="2"/>
      <c r="E40" s="2"/>
      <c r="F40" s="2"/>
      <c r="G40" s="2"/>
      <c r="I40" s="2"/>
      <c r="J40" s="2"/>
      <c r="K40" s="2"/>
      <c r="L40" s="2"/>
      <c r="M40" s="2"/>
      <c r="N40" s="2"/>
      <c r="O40" s="2"/>
      <c r="P40" s="2"/>
      <c r="Q40" s="2"/>
      <c r="R40" s="2"/>
      <c r="S40" s="2"/>
      <c r="T40" s="2"/>
      <c r="U40" s="2"/>
      <c r="V40" s="2"/>
    </row>
    <row r="41" spans="2:22" ht="18" customHeight="1">
      <c r="B41" s="2"/>
      <c r="C41" s="2"/>
      <c r="D41" s="2"/>
      <c r="E41" s="2"/>
      <c r="F41" s="2"/>
      <c r="G41" s="2"/>
      <c r="I41" s="2"/>
      <c r="J41" s="2"/>
      <c r="K41" s="2"/>
      <c r="L41" s="2"/>
      <c r="M41" s="2"/>
      <c r="N41" s="2"/>
      <c r="O41" s="2"/>
      <c r="P41" s="2"/>
      <c r="Q41" s="2"/>
      <c r="R41" s="2"/>
      <c r="S41" s="2"/>
      <c r="T41" s="2"/>
      <c r="U41" s="2"/>
      <c r="V41" s="2"/>
    </row>
    <row r="42" spans="2:22" ht="18" customHeight="1">
      <c r="B42" s="2"/>
      <c r="C42" s="2"/>
      <c r="D42" s="2"/>
      <c r="E42" s="2"/>
      <c r="F42" s="2"/>
      <c r="G42" s="2"/>
      <c r="I42" s="2"/>
      <c r="J42" s="2"/>
      <c r="K42" s="2"/>
      <c r="L42" s="2"/>
      <c r="M42" s="2"/>
      <c r="N42" s="2"/>
      <c r="O42" s="2"/>
      <c r="P42" s="2"/>
      <c r="Q42" s="2"/>
      <c r="R42" s="2"/>
      <c r="S42" s="2"/>
      <c r="T42" s="2"/>
      <c r="U42" s="2"/>
      <c r="V42" s="2"/>
    </row>
    <row r="43" spans="2:22" ht="18" customHeight="1">
      <c r="B43" s="2"/>
      <c r="C43" s="2"/>
      <c r="D43" s="2"/>
      <c r="E43" s="2"/>
      <c r="F43" s="2"/>
      <c r="G43" s="2"/>
      <c r="I43" s="2"/>
      <c r="J43" s="2"/>
      <c r="K43" s="2"/>
      <c r="L43" s="2"/>
      <c r="M43" s="2"/>
      <c r="N43" s="2"/>
      <c r="O43" s="2"/>
      <c r="P43" s="2"/>
      <c r="Q43" s="2"/>
      <c r="R43" s="2"/>
      <c r="S43" s="2"/>
      <c r="T43" s="2"/>
      <c r="U43" s="2"/>
      <c r="V43" s="2"/>
    </row>
    <row r="44" spans="2:22" ht="18" customHeight="1">
      <c r="B44" s="2"/>
      <c r="C44" s="2"/>
      <c r="D44" s="2"/>
      <c r="E44" s="2"/>
      <c r="F44" s="2"/>
      <c r="G44" s="2"/>
      <c r="I44" s="2"/>
      <c r="J44" s="2"/>
      <c r="K44" s="2"/>
      <c r="L44" s="2"/>
      <c r="M44" s="2"/>
      <c r="N44" s="2"/>
      <c r="O44" s="2"/>
      <c r="P44" s="2"/>
      <c r="Q44" s="2"/>
      <c r="R44" s="2"/>
      <c r="S44" s="2"/>
      <c r="T44" s="2"/>
      <c r="U44" s="2"/>
      <c r="V44" s="2"/>
    </row>
    <row r="45" spans="2:22" ht="18" customHeight="1">
      <c r="B45" s="2"/>
      <c r="C45" s="2"/>
      <c r="D45" s="2"/>
      <c r="E45" s="2"/>
      <c r="F45" s="2"/>
      <c r="G45" s="2"/>
      <c r="I45" s="2"/>
      <c r="J45" s="2"/>
      <c r="K45" s="2"/>
      <c r="L45" s="2"/>
      <c r="M45" s="2"/>
      <c r="N45" s="2"/>
      <c r="O45" s="2"/>
      <c r="P45" s="2"/>
      <c r="Q45" s="2"/>
      <c r="R45" s="2"/>
      <c r="S45" s="2"/>
      <c r="T45" s="2"/>
      <c r="U45" s="2"/>
      <c r="V45" s="2"/>
    </row>
    <row r="46" spans="2:22" ht="18" customHeight="1">
      <c r="B46" s="2"/>
      <c r="C46" s="2"/>
      <c r="D46" s="2"/>
      <c r="E46" s="2"/>
      <c r="F46" s="2"/>
      <c r="G46" s="2"/>
      <c r="I46" s="2"/>
      <c r="J46" s="2"/>
      <c r="K46" s="2"/>
      <c r="L46" s="2"/>
      <c r="M46" s="2"/>
      <c r="N46" s="2"/>
      <c r="O46" s="2"/>
      <c r="P46" s="2"/>
      <c r="Q46" s="2"/>
      <c r="R46" s="2"/>
      <c r="S46" s="2"/>
      <c r="T46" s="2"/>
      <c r="U46" s="2"/>
      <c r="V46" s="2"/>
    </row>
    <row r="47" spans="2:22" ht="18" customHeight="1">
      <c r="B47" s="2"/>
      <c r="C47" s="2"/>
      <c r="D47" s="2"/>
      <c r="E47" s="2"/>
      <c r="F47" s="2"/>
      <c r="G47" s="2"/>
      <c r="I47" s="2"/>
      <c r="J47" s="2"/>
      <c r="K47" s="2"/>
      <c r="L47" s="2"/>
      <c r="M47" s="2"/>
      <c r="N47" s="2"/>
      <c r="O47" s="2"/>
      <c r="P47" s="2"/>
      <c r="Q47" s="2"/>
      <c r="R47" s="2"/>
      <c r="S47" s="2"/>
      <c r="T47" s="2"/>
      <c r="U47" s="2"/>
      <c r="V47" s="2"/>
    </row>
  </sheetData>
  <mergeCells count="16">
    <mergeCell ref="B3:C3"/>
    <mergeCell ref="O3:P3"/>
    <mergeCell ref="B32:I32"/>
    <mergeCell ref="U10:V10"/>
    <mergeCell ref="K10:L10"/>
    <mergeCell ref="M10:N10"/>
    <mergeCell ref="O10:P10"/>
    <mergeCell ref="Q10:R10"/>
    <mergeCell ref="S32:T32"/>
    <mergeCell ref="U32:V32"/>
    <mergeCell ref="B10:C10"/>
    <mergeCell ref="D10:E10"/>
    <mergeCell ref="S10:T10"/>
    <mergeCell ref="F10:G10"/>
    <mergeCell ref="H10:I10"/>
    <mergeCell ref="K27:R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C22"/>
  <sheetViews>
    <sheetView showGridLines="0" topLeftCell="A7" workbookViewId="0">
      <selection activeCell="G10" sqref="G10:G11"/>
    </sheetView>
  </sheetViews>
  <sheetFormatPr defaultRowHeight="15"/>
  <cols>
    <col min="1" max="1" width="2.28515625" customWidth="1"/>
    <col min="2" max="2" width="16" bestFit="1" customWidth="1"/>
    <col min="3" max="8" width="8.7109375" customWidth="1"/>
    <col min="9" max="9" width="8.42578125" customWidth="1"/>
    <col min="10" max="10" width="18" bestFit="1" customWidth="1"/>
    <col min="11" max="11" width="11.7109375" customWidth="1"/>
    <col min="12" max="12" width="4.28515625" customWidth="1"/>
  </cols>
  <sheetData>
    <row r="1" spans="2:29" ht="9" customHeight="1"/>
    <row r="2" spans="2:29" ht="24">
      <c r="C2" s="296"/>
      <c r="D2" s="101" t="s">
        <v>142</v>
      </c>
      <c r="J2" s="296"/>
      <c r="K2" s="101" t="s">
        <v>142</v>
      </c>
    </row>
    <row r="3" spans="2:29">
      <c r="C3" s="303" t="s">
        <v>425</v>
      </c>
      <c r="D3" s="310" t="s">
        <v>433</v>
      </c>
      <c r="J3" s="303" t="s">
        <v>412</v>
      </c>
      <c r="K3" s="296">
        <v>10</v>
      </c>
    </row>
    <row r="4" spans="2:29">
      <c r="C4" s="303" t="s">
        <v>133</v>
      </c>
      <c r="D4" s="304">
        <f>IF(Valuation_Table!A28=2, G10, SUM('Screener Output.v0'!L35:L35)/SUM('Screener Output.v0'!L60:L60))</f>
        <v>0.21207957500486693</v>
      </c>
      <c r="J4" s="303" t="s">
        <v>413</v>
      </c>
      <c r="K4" s="296">
        <f>IF(Valuation_Table!A28=2, (IF(D4&gt;0.2,10,IF(AND(D4&gt;0.1,D4&lt;0.2),7,IF(AND(D4&gt;0.05,D4&lt;0.1),3,IF(AND(D4&gt;0,D4&lt;0.05),1,0))))), (IF(D4&gt;0.02,10,IF(AND(D4&gt;0.01,D4&lt;0.02),7,IF(AND(D4&gt;0.005,D4&lt;0.01),3,IF(AND(D4&gt;0,D4&lt;0.005),1,0))))))</f>
        <v>10</v>
      </c>
    </row>
    <row r="5" spans="2:29" ht="8.25" customHeight="1"/>
    <row r="6" spans="2:29" ht="18" customHeight="1">
      <c r="B6" s="47"/>
      <c r="C6" s="48" t="s">
        <v>94</v>
      </c>
      <c r="D6" s="48" t="s">
        <v>93</v>
      </c>
      <c r="E6" s="48" t="s">
        <v>92</v>
      </c>
      <c r="F6" s="48" t="s">
        <v>91</v>
      </c>
      <c r="G6" s="48" t="s">
        <v>479</v>
      </c>
      <c r="H6" s="48" t="s">
        <v>480</v>
      </c>
      <c r="J6" s="218"/>
      <c r="K6" s="218" t="s">
        <v>231</v>
      </c>
      <c r="M6" s="386" t="s">
        <v>98</v>
      </c>
      <c r="N6" s="386"/>
      <c r="O6" s="386"/>
      <c r="P6" s="386"/>
      <c r="Q6" s="386"/>
      <c r="R6" s="386"/>
      <c r="S6" s="386"/>
      <c r="T6" s="386"/>
      <c r="V6" s="386"/>
      <c r="W6" s="386"/>
      <c r="X6" s="386"/>
      <c r="Y6" s="386"/>
      <c r="Z6" s="386"/>
      <c r="AA6" s="386"/>
      <c r="AB6" s="386"/>
      <c r="AC6" s="386"/>
    </row>
    <row r="7" spans="2:29">
      <c r="B7" s="49" t="s">
        <v>96</v>
      </c>
      <c r="C7" s="50">
        <f>SUM('Screener Output.v0'!H35:H35)/SUM('Screener Output.v0'!H26:H26)</f>
        <v>5.5624321758003241E-2</v>
      </c>
      <c r="D7" s="50">
        <f>SUM('Screener Output.v0'!I35:I35)/SUM('Screener Output.v0'!I26:I26)</f>
        <v>7.1514831831873557E-2</v>
      </c>
      <c r="E7" s="50">
        <f>SUM('Screener Output.v0'!J35:J35)/SUM('Screener Output.v0'!J26:J26)</f>
        <v>7.2123283564190219E-2</v>
      </c>
      <c r="F7" s="50">
        <f>SUM('Screener Output.v0'!K35:K35)/SUM('Screener Output.v0'!K26:K26)</f>
        <v>7.3537075069736182E-2</v>
      </c>
      <c r="G7" s="50">
        <f>SUM('Screener Output.v0'!L35:L35)/SUM('Screener Output.v0'!L26:L26)</f>
        <v>8.2307912433824515E-2</v>
      </c>
      <c r="H7" s="50">
        <f>'Screener Output.v0'!M35/'Screener Output.v0'!M26</f>
        <v>8.3153633530022947E-2</v>
      </c>
      <c r="J7" s="219" t="s">
        <v>360</v>
      </c>
      <c r="K7" s="220">
        <f>POWER('Screener Output.v0'!L35/'Screener Output.v0'!G35,1/5)-1</f>
        <v>0.29159972225297626</v>
      </c>
      <c r="M7" s="2"/>
      <c r="N7" s="2"/>
      <c r="V7" s="248"/>
      <c r="W7" s="248"/>
    </row>
    <row r="8" spans="2:29">
      <c r="B8" s="49" t="s">
        <v>55</v>
      </c>
      <c r="C8" s="51">
        <f>'Screener Output.v0'!H25/'Screener Output.v0'!H60</f>
        <v>1.7742182456877784</v>
      </c>
      <c r="D8" s="51">
        <f>'Screener Output.v0'!I25/'Screener Output.v0'!I60</f>
        <v>1.6879157687622974</v>
      </c>
      <c r="E8" s="51">
        <f>'Screener Output.v0'!J25/'Screener Output.v0'!J60</f>
        <v>1.6525324259012675</v>
      </c>
      <c r="F8" s="51">
        <f>'Screener Output.v0'!K25/'Screener Output.v0'!K60</f>
        <v>1.5071427916907203</v>
      </c>
      <c r="G8" s="51">
        <f>'Screener Output.v0'!L25/'Screener Output.v0'!L60</f>
        <v>1.520720748660614</v>
      </c>
      <c r="H8" s="51">
        <f>'Screener Output.v0'!M26/'Screener Output.v0'!L60</f>
        <v>1.5820184994223776</v>
      </c>
      <c r="J8" s="219" t="s">
        <v>226</v>
      </c>
      <c r="K8" s="220">
        <f>POWER('Screener Output.v0'!L26/'Screener Output.v0'!G26,1/5)-1</f>
        <v>0.14809587532924318</v>
      </c>
      <c r="M8" s="2"/>
      <c r="N8" s="2"/>
      <c r="V8" s="248"/>
      <c r="W8" s="248"/>
    </row>
    <row r="9" spans="2:29">
      <c r="B9" s="49" t="s">
        <v>97</v>
      </c>
      <c r="C9" s="51">
        <f>'Screener Output.v0'!H60/SUM('Screener Output.v0'!H40:H41)</f>
        <v>2.4086274226207696</v>
      </c>
      <c r="D9" s="51">
        <f>'Screener Output.v0'!I60/SUM('Screener Output.v0'!I40:I41)</f>
        <v>2.3213528356261217</v>
      </c>
      <c r="E9" s="51">
        <f>'Screener Output.v0'!J60/SUM('Screener Output.v0'!J40:J41)</f>
        <v>2.1122755114796448</v>
      </c>
      <c r="F9" s="51">
        <f>'Screener Output.v0'!K60/SUM('Screener Output.v0'!K40:K41)</f>
        <v>1.7997427313356531</v>
      </c>
      <c r="G9" s="51">
        <f>'Screener Output.v0'!L60/SUM('Screener Output.v0'!L40:L41)</f>
        <v>1.694368176981385</v>
      </c>
      <c r="H9" s="51"/>
      <c r="J9" s="219" t="s">
        <v>330</v>
      </c>
      <c r="K9" s="220">
        <f>POWER('Screener Output.v0'!L60/'Screener Output.v0'!G60,1/5)-1</f>
        <v>0.16728570390516695</v>
      </c>
      <c r="M9" s="2"/>
      <c r="N9" s="2"/>
      <c r="V9" s="248"/>
      <c r="W9" s="248"/>
    </row>
    <row r="10" spans="2:29">
      <c r="B10" s="52" t="s">
        <v>35</v>
      </c>
      <c r="C10" s="337">
        <f t="shared" ref="C10" si="0">C7*C8*C9</f>
        <v>0.23770668539526218</v>
      </c>
      <c r="D10" s="337">
        <f>D7*D8*D9</f>
        <v>0.2802128508085871</v>
      </c>
      <c r="E10" s="337">
        <f>E7*E8*E9</f>
        <v>0.25175380588590268</v>
      </c>
      <c r="F10" s="337">
        <f>F7*F8*F9</f>
        <v>0.19946705739350443</v>
      </c>
      <c r="G10" s="337">
        <f>G7*G8*G9</f>
        <v>0.21207957500486693</v>
      </c>
      <c r="H10" s="53">
        <f>H7*H8*G9</f>
        <v>0.22289512749438398</v>
      </c>
      <c r="J10" s="219" t="s">
        <v>331</v>
      </c>
      <c r="K10" s="220">
        <f>POWER(SUM('Screener Output.v0'!L40:L41)/SUM('Screener Output.v0'!G40:G41),1/5)-1</f>
        <v>0.28836742995696807</v>
      </c>
      <c r="M10" s="2"/>
      <c r="N10" s="2"/>
      <c r="V10" s="248"/>
      <c r="W10" s="248"/>
    </row>
    <row r="11" spans="2:29">
      <c r="B11" s="52" t="s">
        <v>557</v>
      </c>
      <c r="C11" s="337">
        <f>'Screener Output.v0'!H93</f>
        <v>0.24882609336505862</v>
      </c>
      <c r="D11" s="337">
        <f>'Screener Output.v0'!I93</f>
        <v>0.26534477363679787</v>
      </c>
      <c r="E11" s="337">
        <f>'Screener Output.v0'!J93</f>
        <v>0.2798553819953376</v>
      </c>
      <c r="F11" s="337">
        <f>'Screener Output.v0'!K93</f>
        <v>0.24602719475984783</v>
      </c>
      <c r="G11" s="337">
        <f>'Screener Output.v0'!L93</f>
        <v>0.27576894059503365</v>
      </c>
      <c r="H11" s="53">
        <f>'Screener Output.v0'!M93</f>
        <v>0.29007074362815316</v>
      </c>
      <c r="M11" s="2"/>
      <c r="N11" s="2"/>
      <c r="V11" s="248"/>
      <c r="W11" s="248"/>
    </row>
    <row r="12" spans="2:29" ht="33.75" customHeight="1">
      <c r="B12" s="394" t="s">
        <v>99</v>
      </c>
      <c r="C12" s="394"/>
      <c r="D12" s="394"/>
      <c r="E12" s="394"/>
      <c r="F12" s="394"/>
      <c r="G12" s="394"/>
      <c r="H12" s="328"/>
      <c r="M12" s="2"/>
      <c r="N12" s="2"/>
      <c r="V12" s="248"/>
      <c r="W12" s="248"/>
    </row>
    <row r="13" spans="2:29">
      <c r="B13" s="46"/>
      <c r="M13" s="2"/>
      <c r="N13" s="2"/>
      <c r="V13" s="248"/>
      <c r="W13" s="248"/>
    </row>
    <row r="14" spans="2:29">
      <c r="B14" s="46" t="s">
        <v>102</v>
      </c>
      <c r="M14" s="2"/>
      <c r="N14" s="2"/>
      <c r="V14" s="248"/>
      <c r="W14" s="248"/>
    </row>
    <row r="15" spans="2:29">
      <c r="B15" s="46" t="s">
        <v>101</v>
      </c>
      <c r="M15" s="2"/>
      <c r="N15" s="2"/>
      <c r="V15" s="248"/>
      <c r="W15" s="248"/>
    </row>
    <row r="16" spans="2:29">
      <c r="B16" s="46" t="s">
        <v>100</v>
      </c>
      <c r="M16" s="2"/>
      <c r="N16" s="2"/>
      <c r="V16" s="248"/>
      <c r="W16" s="248"/>
    </row>
    <row r="17" spans="2:23">
      <c r="M17" s="2"/>
      <c r="N17" s="2"/>
      <c r="V17" s="248"/>
      <c r="W17" s="248"/>
    </row>
    <row r="18" spans="2:23">
      <c r="M18" s="2"/>
      <c r="N18" s="2"/>
      <c r="V18" s="248"/>
      <c r="W18" s="248"/>
    </row>
    <row r="19" spans="2:23">
      <c r="F19" s="401" t="s">
        <v>121</v>
      </c>
      <c r="G19" s="395">
        <f>'Screener Output.v0'!L35-'Screener Output.v0'!H35</f>
        <v>95.459999999999894</v>
      </c>
      <c r="H19" s="329"/>
      <c r="J19" s="399">
        <f>G19/G21</f>
        <v>0.19944841419079834</v>
      </c>
      <c r="M19" s="2"/>
      <c r="N19" s="2"/>
      <c r="V19" s="248"/>
      <c r="W19" s="248"/>
    </row>
    <row r="20" spans="2:23" ht="15.75" thickBot="1">
      <c r="B20" s="76"/>
      <c r="F20" s="402"/>
      <c r="G20" s="395"/>
      <c r="H20" s="329"/>
      <c r="I20" s="398" t="s">
        <v>120</v>
      </c>
      <c r="J20" s="400"/>
      <c r="M20" s="2"/>
      <c r="N20" s="2"/>
      <c r="V20" s="248"/>
      <c r="W20" s="248"/>
    </row>
    <row r="21" spans="2:23" ht="15.75" thickTop="1">
      <c r="F21" s="403" t="s">
        <v>122</v>
      </c>
      <c r="G21" s="396">
        <f>'Screener Output.v0'!L41-'Screener Output.v0'!H41</f>
        <v>478.61999999999995</v>
      </c>
      <c r="H21" s="330"/>
      <c r="I21" s="398"/>
      <c r="M21" s="2"/>
      <c r="N21" s="2"/>
      <c r="V21" s="248"/>
      <c r="W21" s="248"/>
    </row>
    <row r="22" spans="2:23">
      <c r="F22" s="403"/>
      <c r="G22" s="397"/>
      <c r="H22" s="330"/>
    </row>
  </sheetData>
  <mergeCells count="9">
    <mergeCell ref="B12:G12"/>
    <mergeCell ref="M6:T6"/>
    <mergeCell ref="V6:AC6"/>
    <mergeCell ref="G19:G20"/>
    <mergeCell ref="G21:G22"/>
    <mergeCell ref="I20:I21"/>
    <mergeCell ref="J19:J20"/>
    <mergeCell ref="F19:F20"/>
    <mergeCell ref="F21:F22"/>
  </mergeCells>
  <pageMargins left="0.7" right="0.7" top="0.75" bottom="0.75" header="0.3" footer="0.3"/>
  <pageSetup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Q63"/>
  <sheetViews>
    <sheetView showGridLines="0" topLeftCell="A7" workbookViewId="0">
      <selection activeCell="N5" sqref="N5"/>
    </sheetView>
  </sheetViews>
  <sheetFormatPr defaultRowHeight="18" customHeight="1"/>
  <cols>
    <col min="1" max="1" width="2.42578125" customWidth="1"/>
    <col min="2" max="2" width="11.85546875" bestFit="1" customWidth="1"/>
    <col min="4" max="4" width="13.85546875" bestFit="1" customWidth="1"/>
    <col min="5" max="5" width="10.7109375" customWidth="1"/>
    <col min="6" max="6" width="12.5703125" style="255" customWidth="1"/>
    <col min="7" max="7" width="15" style="255" bestFit="1" customWidth="1"/>
    <col min="8" max="8" width="13.5703125" style="255" bestFit="1" customWidth="1"/>
    <col min="9" max="9" width="9.140625" style="255"/>
    <col min="10" max="10" width="11.7109375" bestFit="1" customWidth="1"/>
    <col min="12" max="12" width="13.85546875" bestFit="1" customWidth="1"/>
    <col min="13" max="13" width="10.85546875" bestFit="1" customWidth="1"/>
    <col min="14" max="14" width="13.85546875" bestFit="1" customWidth="1"/>
  </cols>
  <sheetData>
    <row r="1" spans="2:17" ht="8.25" customHeight="1"/>
    <row r="3" spans="2:17" s="279" customFormat="1" ht="18" customHeight="1">
      <c r="B3" s="298"/>
      <c r="C3" s="302" t="s">
        <v>430</v>
      </c>
      <c r="D3" s="302" t="s">
        <v>445</v>
      </c>
      <c r="E3" s="302" t="s">
        <v>432</v>
      </c>
      <c r="F3" s="302" t="s">
        <v>95</v>
      </c>
      <c r="G3" s="302" t="s">
        <v>461</v>
      </c>
      <c r="J3" s="308"/>
      <c r="K3" s="302" t="s">
        <v>430</v>
      </c>
      <c r="L3" s="302" t="s">
        <v>445</v>
      </c>
      <c r="M3" s="302" t="s">
        <v>432</v>
      </c>
      <c r="N3" s="302" t="s">
        <v>95</v>
      </c>
    </row>
    <row r="4" spans="2:17" s="279" customFormat="1" ht="18" customHeight="1">
      <c r="B4" s="303" t="s">
        <v>428</v>
      </c>
      <c r="C4" s="304" t="s">
        <v>160</v>
      </c>
      <c r="D4" s="304" t="s">
        <v>435</v>
      </c>
      <c r="E4" s="304" t="s">
        <v>431</v>
      </c>
      <c r="F4" s="304" t="s">
        <v>434</v>
      </c>
      <c r="G4" s="304"/>
      <c r="J4" s="303" t="s">
        <v>412</v>
      </c>
      <c r="K4" s="309">
        <v>3</v>
      </c>
      <c r="L4" s="186">
        <v>1</v>
      </c>
      <c r="M4" s="309">
        <v>4</v>
      </c>
      <c r="N4" s="309">
        <v>1</v>
      </c>
    </row>
    <row r="5" spans="2:17" s="279" customFormat="1" ht="18" customHeight="1">
      <c r="B5" s="303" t="s">
        <v>429</v>
      </c>
      <c r="C5" s="306">
        <f>SUM('Screener Output.v0'!L45:L45)/SUM('Screener Output.v0'!M35:M35)</f>
        <v>0.90387222254965516</v>
      </c>
      <c r="D5" s="304">
        <f>SUM('Screener Output.v0'!L10:L10)/SUM('Screener Output.v0'!L9:L9)</f>
        <v>0.59875843799371242</v>
      </c>
      <c r="E5" s="305">
        <f>SUM('Screener Output.v0'!H62:L62)/SUM('Screener Output.v0'!H35:L35)</f>
        <v>1.2742170365821563</v>
      </c>
      <c r="F5" s="307">
        <f>'Screener Output.v0'!L62</f>
        <v>154.25</v>
      </c>
      <c r="G5" s="307">
        <f>SUM('Screener Output.v0'!H63:L63)</f>
        <v>190.27999999999997</v>
      </c>
      <c r="J5" s="303" t="s">
        <v>429</v>
      </c>
      <c r="K5" s="309">
        <f>IF(C5&lt;=3,3,IF((AND((C5&gt;3),(C5&lt;=5))),2,0))</f>
        <v>3</v>
      </c>
      <c r="L5" s="186">
        <f>IF(Efficiency!D5&gt;1.5,1,IF(AND(Efficiency!D5&gt;1.25,Efficiency!D5&lt;1.5),0.75,IF(AND(Efficiency!D5&gt;1,Efficiency!D5&lt;1.25),0.5,IF(AND(Efficiency!D5&gt;0.9,Efficiency!D5&lt;1),1,0))))</f>
        <v>0</v>
      </c>
      <c r="M5" s="309">
        <f>IF(E5&gt;1,4,IF(AND(E5&gt;0.75,E5&lt;1),2,IF(AND(E5&gt;0.5,E5&lt;0.75),1,IF(AND(E5&gt;0,E5&lt;0.5),1,0))))</f>
        <v>4</v>
      </c>
      <c r="N5" s="309">
        <f>IF(F5&gt;1.5,1,IF(AND(F5&gt;1.25,F5&lt;1.5),0.75,IF(AND(F5&gt;1,F5&lt;1.25),0.5,IF(AND(F5&gt;0.9,F5&lt;1),1,0))))</f>
        <v>1</v>
      </c>
    </row>
    <row r="6" spans="2:17" ht="18" customHeight="1">
      <c r="F6" s="268"/>
      <c r="G6" s="266"/>
      <c r="H6" s="266"/>
      <c r="I6" s="266"/>
      <c r="J6" s="267"/>
      <c r="K6" s="267"/>
      <c r="L6" s="267"/>
    </row>
    <row r="8" spans="2:17" ht="18" customHeight="1">
      <c r="B8" s="387" t="s">
        <v>430</v>
      </c>
      <c r="C8" s="387"/>
      <c r="D8" s="387"/>
      <c r="E8" s="387"/>
      <c r="F8" s="387"/>
      <c r="G8" s="387"/>
      <c r="H8" s="387"/>
      <c r="I8" s="301"/>
      <c r="J8" s="387" t="s">
        <v>451</v>
      </c>
      <c r="K8" s="387"/>
      <c r="L8" s="387"/>
      <c r="M8" s="387"/>
      <c r="N8" s="387"/>
      <c r="O8" s="387"/>
      <c r="P8" s="387"/>
      <c r="Q8" s="387"/>
    </row>
    <row r="21" spans="2:17" ht="8.25" customHeight="1"/>
    <row r="22" spans="2:17" ht="23.25" customHeight="1">
      <c r="J22" s="405" t="s">
        <v>462</v>
      </c>
      <c r="K22" s="405"/>
      <c r="L22" s="405"/>
      <c r="M22" s="405"/>
      <c r="N22" s="405"/>
      <c r="O22" s="405"/>
      <c r="P22" s="405"/>
      <c r="Q22" s="405"/>
    </row>
    <row r="24" spans="2:17" ht="18" customHeight="1">
      <c r="B24" s="387" t="s">
        <v>426</v>
      </c>
      <c r="C24" s="387"/>
      <c r="D24" s="387"/>
      <c r="E24" s="387"/>
      <c r="F24" s="387"/>
      <c r="G24" s="387"/>
      <c r="H24" s="387"/>
      <c r="J24" s="324" t="s">
        <v>452</v>
      </c>
      <c r="K24" s="324"/>
      <c r="L24" s="324"/>
      <c r="M24" s="324"/>
      <c r="N24" s="324"/>
      <c r="O24" s="324"/>
      <c r="P24" s="324"/>
      <c r="Q24" s="324"/>
    </row>
    <row r="35" spans="2:17" ht="9" customHeight="1"/>
    <row r="36" spans="2:17" ht="18" customHeight="1">
      <c r="J36" s="389" t="s">
        <v>468</v>
      </c>
      <c r="K36" s="389"/>
      <c r="L36" s="389"/>
      <c r="M36" s="389"/>
      <c r="N36" s="389"/>
      <c r="O36" s="389"/>
      <c r="P36" s="389"/>
      <c r="Q36" s="389"/>
    </row>
    <row r="38" spans="2:17" ht="18" customHeight="1">
      <c r="B38" s="387" t="s">
        <v>469</v>
      </c>
      <c r="C38" s="387"/>
      <c r="D38" s="387"/>
      <c r="E38" s="387"/>
      <c r="F38" s="387"/>
      <c r="G38" s="387"/>
      <c r="H38" s="387"/>
      <c r="I38"/>
      <c r="J38" s="387" t="s">
        <v>209</v>
      </c>
      <c r="K38" s="387"/>
      <c r="L38" s="387"/>
      <c r="M38" s="387"/>
      <c r="N38" s="387"/>
      <c r="O38" s="387"/>
      <c r="P38" s="387"/>
      <c r="Q38" s="387"/>
    </row>
    <row r="39" spans="2:17" ht="18" customHeight="1">
      <c r="I39"/>
    </row>
    <row r="40" spans="2:17" ht="18" customHeight="1">
      <c r="I40"/>
    </row>
    <row r="41" spans="2:17" ht="18" customHeight="1">
      <c r="I41"/>
    </row>
    <row r="42" spans="2:17" ht="18" customHeight="1">
      <c r="I42"/>
    </row>
    <row r="43" spans="2:17" ht="18" customHeight="1">
      <c r="I43"/>
    </row>
    <row r="44" spans="2:17" ht="18" customHeight="1">
      <c r="I44"/>
    </row>
    <row r="45" spans="2:17" ht="18" customHeight="1">
      <c r="I45"/>
    </row>
    <row r="46" spans="2:17" ht="18" customHeight="1">
      <c r="I46"/>
    </row>
    <row r="47" spans="2:17" ht="18" customHeight="1">
      <c r="I47"/>
    </row>
    <row r="48" spans="2:17" ht="18" customHeight="1">
      <c r="I48"/>
    </row>
    <row r="49" spans="2:17" ht="18" customHeight="1">
      <c r="I49"/>
    </row>
    <row r="50" spans="2:17" ht="8.25" customHeight="1">
      <c r="I50"/>
    </row>
    <row r="51" spans="2:17" ht="18" customHeight="1">
      <c r="I51"/>
    </row>
    <row r="52" spans="2:17" ht="18" customHeight="1">
      <c r="I52"/>
      <c r="J52" s="406" t="s">
        <v>444</v>
      </c>
      <c r="K52" s="406"/>
      <c r="L52" s="406"/>
      <c r="M52" s="406"/>
      <c r="N52" s="406"/>
      <c r="O52" s="406"/>
      <c r="P52" s="406"/>
      <c r="Q52" s="406"/>
    </row>
    <row r="53" spans="2:17" ht="18" customHeight="1">
      <c r="I53"/>
    </row>
    <row r="63" spans="2:17" ht="18" customHeight="1">
      <c r="B63" s="404"/>
      <c r="C63" s="404"/>
      <c r="D63" s="404"/>
      <c r="E63" s="404"/>
      <c r="F63" s="404"/>
      <c r="G63" s="404"/>
      <c r="J63" s="404"/>
      <c r="K63" s="404"/>
      <c r="L63" s="404"/>
      <c r="M63" s="404"/>
      <c r="N63" s="404"/>
      <c r="O63" s="404"/>
      <c r="P63" s="404"/>
      <c r="Q63" s="404"/>
    </row>
  </sheetData>
  <mergeCells count="10">
    <mergeCell ref="B63:G63"/>
    <mergeCell ref="B8:H8"/>
    <mergeCell ref="B24:H24"/>
    <mergeCell ref="J38:Q38"/>
    <mergeCell ref="J36:Q36"/>
    <mergeCell ref="J63:Q63"/>
    <mergeCell ref="J8:Q8"/>
    <mergeCell ref="J22:Q22"/>
    <mergeCell ref="B38:H38"/>
    <mergeCell ref="J52:Q5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R64"/>
  <sheetViews>
    <sheetView showGridLines="0" topLeftCell="A34" workbookViewId="0">
      <selection activeCell="F4" sqref="F4"/>
    </sheetView>
  </sheetViews>
  <sheetFormatPr defaultRowHeight="18" customHeight="1"/>
  <cols>
    <col min="4" max="4" width="12.7109375" customWidth="1"/>
    <col min="5" max="5" width="19.7109375" bestFit="1" customWidth="1"/>
    <col min="6" max="6" width="17.28515625" bestFit="1" customWidth="1"/>
    <col min="11" max="11" width="13.140625" customWidth="1"/>
    <col min="12" max="12" width="19.7109375" bestFit="1" customWidth="1"/>
    <col min="13" max="13" width="17.28515625" bestFit="1" customWidth="1"/>
  </cols>
  <sheetData>
    <row r="2" spans="2:18" s="271" customFormat="1" ht="18" customHeight="1">
      <c r="D2" s="311"/>
      <c r="E2" s="302" t="s">
        <v>147</v>
      </c>
      <c r="F2" s="302" t="s">
        <v>158</v>
      </c>
      <c r="H2" s="272"/>
      <c r="I2" s="272"/>
      <c r="J2" s="272"/>
      <c r="K2" s="314"/>
      <c r="L2" s="302" t="s">
        <v>147</v>
      </c>
      <c r="M2" s="302" t="s">
        <v>158</v>
      </c>
      <c r="O2" s="272"/>
      <c r="P2" s="272"/>
      <c r="Q2" s="272"/>
      <c r="R2" s="272"/>
    </row>
    <row r="3" spans="2:18" s="271" customFormat="1" ht="18" customHeight="1">
      <c r="D3" s="269" t="s">
        <v>428</v>
      </c>
      <c r="E3" s="312">
        <v>0</v>
      </c>
      <c r="F3" s="311" t="s">
        <v>327</v>
      </c>
      <c r="H3" s="272"/>
      <c r="I3" s="272"/>
      <c r="J3" s="272"/>
      <c r="K3" s="270" t="s">
        <v>412</v>
      </c>
      <c r="L3" s="311">
        <v>6</v>
      </c>
      <c r="M3" s="311">
        <v>3</v>
      </c>
      <c r="O3" s="272"/>
      <c r="P3" s="272"/>
      <c r="Q3" s="272"/>
      <c r="R3" s="272"/>
    </row>
    <row r="4" spans="2:18" s="271" customFormat="1" ht="18" customHeight="1">
      <c r="D4" s="269" t="s">
        <v>429</v>
      </c>
      <c r="E4" s="312">
        <f>'Shareholding input'!C7</f>
        <v>0</v>
      </c>
      <c r="F4" s="313">
        <f>SUM('Shareholding input'!C6:C7)-SUM('Shareholding input'!H6:H7)</f>
        <v>-7.4999999999999512E-3</v>
      </c>
      <c r="H4" s="272"/>
      <c r="I4" s="272"/>
      <c r="J4" s="272"/>
      <c r="K4" s="270" t="s">
        <v>429</v>
      </c>
      <c r="L4" s="311">
        <f>IF(E4&gt;0,0,6)</f>
        <v>6</v>
      </c>
      <c r="M4" s="311">
        <f>IF(F4&gt;-0.03,3,IF(F4=0,2,0))</f>
        <v>3</v>
      </c>
      <c r="O4" s="272"/>
      <c r="P4" s="272"/>
      <c r="Q4" s="272"/>
      <c r="R4" s="272"/>
    </row>
    <row r="5" spans="2:18" ht="18" customHeight="1">
      <c r="D5" s="265"/>
      <c r="E5" s="265"/>
      <c r="F5" s="265"/>
      <c r="G5" s="265"/>
      <c r="H5" s="265"/>
      <c r="I5" s="265"/>
      <c r="J5" s="265"/>
      <c r="K5" s="265"/>
      <c r="L5" s="265"/>
      <c r="M5" s="265"/>
      <c r="N5" s="265"/>
      <c r="O5" s="265"/>
      <c r="P5" s="265"/>
      <c r="Q5" s="265"/>
      <c r="R5" s="265"/>
    </row>
    <row r="6" spans="2:18" ht="18" customHeight="1">
      <c r="B6" s="407" t="s">
        <v>454</v>
      </c>
      <c r="C6" s="409"/>
      <c r="D6" s="409"/>
      <c r="E6" s="409"/>
      <c r="F6" s="409"/>
      <c r="G6" s="409"/>
      <c r="I6" s="407" t="s">
        <v>475</v>
      </c>
      <c r="J6" s="407"/>
      <c r="K6" s="407"/>
      <c r="L6" s="407"/>
      <c r="M6" s="407"/>
      <c r="N6" s="407"/>
    </row>
    <row r="7" spans="2:18" ht="18" customHeight="1">
      <c r="B7" s="2"/>
      <c r="C7" s="2"/>
      <c r="D7" s="2"/>
      <c r="E7" s="2"/>
      <c r="F7" s="2"/>
      <c r="G7" s="2"/>
      <c r="H7" s="2"/>
    </row>
    <row r="8" spans="2:18" ht="18" customHeight="1">
      <c r="B8" s="2"/>
      <c r="C8" s="2"/>
      <c r="D8" s="2"/>
      <c r="E8" s="2"/>
      <c r="F8" s="2"/>
      <c r="G8" s="2"/>
      <c r="H8" s="2"/>
    </row>
    <row r="9" spans="2:18" ht="18" customHeight="1">
      <c r="B9" s="2"/>
      <c r="C9" s="2"/>
      <c r="D9" s="2"/>
      <c r="E9" s="2"/>
      <c r="F9" s="2"/>
      <c r="G9" s="2"/>
      <c r="H9" s="2"/>
    </row>
    <row r="10" spans="2:18" ht="18" customHeight="1">
      <c r="B10" s="2"/>
      <c r="C10" s="2"/>
      <c r="D10" s="2"/>
      <c r="E10" s="2"/>
      <c r="F10" s="2"/>
      <c r="G10" s="2"/>
      <c r="H10" s="2"/>
    </row>
    <row r="11" spans="2:18" ht="18" customHeight="1">
      <c r="B11" s="2"/>
      <c r="C11" s="2"/>
      <c r="D11" s="2"/>
      <c r="E11" s="2"/>
      <c r="F11" s="2"/>
      <c r="G11" s="2"/>
      <c r="H11" s="2"/>
    </row>
    <row r="12" spans="2:18" ht="18" customHeight="1">
      <c r="B12" s="2"/>
      <c r="C12" s="2"/>
      <c r="D12" s="2"/>
      <c r="E12" s="2"/>
      <c r="F12" s="2"/>
      <c r="G12" s="2"/>
      <c r="H12" s="2"/>
    </row>
    <row r="13" spans="2:18" ht="18" customHeight="1">
      <c r="B13" s="2"/>
      <c r="C13" s="2"/>
      <c r="D13" s="2"/>
      <c r="E13" s="2"/>
      <c r="F13" s="2"/>
      <c r="G13" s="2"/>
      <c r="H13" s="2"/>
    </row>
    <row r="14" spans="2:18" ht="18" customHeight="1">
      <c r="B14" s="2"/>
      <c r="C14" s="2"/>
      <c r="D14" s="2"/>
      <c r="E14" s="2"/>
      <c r="F14" s="2"/>
      <c r="G14" s="2"/>
      <c r="H14" s="2"/>
    </row>
    <row r="15" spans="2:18" ht="18" customHeight="1">
      <c r="B15" s="2"/>
      <c r="C15" s="2"/>
      <c r="D15" s="2"/>
      <c r="E15" s="2"/>
      <c r="F15" s="2"/>
      <c r="G15" s="2"/>
      <c r="H15" s="2"/>
    </row>
    <row r="16" spans="2:18" ht="18" customHeight="1">
      <c r="B16" s="2"/>
      <c r="C16" s="2"/>
      <c r="D16" s="2"/>
      <c r="E16" s="2"/>
      <c r="F16" s="2"/>
      <c r="G16" s="2"/>
      <c r="H16" s="2"/>
    </row>
    <row r="17" spans="2:14" ht="18" customHeight="1">
      <c r="B17" s="2"/>
      <c r="C17" s="2"/>
      <c r="D17" s="2"/>
      <c r="E17" s="2"/>
      <c r="F17" s="2"/>
      <c r="G17" s="2"/>
      <c r="H17" s="2"/>
    </row>
    <row r="18" spans="2:14" ht="18" customHeight="1">
      <c r="B18" s="2"/>
      <c r="C18" s="2"/>
      <c r="D18" s="2"/>
      <c r="E18" s="2"/>
      <c r="F18" s="2"/>
      <c r="G18" s="2"/>
      <c r="H18" s="2"/>
    </row>
    <row r="19" spans="2:14" ht="28.5" customHeight="1">
      <c r="B19" s="408" t="s">
        <v>441</v>
      </c>
      <c r="C19" s="408"/>
      <c r="D19" s="408"/>
      <c r="E19" s="408"/>
      <c r="F19" s="408"/>
      <c r="G19" s="408"/>
      <c r="H19" s="2"/>
    </row>
    <row r="20" spans="2:14" ht="18" customHeight="1">
      <c r="B20" s="2"/>
      <c r="C20" s="2"/>
      <c r="D20" s="2"/>
      <c r="E20" s="2"/>
      <c r="F20" s="2"/>
      <c r="G20" s="2"/>
      <c r="H20" s="2"/>
      <c r="I20" s="2"/>
      <c r="J20" s="2"/>
      <c r="K20" s="2"/>
      <c r="L20" s="2"/>
    </row>
    <row r="21" spans="2:14" ht="18" customHeight="1">
      <c r="B21" s="387" t="s">
        <v>466</v>
      </c>
      <c r="C21" s="387"/>
      <c r="D21" s="386"/>
      <c r="E21" s="386"/>
      <c r="F21" s="252"/>
      <c r="G21" s="301"/>
      <c r="I21" s="387" t="s">
        <v>465</v>
      </c>
      <c r="J21" s="387"/>
      <c r="K21" s="386"/>
      <c r="L21" s="386"/>
      <c r="M21" s="386"/>
      <c r="N21" s="386"/>
    </row>
    <row r="34" spans="2:8" ht="5.25" customHeight="1"/>
    <row r="35" spans="2:8" ht="33.75" customHeight="1">
      <c r="H35" s="315"/>
    </row>
    <row r="36" spans="2:8" ht="18" customHeight="1">
      <c r="B36" s="387" t="s">
        <v>455</v>
      </c>
      <c r="C36" s="387"/>
      <c r="D36" s="386"/>
      <c r="E36" s="386"/>
      <c r="F36" s="386"/>
      <c r="G36" s="386"/>
    </row>
    <row r="37" spans="2:8" ht="18" customHeight="1">
      <c r="B37" s="2"/>
      <c r="C37" s="2"/>
      <c r="D37" s="2"/>
      <c r="E37" s="2"/>
    </row>
    <row r="38" spans="2:8" ht="18" customHeight="1">
      <c r="B38" s="2"/>
      <c r="C38" s="2"/>
      <c r="D38" s="2"/>
      <c r="E38" s="2"/>
    </row>
    <row r="39" spans="2:8" ht="18" customHeight="1">
      <c r="B39" s="2"/>
      <c r="C39" s="2"/>
      <c r="D39" s="2"/>
      <c r="E39" s="2"/>
    </row>
    <row r="40" spans="2:8" ht="18" customHeight="1">
      <c r="B40" s="2"/>
      <c r="C40" s="2"/>
      <c r="D40" s="2"/>
      <c r="E40" s="2"/>
    </row>
    <row r="41" spans="2:8" ht="18" customHeight="1">
      <c r="B41" s="2"/>
      <c r="C41" s="2"/>
      <c r="D41" s="2"/>
      <c r="E41" s="2"/>
    </row>
    <row r="42" spans="2:8" ht="18" customHeight="1">
      <c r="B42" s="2"/>
      <c r="C42" s="2"/>
      <c r="D42" s="2"/>
      <c r="E42" s="2"/>
    </row>
    <row r="43" spans="2:8" ht="18" customHeight="1">
      <c r="B43" s="2"/>
      <c r="C43" s="2"/>
      <c r="D43" s="2"/>
      <c r="E43" s="2"/>
    </row>
    <row r="44" spans="2:8" ht="18" customHeight="1">
      <c r="B44" s="2"/>
      <c r="C44" s="2"/>
      <c r="D44" s="2"/>
      <c r="E44" s="2"/>
    </row>
    <row r="45" spans="2:8" ht="18" customHeight="1">
      <c r="B45" s="2"/>
      <c r="C45" s="2"/>
      <c r="D45" s="2"/>
      <c r="E45" s="2"/>
    </row>
    <row r="46" spans="2:8" ht="18" customHeight="1">
      <c r="B46" s="2"/>
      <c r="C46" s="2"/>
      <c r="D46" s="2"/>
      <c r="E46" s="2"/>
    </row>
    <row r="47" spans="2:8" ht="18" customHeight="1">
      <c r="B47" s="2"/>
      <c r="C47" s="2"/>
      <c r="D47" s="2"/>
      <c r="E47" s="2"/>
    </row>
    <row r="48" spans="2:8" ht="18" customHeight="1">
      <c r="B48" s="2"/>
      <c r="C48" s="2"/>
      <c r="D48" s="2"/>
      <c r="E48" s="2"/>
    </row>
    <row r="51" spans="2:7" ht="18" customHeight="1">
      <c r="B51" s="252" t="s">
        <v>453</v>
      </c>
      <c r="C51" s="252"/>
      <c r="D51" s="252"/>
      <c r="E51" s="252"/>
      <c r="F51" s="252"/>
    </row>
    <row r="64" spans="2:7" ht="28.5" customHeight="1">
      <c r="B64" s="408" t="s">
        <v>440</v>
      </c>
      <c r="C64" s="408"/>
      <c r="D64" s="408"/>
      <c r="E64" s="408"/>
      <c r="F64" s="408"/>
      <c r="G64" s="408"/>
    </row>
  </sheetData>
  <mergeCells count="12">
    <mergeCell ref="B64:G64"/>
    <mergeCell ref="B19:G19"/>
    <mergeCell ref="B6:G6"/>
    <mergeCell ref="I21:J21"/>
    <mergeCell ref="K21:L21"/>
    <mergeCell ref="M21:N21"/>
    <mergeCell ref="B21:C21"/>
    <mergeCell ref="D21:E21"/>
    <mergeCell ref="I6:N6"/>
    <mergeCell ref="B36:C36"/>
    <mergeCell ref="D36:E36"/>
    <mergeCell ref="F36:G36"/>
  </mergeCells>
  <pageMargins left="0.7" right="0.7" top="0.75" bottom="0.75" header="0.3" footer="0.3"/>
  <ignoredErrors>
    <ignoredError sqref="F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Valuation_Chart</vt:lpstr>
      <vt:lpstr>Valuation_Table</vt:lpstr>
      <vt:lpstr>|</vt:lpstr>
      <vt:lpstr>Scorecard</vt:lpstr>
      <vt:lpstr>Revenue</vt:lpstr>
      <vt:lpstr>Profit</vt:lpstr>
      <vt:lpstr>Dupont</vt:lpstr>
      <vt:lpstr>Efficiency</vt:lpstr>
      <vt:lpstr>Others</vt:lpstr>
      <vt:lpstr>Piotroski</vt:lpstr>
      <vt:lpstr>Altman</vt:lpstr>
      <vt:lpstr>||</vt:lpstr>
      <vt:lpstr>Analysis</vt:lpstr>
      <vt:lpstr>MICAP</vt:lpstr>
      <vt:lpstr>Screener Output.v0</vt:lpstr>
      <vt:lpstr>Screener Input</vt:lpstr>
      <vt:lpstr>Shareholding input</vt:lpstr>
      <vt:lpstr>Annual Report input</vt:lpstr>
      <vt:lpstr>Phil Fisher</vt:lpstr>
      <vt:lpstr>dividend</vt:lpstr>
      <vt:lpstr>UPDATE</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Bothra</dc:creator>
  <cp:lastModifiedBy>HP</cp:lastModifiedBy>
  <cp:lastPrinted>2015-03-07T00:34:42Z</cp:lastPrinted>
  <dcterms:created xsi:type="dcterms:W3CDTF">2014-03-30T00:53:10Z</dcterms:created>
  <dcterms:modified xsi:type="dcterms:W3CDTF">2018-09-30T07:14:42Z</dcterms:modified>
</cp:coreProperties>
</file>