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72" windowWidth="11796" windowHeight="5496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Sheet1" sheetId="7" state="hidden" r:id="rId7"/>
  </sheets>
  <definedNames>
    <definedName name="_xlnm.Print_Titles" localSheetId="4">Customization!$1:$1</definedName>
    <definedName name="UPDATE">'Data Sheet'!$E$1</definedName>
  </definedNames>
  <calcPr calcId="124519"/>
</workbook>
</file>

<file path=xl/calcChain.xml><?xml version="1.0" encoding="utf-8"?>
<calcChain xmlns="http://schemas.openxmlformats.org/spreadsheetml/2006/main">
  <c r="O19" i="5"/>
  <c r="O20"/>
  <c r="O21"/>
  <c r="O38"/>
  <c r="O39"/>
  <c r="O40"/>
  <c r="O45"/>
  <c r="O47"/>
  <c r="O49"/>
  <c r="O50"/>
  <c r="O66"/>
  <c r="O67"/>
  <c r="O81"/>
  <c r="O99"/>
  <c r="O114"/>
  <c r="O119"/>
  <c r="O124"/>
  <c r="O129"/>
  <c r="O146"/>
  <c r="O158"/>
  <c r="O162"/>
  <c r="O164"/>
  <c r="O174"/>
  <c r="O179"/>
  <c r="O184"/>
  <c r="O189"/>
  <c r="O194"/>
  <c r="O199"/>
  <c r="O204"/>
  <c r="O209"/>
  <c r="O214"/>
  <c r="O219"/>
  <c r="O254"/>
  <c r="O268"/>
  <c r="O269"/>
  <c r="O283"/>
  <c r="O305"/>
  <c r="O316"/>
  <c r="O319"/>
  <c r="O331"/>
  <c r="O333"/>
  <c r="O339"/>
  <c r="O344"/>
  <c r="O367"/>
  <c r="O368"/>
  <c r="O372"/>
  <c r="O383"/>
  <c r="O384"/>
  <c r="O389"/>
  <c r="O390"/>
  <c r="O393"/>
  <c r="O406"/>
  <c r="O411"/>
  <c r="O416"/>
  <c r="O417"/>
  <c r="O418"/>
  <c r="O434"/>
  <c r="O436"/>
  <c r="O442"/>
  <c r="O443"/>
  <c r="O444"/>
  <c r="O445"/>
  <c r="O447"/>
  <c r="O449"/>
  <c r="O453"/>
  <c r="O456"/>
  <c r="O460"/>
  <c r="O465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32"/>
  <c r="O536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6"/>
  <c r="O662"/>
  <c r="O673"/>
  <c r="O682"/>
  <c r="O687"/>
  <c r="O688"/>
  <c r="O710"/>
  <c r="O719"/>
  <c r="O723"/>
  <c r="O726"/>
  <c r="O732"/>
  <c r="O733"/>
  <c r="O734"/>
  <c r="O735"/>
  <c r="O736"/>
  <c r="N50"/>
  <c r="M19"/>
  <c r="N19" s="1"/>
  <c r="M20"/>
  <c r="N20" s="1"/>
  <c r="M21"/>
  <c r="N21" s="1"/>
  <c r="M38"/>
  <c r="N38" s="1"/>
  <c r="M39"/>
  <c r="N39" s="1"/>
  <c r="M40"/>
  <c r="N40" s="1"/>
  <c r="M45"/>
  <c r="N45" s="1"/>
  <c r="M47"/>
  <c r="N47" s="1"/>
  <c r="M49"/>
  <c r="N49" s="1"/>
  <c r="M50"/>
  <c r="M66"/>
  <c r="N66" s="1"/>
  <c r="M67"/>
  <c r="N67" s="1"/>
  <c r="M81"/>
  <c r="N81" s="1"/>
  <c r="M99"/>
  <c r="N99" s="1"/>
  <c r="M114"/>
  <c r="N114" s="1"/>
  <c r="M119"/>
  <c r="N119" s="1"/>
  <c r="M124"/>
  <c r="N124" s="1"/>
  <c r="M129"/>
  <c r="N129" s="1"/>
  <c r="M146"/>
  <c r="N146" s="1"/>
  <c r="M158"/>
  <c r="N158" s="1"/>
  <c r="M162"/>
  <c r="N162" s="1"/>
  <c r="M164"/>
  <c r="N164" s="1"/>
  <c r="M174"/>
  <c r="N174" s="1"/>
  <c r="M179"/>
  <c r="N179" s="1"/>
  <c r="M184"/>
  <c r="N184" s="1"/>
  <c r="M189"/>
  <c r="N189" s="1"/>
  <c r="M194"/>
  <c r="N194" s="1"/>
  <c r="M199"/>
  <c r="N199" s="1"/>
  <c r="M204"/>
  <c r="N204" s="1"/>
  <c r="M209"/>
  <c r="N209" s="1"/>
  <c r="M214"/>
  <c r="N214" s="1"/>
  <c r="M219"/>
  <c r="N219" s="1"/>
  <c r="M254"/>
  <c r="N254" s="1"/>
  <c r="M268"/>
  <c r="N268" s="1"/>
  <c r="M269"/>
  <c r="N269" s="1"/>
  <c r="M283"/>
  <c r="N283" s="1"/>
  <c r="M305"/>
  <c r="N305" s="1"/>
  <c r="M316"/>
  <c r="N316" s="1"/>
  <c r="M319"/>
  <c r="N319" s="1"/>
  <c r="M331"/>
  <c r="N331" s="1"/>
  <c r="M333"/>
  <c r="N333" s="1"/>
  <c r="M339"/>
  <c r="N339" s="1"/>
  <c r="M344"/>
  <c r="N344" s="1"/>
  <c r="M367"/>
  <c r="N367" s="1"/>
  <c r="M368"/>
  <c r="N368" s="1"/>
  <c r="M372"/>
  <c r="N372" s="1"/>
  <c r="M383"/>
  <c r="N383" s="1"/>
  <c r="M384"/>
  <c r="N384" s="1"/>
  <c r="M389"/>
  <c r="N389" s="1"/>
  <c r="M390"/>
  <c r="N390" s="1"/>
  <c r="M393"/>
  <c r="N393" s="1"/>
  <c r="M406"/>
  <c r="N406" s="1"/>
  <c r="M411"/>
  <c r="N411" s="1"/>
  <c r="M416"/>
  <c r="N416" s="1"/>
  <c r="M417"/>
  <c r="N417" s="1"/>
  <c r="M418"/>
  <c r="N418" s="1"/>
  <c r="M434"/>
  <c r="N434" s="1"/>
  <c r="M436"/>
  <c r="N436" s="1"/>
  <c r="M442"/>
  <c r="N442" s="1"/>
  <c r="M443"/>
  <c r="N443" s="1"/>
  <c r="M444"/>
  <c r="N444" s="1"/>
  <c r="M445"/>
  <c r="N445" s="1"/>
  <c r="M447"/>
  <c r="N447" s="1"/>
  <c r="M449"/>
  <c r="N449" s="1"/>
  <c r="M453"/>
  <c r="N453" s="1"/>
  <c r="M456"/>
  <c r="N456" s="1"/>
  <c r="M460"/>
  <c r="N460" s="1"/>
  <c r="M465"/>
  <c r="N465" s="1"/>
  <c r="M473"/>
  <c r="N473" s="1"/>
  <c r="M497"/>
  <c r="N497" s="1"/>
  <c r="M498"/>
  <c r="N498" s="1"/>
  <c r="M516"/>
  <c r="N516" s="1"/>
  <c r="M517"/>
  <c r="N517" s="1"/>
  <c r="M523"/>
  <c r="N523" s="1"/>
  <c r="M532"/>
  <c r="N532" s="1"/>
  <c r="M536"/>
  <c r="N536" s="1"/>
  <c r="M546"/>
  <c r="N546" s="1"/>
  <c r="M547"/>
  <c r="N547" s="1"/>
  <c r="M548"/>
  <c r="N548" s="1"/>
  <c r="M549"/>
  <c r="N549" s="1"/>
  <c r="M550"/>
  <c r="N550" s="1"/>
  <c r="M551"/>
  <c r="N551" s="1"/>
  <c r="M552"/>
  <c r="N552" s="1"/>
  <c r="M553"/>
  <c r="N553" s="1"/>
  <c r="M554"/>
  <c r="N554" s="1"/>
  <c r="M555"/>
  <c r="N555" s="1"/>
  <c r="M556"/>
  <c r="N556" s="1"/>
  <c r="M557"/>
  <c r="N557" s="1"/>
  <c r="M558"/>
  <c r="N558" s="1"/>
  <c r="M559"/>
  <c r="N559" s="1"/>
  <c r="M560"/>
  <c r="N560" s="1"/>
  <c r="M561"/>
  <c r="N561" s="1"/>
  <c r="M562"/>
  <c r="N562" s="1"/>
  <c r="M563"/>
  <c r="N563" s="1"/>
  <c r="M564"/>
  <c r="N564" s="1"/>
  <c r="M565"/>
  <c r="N565" s="1"/>
  <c r="M566"/>
  <c r="N566" s="1"/>
  <c r="M567"/>
  <c r="N567" s="1"/>
  <c r="M568"/>
  <c r="N568" s="1"/>
  <c r="M569"/>
  <c r="N569" s="1"/>
  <c r="M570"/>
  <c r="N570" s="1"/>
  <c r="M571"/>
  <c r="N571" s="1"/>
  <c r="M572"/>
  <c r="N572" s="1"/>
  <c r="M573"/>
  <c r="N573" s="1"/>
  <c r="M574"/>
  <c r="N574" s="1"/>
  <c r="M575"/>
  <c r="N575" s="1"/>
  <c r="M576"/>
  <c r="N576" s="1"/>
  <c r="M578"/>
  <c r="N578" s="1"/>
  <c r="M579"/>
  <c r="N579" s="1"/>
  <c r="M580"/>
  <c r="N580" s="1"/>
  <c r="M581"/>
  <c r="N581" s="1"/>
  <c r="M582"/>
  <c r="N582" s="1"/>
  <c r="M583"/>
  <c r="N583" s="1"/>
  <c r="M584"/>
  <c r="N584" s="1"/>
  <c r="M585"/>
  <c r="N585" s="1"/>
  <c r="M586"/>
  <c r="N586" s="1"/>
  <c r="M587"/>
  <c r="N587" s="1"/>
  <c r="M588"/>
  <c r="N588" s="1"/>
  <c r="M589"/>
  <c r="N589" s="1"/>
  <c r="M590"/>
  <c r="N590" s="1"/>
  <c r="M591"/>
  <c r="N591" s="1"/>
  <c r="M592"/>
  <c r="N592" s="1"/>
  <c r="M593"/>
  <c r="N593" s="1"/>
  <c r="M594"/>
  <c r="N594" s="1"/>
  <c r="M595"/>
  <c r="N595" s="1"/>
  <c r="M596"/>
  <c r="N596" s="1"/>
  <c r="M597"/>
  <c r="N597" s="1"/>
  <c r="M598"/>
  <c r="N598" s="1"/>
  <c r="M599"/>
  <c r="N599" s="1"/>
  <c r="M600"/>
  <c r="N600" s="1"/>
  <c r="M601"/>
  <c r="N601" s="1"/>
  <c r="M602"/>
  <c r="N602" s="1"/>
  <c r="M603"/>
  <c r="N603" s="1"/>
  <c r="M604"/>
  <c r="N604" s="1"/>
  <c r="M605"/>
  <c r="N605" s="1"/>
  <c r="M606"/>
  <c r="N606" s="1"/>
  <c r="M607"/>
  <c r="N607" s="1"/>
  <c r="M608"/>
  <c r="N608" s="1"/>
  <c r="M610"/>
  <c r="N610" s="1"/>
  <c r="M611"/>
  <c r="N611" s="1"/>
  <c r="M612"/>
  <c r="N612" s="1"/>
  <c r="M613"/>
  <c r="N613" s="1"/>
  <c r="M614"/>
  <c r="N614" s="1"/>
  <c r="M615"/>
  <c r="N615" s="1"/>
  <c r="M616"/>
  <c r="N616" s="1"/>
  <c r="M617"/>
  <c r="N617" s="1"/>
  <c r="M618"/>
  <c r="N618" s="1"/>
  <c r="M619"/>
  <c r="N619" s="1"/>
  <c r="M620"/>
  <c r="N620" s="1"/>
  <c r="M621"/>
  <c r="N621" s="1"/>
  <c r="M622"/>
  <c r="N622" s="1"/>
  <c r="M623"/>
  <c r="N623" s="1"/>
  <c r="M624"/>
  <c r="N624" s="1"/>
  <c r="M625"/>
  <c r="N625" s="1"/>
  <c r="M626"/>
  <c r="N626" s="1"/>
  <c r="M627"/>
  <c r="N627" s="1"/>
  <c r="M628"/>
  <c r="N628" s="1"/>
  <c r="M629"/>
  <c r="N629" s="1"/>
  <c r="M630"/>
  <c r="N630" s="1"/>
  <c r="M631"/>
  <c r="N631" s="1"/>
  <c r="M632"/>
  <c r="N632" s="1"/>
  <c r="M633"/>
  <c r="N633" s="1"/>
  <c r="M634"/>
  <c r="N634" s="1"/>
  <c r="M635"/>
  <c r="N635" s="1"/>
  <c r="M636"/>
  <c r="N636" s="1"/>
  <c r="M637"/>
  <c r="N637" s="1"/>
  <c r="M638"/>
  <c r="N638" s="1"/>
  <c r="M639"/>
  <c r="N639" s="1"/>
  <c r="M640"/>
  <c r="N640" s="1"/>
  <c r="M642"/>
  <c r="N642" s="1"/>
  <c r="M643"/>
  <c r="N643" s="1"/>
  <c r="M646"/>
  <c r="N646" s="1"/>
  <c r="M662"/>
  <c r="N662" s="1"/>
  <c r="M673"/>
  <c r="N673" s="1"/>
  <c r="M682"/>
  <c r="N682" s="1"/>
  <c r="M687"/>
  <c r="N687" s="1"/>
  <c r="M688"/>
  <c r="N688" s="1"/>
  <c r="M710"/>
  <c r="N710" s="1"/>
  <c r="M719"/>
  <c r="N719" s="1"/>
  <c r="M723"/>
  <c r="N723" s="1"/>
  <c r="M726"/>
  <c r="N726" s="1"/>
  <c r="M732"/>
  <c r="N732" s="1"/>
  <c r="M733"/>
  <c r="N733" s="1"/>
  <c r="M734"/>
  <c r="N734" s="1"/>
  <c r="M735"/>
  <c r="N735" s="1"/>
  <c r="M736"/>
  <c r="N736" s="1"/>
  <c r="A698"/>
  <c r="A701"/>
  <c r="A700"/>
  <c r="A660" l="1"/>
  <c r="A659"/>
  <c r="A656"/>
  <c r="A654"/>
  <c r="A655"/>
  <c r="A649"/>
  <c r="A650"/>
  <c r="A651"/>
  <c r="A652"/>
  <c r="A653"/>
  <c r="A648"/>
  <c r="C711"/>
  <c r="D711"/>
  <c r="E711"/>
  <c r="F711"/>
  <c r="G711"/>
  <c r="H711"/>
  <c r="I711"/>
  <c r="J711"/>
  <c r="K711"/>
  <c r="B711"/>
  <c r="D713"/>
  <c r="E713"/>
  <c r="F713"/>
  <c r="G713"/>
  <c r="H713"/>
  <c r="I713"/>
  <c r="J713"/>
  <c r="K713"/>
  <c r="C713"/>
  <c r="D712"/>
  <c r="E712"/>
  <c r="F712"/>
  <c r="G712"/>
  <c r="H712"/>
  <c r="I712"/>
  <c r="J712"/>
  <c r="K712"/>
  <c r="C712"/>
  <c r="A288"/>
  <c r="A699"/>
  <c r="E325"/>
  <c r="F325"/>
  <c r="G325"/>
  <c r="H325"/>
  <c r="I325"/>
  <c r="J325"/>
  <c r="K325"/>
  <c r="D325"/>
  <c r="A702"/>
  <c r="B702"/>
  <c r="B700"/>
  <c r="C700"/>
  <c r="D700"/>
  <c r="Y778"/>
  <c r="X778"/>
  <c r="W778"/>
  <c r="V778"/>
  <c r="U778"/>
  <c r="T778"/>
  <c r="S778"/>
  <c r="R778"/>
  <c r="P778"/>
  <c r="Q778"/>
  <c r="B785"/>
  <c r="M778"/>
  <c r="K778"/>
  <c r="J778"/>
  <c r="I778"/>
  <c r="H778"/>
  <c r="G778"/>
  <c r="F778"/>
  <c r="E778"/>
  <c r="D769"/>
  <c r="E769" s="1"/>
  <c r="F769" s="1"/>
  <c r="G769" s="1"/>
  <c r="H769" s="1"/>
  <c r="I769" s="1"/>
  <c r="J769" s="1"/>
  <c r="K769" s="1"/>
  <c r="M769" s="1"/>
  <c r="N769" s="1"/>
  <c r="O769" s="1"/>
  <c r="P769" s="1"/>
  <c r="Q769" s="1"/>
  <c r="R769" s="1"/>
  <c r="S769" s="1"/>
  <c r="T769" s="1"/>
  <c r="U769" s="1"/>
  <c r="V769" s="1"/>
  <c r="W769" s="1"/>
  <c r="X769" s="1"/>
  <c r="Y769" s="1"/>
  <c r="E767"/>
  <c r="F767" s="1"/>
  <c r="G767" s="1"/>
  <c r="H767" s="1"/>
  <c r="I767" s="1"/>
  <c r="J767" s="1"/>
  <c r="K767" s="1"/>
  <c r="M767" s="1"/>
  <c r="N767" s="1"/>
  <c r="O767" s="1"/>
  <c r="P767" s="1"/>
  <c r="Q767" s="1"/>
  <c r="R767" s="1"/>
  <c r="S767" s="1"/>
  <c r="T767" s="1"/>
  <c r="U767" s="1"/>
  <c r="V767" s="1"/>
  <c r="W767" s="1"/>
  <c r="X767" s="1"/>
  <c r="Y767" s="1"/>
  <c r="C225"/>
  <c r="D225"/>
  <c r="E225"/>
  <c r="F225"/>
  <c r="G225"/>
  <c r="H225"/>
  <c r="I225"/>
  <c r="J225"/>
  <c r="K225"/>
  <c r="B225"/>
  <c r="B741"/>
  <c r="A746"/>
  <c r="A754"/>
  <c r="A737"/>
  <c r="B679"/>
  <c r="C679"/>
  <c r="D679"/>
  <c r="E679"/>
  <c r="B678"/>
  <c r="C678"/>
  <c r="D678"/>
  <c r="E678"/>
  <c r="B677"/>
  <c r="C677"/>
  <c r="B676"/>
  <c r="C676"/>
  <c r="A675"/>
  <c r="A676"/>
  <c r="A677"/>
  <c r="A678"/>
  <c r="A679"/>
  <c r="A674"/>
  <c r="A691"/>
  <c r="A694"/>
  <c r="B692"/>
  <c r="A692"/>
  <c r="C731"/>
  <c r="D731"/>
  <c r="E731"/>
  <c r="F731"/>
  <c r="G731"/>
  <c r="H731"/>
  <c r="I731"/>
  <c r="J731"/>
  <c r="K731"/>
  <c r="B731"/>
  <c r="A728"/>
  <c r="A729"/>
  <c r="A730"/>
  <c r="A727"/>
  <c r="C721"/>
  <c r="D721"/>
  <c r="E721"/>
  <c r="F721"/>
  <c r="G721"/>
  <c r="H721"/>
  <c r="I721"/>
  <c r="J721"/>
  <c r="K721"/>
  <c r="B721"/>
  <c r="C720"/>
  <c r="D720"/>
  <c r="E720"/>
  <c r="F720"/>
  <c r="G720"/>
  <c r="H720"/>
  <c r="I720"/>
  <c r="J720"/>
  <c r="K720"/>
  <c r="B720"/>
  <c r="C718"/>
  <c r="D718"/>
  <c r="E718"/>
  <c r="F718"/>
  <c r="G718"/>
  <c r="H718"/>
  <c r="I718"/>
  <c r="J718"/>
  <c r="K718"/>
  <c r="B718"/>
  <c r="C709"/>
  <c r="D709"/>
  <c r="E709"/>
  <c r="F709"/>
  <c r="G709"/>
  <c r="H709"/>
  <c r="I709"/>
  <c r="J709"/>
  <c r="K709"/>
  <c r="B709"/>
  <c r="C697"/>
  <c r="D697"/>
  <c r="E697"/>
  <c r="F697"/>
  <c r="G697"/>
  <c r="H697"/>
  <c r="I697"/>
  <c r="J697"/>
  <c r="K697"/>
  <c r="B697"/>
  <c r="C696"/>
  <c r="D696"/>
  <c r="E696"/>
  <c r="F696"/>
  <c r="G696"/>
  <c r="H696"/>
  <c r="I696"/>
  <c r="J696"/>
  <c r="K696"/>
  <c r="B696"/>
  <c r="C695"/>
  <c r="D695"/>
  <c r="E695"/>
  <c r="F695"/>
  <c r="G695"/>
  <c r="H695"/>
  <c r="I695"/>
  <c r="J695"/>
  <c r="K695"/>
  <c r="B695"/>
  <c r="C683"/>
  <c r="B683"/>
  <c r="C672"/>
  <c r="D672"/>
  <c r="E672"/>
  <c r="F672"/>
  <c r="G672"/>
  <c r="H672"/>
  <c r="I672"/>
  <c r="J672"/>
  <c r="K672"/>
  <c r="B672"/>
  <c r="B670"/>
  <c r="C562"/>
  <c r="C627"/>
  <c r="C626"/>
  <c r="C595"/>
  <c r="C594"/>
  <c r="C563"/>
  <c r="C635"/>
  <c r="C634"/>
  <c r="C631"/>
  <c r="C617" s="1"/>
  <c r="C622" s="1"/>
  <c r="C630"/>
  <c r="C603"/>
  <c r="C602"/>
  <c r="C599"/>
  <c r="C590" s="1"/>
  <c r="C598"/>
  <c r="M325" l="1"/>
  <c r="O325"/>
  <c r="O711"/>
  <c r="M731"/>
  <c r="N731" s="1"/>
  <c r="M225"/>
  <c r="O709"/>
  <c r="O720"/>
  <c r="O731"/>
  <c r="O225"/>
  <c r="O696"/>
  <c r="M696"/>
  <c r="N696" s="1"/>
  <c r="M720"/>
  <c r="N720" s="1"/>
  <c r="M713"/>
  <c r="N713" s="1"/>
  <c r="M672"/>
  <c r="N672" s="1"/>
  <c r="M695"/>
  <c r="N695" s="1"/>
  <c r="M697"/>
  <c r="N697" s="1"/>
  <c r="M718"/>
  <c r="N718" s="1"/>
  <c r="M721"/>
  <c r="N721" s="1"/>
  <c r="M712"/>
  <c r="N712" s="1"/>
  <c r="O713"/>
  <c r="M709"/>
  <c r="N709" s="1"/>
  <c r="M711"/>
  <c r="N711" s="1"/>
  <c r="O672"/>
  <c r="O695"/>
  <c r="O697"/>
  <c r="O718"/>
  <c r="O721"/>
  <c r="N225"/>
  <c r="N325"/>
  <c r="O712"/>
  <c r="O778"/>
  <c r="N778"/>
  <c r="K722"/>
  <c r="G722"/>
  <c r="C722"/>
  <c r="J722"/>
  <c r="F722"/>
  <c r="B722"/>
  <c r="H722"/>
  <c r="D722"/>
  <c r="I722"/>
  <c r="E722"/>
  <c r="C628"/>
  <c r="C596"/>
  <c r="C564"/>
  <c r="C585"/>
  <c r="C636"/>
  <c r="C640" s="1"/>
  <c r="C600"/>
  <c r="C607" s="1"/>
  <c r="C632"/>
  <c r="C639" s="1"/>
  <c r="C604"/>
  <c r="C608" s="1"/>
  <c r="C567"/>
  <c r="C553" s="1"/>
  <c r="C558" s="1"/>
  <c r="C566"/>
  <c r="C571"/>
  <c r="C570"/>
  <c r="C551"/>
  <c r="C549"/>
  <c r="C548"/>
  <c r="C555" s="1"/>
  <c r="C547"/>
  <c r="C574" s="1"/>
  <c r="C247"/>
  <c r="D247"/>
  <c r="E247"/>
  <c r="F247"/>
  <c r="G247"/>
  <c r="H247"/>
  <c r="I247"/>
  <c r="J247"/>
  <c r="K247"/>
  <c r="B247"/>
  <c r="C90"/>
  <c r="D90"/>
  <c r="E90"/>
  <c r="F90"/>
  <c r="G90"/>
  <c r="H90"/>
  <c r="I90"/>
  <c r="J90"/>
  <c r="K90"/>
  <c r="B90"/>
  <c r="C253"/>
  <c r="D253"/>
  <c r="E253"/>
  <c r="F253"/>
  <c r="G253"/>
  <c r="H253"/>
  <c r="I253"/>
  <c r="J253"/>
  <c r="K253"/>
  <c r="B253"/>
  <c r="C244"/>
  <c r="C657" s="1"/>
  <c r="D244"/>
  <c r="E244"/>
  <c r="E657" s="1"/>
  <c r="F244"/>
  <c r="F657" s="1"/>
  <c r="G244"/>
  <c r="H244"/>
  <c r="H657" s="1"/>
  <c r="I244"/>
  <c r="J244"/>
  <c r="J657" s="1"/>
  <c r="K244"/>
  <c r="K657" s="1"/>
  <c r="C52"/>
  <c r="C647" s="1"/>
  <c r="D52"/>
  <c r="E52"/>
  <c r="E647" s="1"/>
  <c r="F52"/>
  <c r="F647" s="1"/>
  <c r="G52"/>
  <c r="H52"/>
  <c r="H647" s="1"/>
  <c r="I52"/>
  <c r="J52"/>
  <c r="J647" s="1"/>
  <c r="B52"/>
  <c r="B647" s="1"/>
  <c r="K52"/>
  <c r="K647" s="1"/>
  <c r="B5" i="1"/>
  <c r="C5"/>
  <c r="D5"/>
  <c r="E5"/>
  <c r="F5"/>
  <c r="G5"/>
  <c r="H5"/>
  <c r="I5"/>
  <c r="J5"/>
  <c r="K5"/>
  <c r="O90" i="5" l="1"/>
  <c r="I657"/>
  <c r="O657" s="1"/>
  <c r="O244"/>
  <c r="I647"/>
  <c r="O647" s="1"/>
  <c r="O52"/>
  <c r="G657"/>
  <c r="M253"/>
  <c r="N253" s="1"/>
  <c r="M247"/>
  <c r="N247" s="1"/>
  <c r="M722"/>
  <c r="N722" s="1"/>
  <c r="O253"/>
  <c r="O247"/>
  <c r="O722"/>
  <c r="D647"/>
  <c r="M52"/>
  <c r="N52" s="1"/>
  <c r="G647"/>
  <c r="D657"/>
  <c r="M244"/>
  <c r="N244" s="1"/>
  <c r="M90"/>
  <c r="N90" s="1"/>
  <c r="D577"/>
  <c r="M577" s="1"/>
  <c r="N577" s="1"/>
  <c r="C568"/>
  <c r="C575" s="1"/>
  <c r="C572"/>
  <c r="C576" s="1"/>
  <c r="C613"/>
  <c r="C581"/>
  <c r="C612"/>
  <c r="C615"/>
  <c r="C611"/>
  <c r="C638" s="1"/>
  <c r="C641" s="1"/>
  <c r="C583"/>
  <c r="C580"/>
  <c r="C579"/>
  <c r="C606" s="1"/>
  <c r="C609" s="1"/>
  <c r="M657" l="1"/>
  <c r="N657" s="1"/>
  <c r="M647"/>
  <c r="N647" s="1"/>
  <c r="D641"/>
  <c r="M641" s="1"/>
  <c r="N641" s="1"/>
  <c r="C619"/>
  <c r="D609"/>
  <c r="M609" s="1"/>
  <c r="N609" s="1"/>
  <c r="C587"/>
  <c r="C577"/>
  <c r="D524"/>
  <c r="E524"/>
  <c r="F524"/>
  <c r="G524"/>
  <c r="H524"/>
  <c r="I524"/>
  <c r="J524"/>
  <c r="K524"/>
  <c r="C524"/>
  <c r="D224"/>
  <c r="E224"/>
  <c r="E689" s="1"/>
  <c r="F224"/>
  <c r="F689" s="1"/>
  <c r="G224"/>
  <c r="H224"/>
  <c r="H689" s="1"/>
  <c r="I224"/>
  <c r="J224"/>
  <c r="J689" s="1"/>
  <c r="K224"/>
  <c r="K689" s="1"/>
  <c r="C224"/>
  <c r="C689" s="1"/>
  <c r="B224"/>
  <c r="B689" s="1"/>
  <c r="C400"/>
  <c r="D400"/>
  <c r="E400"/>
  <c r="F400"/>
  <c r="G400"/>
  <c r="H400"/>
  <c r="I400"/>
  <c r="J400"/>
  <c r="K400"/>
  <c r="B400"/>
  <c r="C394"/>
  <c r="D394"/>
  <c r="E394"/>
  <c r="F394"/>
  <c r="G394"/>
  <c r="H394"/>
  <c r="I394"/>
  <c r="J394"/>
  <c r="K394"/>
  <c r="B394"/>
  <c r="C398"/>
  <c r="C407" s="1"/>
  <c r="D398"/>
  <c r="E398"/>
  <c r="F398"/>
  <c r="F407" s="1"/>
  <c r="G398"/>
  <c r="H398"/>
  <c r="H407" s="1"/>
  <c r="I398"/>
  <c r="J398"/>
  <c r="J407" s="1"/>
  <c r="K398"/>
  <c r="K407" s="1"/>
  <c r="B398"/>
  <c r="B407" s="1"/>
  <c r="C399"/>
  <c r="C408" s="1"/>
  <c r="D399"/>
  <c r="E399"/>
  <c r="E408" s="1"/>
  <c r="F399"/>
  <c r="F408" s="1"/>
  <c r="G399"/>
  <c r="H399"/>
  <c r="H408" s="1"/>
  <c r="I399"/>
  <c r="J399"/>
  <c r="K399"/>
  <c r="K408" s="1"/>
  <c r="B399"/>
  <c r="B408" s="1"/>
  <c r="C391"/>
  <c r="D391"/>
  <c r="E391"/>
  <c r="F391"/>
  <c r="G391"/>
  <c r="H391"/>
  <c r="I391"/>
  <c r="J391"/>
  <c r="K391"/>
  <c r="B391"/>
  <c r="O394" l="1"/>
  <c r="G407"/>
  <c r="D407"/>
  <c r="M398"/>
  <c r="N398" s="1"/>
  <c r="G408"/>
  <c r="I407"/>
  <c r="O407" s="1"/>
  <c r="O398"/>
  <c r="D689"/>
  <c r="M224"/>
  <c r="M524"/>
  <c r="N524" s="1"/>
  <c r="O391"/>
  <c r="O400"/>
  <c r="O524"/>
  <c r="I408"/>
  <c r="O399"/>
  <c r="G689"/>
  <c r="N224"/>
  <c r="D408"/>
  <c r="M399"/>
  <c r="N399" s="1"/>
  <c r="I689"/>
  <c r="O689" s="1"/>
  <c r="O224"/>
  <c r="M391"/>
  <c r="N391" s="1"/>
  <c r="M400"/>
  <c r="N400" s="1"/>
  <c r="M394"/>
  <c r="N394" s="1"/>
  <c r="E407"/>
  <c r="E543"/>
  <c r="C543"/>
  <c r="C545"/>
  <c r="C544"/>
  <c r="K537"/>
  <c r="G537"/>
  <c r="J537"/>
  <c r="F537"/>
  <c r="I545"/>
  <c r="E545"/>
  <c r="J544"/>
  <c r="F543"/>
  <c r="C537"/>
  <c r="H537"/>
  <c r="D537"/>
  <c r="J545"/>
  <c r="F545"/>
  <c r="I537"/>
  <c r="E537"/>
  <c r="H545"/>
  <c r="D543"/>
  <c r="H544"/>
  <c r="D544"/>
  <c r="D545"/>
  <c r="K543"/>
  <c r="G543"/>
  <c r="K544"/>
  <c r="G544"/>
  <c r="K545"/>
  <c r="G545"/>
  <c r="H543"/>
  <c r="I543"/>
  <c r="I544"/>
  <c r="E544"/>
  <c r="J408"/>
  <c r="J543"/>
  <c r="F544"/>
  <c r="C93"/>
  <c r="D93"/>
  <c r="E93"/>
  <c r="F93"/>
  <c r="G93"/>
  <c r="H93"/>
  <c r="I93"/>
  <c r="J93"/>
  <c r="K93"/>
  <c r="B93"/>
  <c r="C91"/>
  <c r="D91"/>
  <c r="E91"/>
  <c r="F91"/>
  <c r="G91"/>
  <c r="H91"/>
  <c r="I91"/>
  <c r="J91"/>
  <c r="K91"/>
  <c r="B91"/>
  <c r="L18" i="6"/>
  <c r="L19"/>
  <c r="L20"/>
  <c r="L21"/>
  <c r="L22"/>
  <c r="L23"/>
  <c r="L24"/>
  <c r="L25"/>
  <c r="L26"/>
  <c r="L27"/>
  <c r="L28"/>
  <c r="L29"/>
  <c r="L30"/>
  <c r="L31"/>
  <c r="L42"/>
  <c r="L43"/>
  <c r="L44"/>
  <c r="L45"/>
  <c r="L46"/>
  <c r="L47"/>
  <c r="L48"/>
  <c r="L49"/>
  <c r="L50"/>
  <c r="L57"/>
  <c r="L58"/>
  <c r="L59"/>
  <c r="L60"/>
  <c r="L61"/>
  <c r="L62"/>
  <c r="L63"/>
  <c r="L64"/>
  <c r="L65"/>
  <c r="L66"/>
  <c r="L67"/>
  <c r="L68"/>
  <c r="L69"/>
  <c r="L70"/>
  <c r="L72"/>
  <c r="L82"/>
  <c r="L83"/>
  <c r="L84"/>
  <c r="L85"/>
  <c r="L90"/>
  <c r="L17"/>
  <c r="B244" i="5"/>
  <c r="B657" s="1"/>
  <c r="C276"/>
  <c r="D276"/>
  <c r="E276"/>
  <c r="F276"/>
  <c r="G276"/>
  <c r="H276"/>
  <c r="I276"/>
  <c r="J276"/>
  <c r="K276"/>
  <c r="B276"/>
  <c r="C290"/>
  <c r="D290"/>
  <c r="E290"/>
  <c r="F290"/>
  <c r="G290"/>
  <c r="H290"/>
  <c r="I290"/>
  <c r="J290"/>
  <c r="K290"/>
  <c r="B290"/>
  <c r="C289"/>
  <c r="D289"/>
  <c r="E289"/>
  <c r="F289"/>
  <c r="G289"/>
  <c r="H289"/>
  <c r="I289"/>
  <c r="J289"/>
  <c r="K289"/>
  <c r="B289"/>
  <c r="C286"/>
  <c r="D286"/>
  <c r="E286"/>
  <c r="F286"/>
  <c r="G286"/>
  <c r="H286"/>
  <c r="I286"/>
  <c r="J286"/>
  <c r="K286"/>
  <c r="B286"/>
  <c r="C285"/>
  <c r="D285"/>
  <c r="E285"/>
  <c r="F285"/>
  <c r="G285"/>
  <c r="H285"/>
  <c r="I285"/>
  <c r="J285"/>
  <c r="K285"/>
  <c r="B285"/>
  <c r="C284"/>
  <c r="D284"/>
  <c r="E284"/>
  <c r="F284"/>
  <c r="G284"/>
  <c r="H284"/>
  <c r="I284"/>
  <c r="J284"/>
  <c r="K284"/>
  <c r="B284"/>
  <c r="C287"/>
  <c r="D287"/>
  <c r="E287"/>
  <c r="F287"/>
  <c r="G287"/>
  <c r="H287"/>
  <c r="I287"/>
  <c r="J287"/>
  <c r="K287"/>
  <c r="B287"/>
  <c r="B291" s="1"/>
  <c r="B292" s="1"/>
  <c r="O284" l="1"/>
  <c r="O286"/>
  <c r="O290"/>
  <c r="M689"/>
  <c r="N689" s="1"/>
  <c r="M93"/>
  <c r="N93" s="1"/>
  <c r="M537"/>
  <c r="O93"/>
  <c r="O543"/>
  <c r="M545"/>
  <c r="N545" s="1"/>
  <c r="M544"/>
  <c r="M276"/>
  <c r="N276" s="1"/>
  <c r="M408"/>
  <c r="N408" s="1"/>
  <c r="O408"/>
  <c r="O285"/>
  <c r="O289"/>
  <c r="O276"/>
  <c r="M91"/>
  <c r="O544"/>
  <c r="M543"/>
  <c r="N543" s="1"/>
  <c r="O545"/>
  <c r="M407"/>
  <c r="N407" s="1"/>
  <c r="M287"/>
  <c r="N287" s="1"/>
  <c r="M285"/>
  <c r="N285" s="1"/>
  <c r="M289"/>
  <c r="N289" s="1"/>
  <c r="N91"/>
  <c r="N544"/>
  <c r="O287"/>
  <c r="M284"/>
  <c r="N284" s="1"/>
  <c r="M286"/>
  <c r="N286" s="1"/>
  <c r="M290"/>
  <c r="N290" s="1"/>
  <c r="O91"/>
  <c r="O537"/>
  <c r="N537"/>
  <c r="C299"/>
  <c r="C300"/>
  <c r="E299"/>
  <c r="C291"/>
  <c r="C292" s="1"/>
  <c r="C297"/>
  <c r="D291"/>
  <c r="D297"/>
  <c r="E291"/>
  <c r="E292" s="1"/>
  <c r="E297"/>
  <c r="D300"/>
  <c r="F299"/>
  <c r="E300"/>
  <c r="F297"/>
  <c r="F300"/>
  <c r="D299"/>
  <c r="H300"/>
  <c r="J299"/>
  <c r="K300"/>
  <c r="G300"/>
  <c r="I299"/>
  <c r="I300"/>
  <c r="K299"/>
  <c r="G299"/>
  <c r="J300"/>
  <c r="H299"/>
  <c r="H291"/>
  <c r="H292" s="1"/>
  <c r="H297"/>
  <c r="I291"/>
  <c r="I297"/>
  <c r="J291"/>
  <c r="J292" s="1"/>
  <c r="J297"/>
  <c r="F291"/>
  <c r="F292" s="1"/>
  <c r="K291"/>
  <c r="K297"/>
  <c r="G291"/>
  <c r="G297"/>
  <c r="E294"/>
  <c r="I294"/>
  <c r="B294"/>
  <c r="H294"/>
  <c r="D294"/>
  <c r="J293"/>
  <c r="G293"/>
  <c r="C293"/>
  <c r="B293"/>
  <c r="H293"/>
  <c r="D293"/>
  <c r="J294"/>
  <c r="F294"/>
  <c r="I293"/>
  <c r="E293"/>
  <c r="K294"/>
  <c r="G294"/>
  <c r="C294"/>
  <c r="K293"/>
  <c r="F293"/>
  <c r="D354"/>
  <c r="E354"/>
  <c r="F354"/>
  <c r="G354"/>
  <c r="H354"/>
  <c r="I354"/>
  <c r="J354"/>
  <c r="K354"/>
  <c r="C354"/>
  <c r="C80"/>
  <c r="D80"/>
  <c r="E80"/>
  <c r="F80"/>
  <c r="G80"/>
  <c r="H80"/>
  <c r="I80"/>
  <c r="J80"/>
  <c r="K80"/>
  <c r="C79"/>
  <c r="D79"/>
  <c r="E79"/>
  <c r="F79"/>
  <c r="G79"/>
  <c r="H79"/>
  <c r="I79"/>
  <c r="J79"/>
  <c r="K79"/>
  <c r="C78"/>
  <c r="D78"/>
  <c r="E78"/>
  <c r="F78"/>
  <c r="G78"/>
  <c r="H78"/>
  <c r="I78"/>
  <c r="J78"/>
  <c r="K78"/>
  <c r="C77"/>
  <c r="D77"/>
  <c r="E77"/>
  <c r="F77"/>
  <c r="G77"/>
  <c r="H77"/>
  <c r="I77"/>
  <c r="J77"/>
  <c r="K77"/>
  <c r="C76"/>
  <c r="D76"/>
  <c r="E76"/>
  <c r="F76"/>
  <c r="G76"/>
  <c r="H76"/>
  <c r="I76"/>
  <c r="J76"/>
  <c r="K76"/>
  <c r="C75"/>
  <c r="D75"/>
  <c r="E75"/>
  <c r="F75"/>
  <c r="G75"/>
  <c r="H75"/>
  <c r="I75"/>
  <c r="J75"/>
  <c r="K75"/>
  <c r="C74"/>
  <c r="D74"/>
  <c r="E74"/>
  <c r="F74"/>
  <c r="G74"/>
  <c r="H74"/>
  <c r="I74"/>
  <c r="J74"/>
  <c r="K74"/>
  <c r="C73"/>
  <c r="D73"/>
  <c r="E73"/>
  <c r="F73"/>
  <c r="G73"/>
  <c r="H73"/>
  <c r="I73"/>
  <c r="J73"/>
  <c r="K73"/>
  <c r="C72"/>
  <c r="D72"/>
  <c r="E72"/>
  <c r="F72"/>
  <c r="G72"/>
  <c r="H72"/>
  <c r="I72"/>
  <c r="J72"/>
  <c r="K72"/>
  <c r="C71"/>
  <c r="D71"/>
  <c r="E71"/>
  <c r="F71"/>
  <c r="G71"/>
  <c r="H71"/>
  <c r="I71"/>
  <c r="J71"/>
  <c r="K71"/>
  <c r="C70"/>
  <c r="D70"/>
  <c r="E70"/>
  <c r="F70"/>
  <c r="G70"/>
  <c r="H70"/>
  <c r="I70"/>
  <c r="J70"/>
  <c r="K70"/>
  <c r="C69"/>
  <c r="D69"/>
  <c r="E69"/>
  <c r="F69"/>
  <c r="G69"/>
  <c r="H69"/>
  <c r="I69"/>
  <c r="J69"/>
  <c r="K69"/>
  <c r="C68"/>
  <c r="D68"/>
  <c r="E68"/>
  <c r="F68"/>
  <c r="G68"/>
  <c r="H68"/>
  <c r="I68"/>
  <c r="J68"/>
  <c r="K68"/>
  <c r="B80"/>
  <c r="B79"/>
  <c r="B78"/>
  <c r="B77"/>
  <c r="B76"/>
  <c r="B75"/>
  <c r="B74"/>
  <c r="B73"/>
  <c r="B72"/>
  <c r="B71"/>
  <c r="B70"/>
  <c r="B69"/>
  <c r="B68"/>
  <c r="B249"/>
  <c r="O293" l="1"/>
  <c r="O71"/>
  <c r="O75"/>
  <c r="O79"/>
  <c r="O297"/>
  <c r="O68"/>
  <c r="O72"/>
  <c r="O76"/>
  <c r="O80"/>
  <c r="O299"/>
  <c r="D292"/>
  <c r="M291"/>
  <c r="N291" s="1"/>
  <c r="M70"/>
  <c r="N70" s="1"/>
  <c r="M74"/>
  <c r="N74" s="1"/>
  <c r="M69"/>
  <c r="N69" s="1"/>
  <c r="O70"/>
  <c r="M73"/>
  <c r="N73" s="1"/>
  <c r="O74"/>
  <c r="M77"/>
  <c r="N77" s="1"/>
  <c r="O78"/>
  <c r="O354"/>
  <c r="O294"/>
  <c r="M300"/>
  <c r="N300" s="1"/>
  <c r="I292"/>
  <c r="O291"/>
  <c r="G292"/>
  <c r="M71"/>
  <c r="N71" s="1"/>
  <c r="M75"/>
  <c r="N75" s="1"/>
  <c r="M79"/>
  <c r="N79" s="1"/>
  <c r="M78"/>
  <c r="N78" s="1"/>
  <c r="M354"/>
  <c r="N354" s="1"/>
  <c r="M294"/>
  <c r="N294" s="1"/>
  <c r="O300"/>
  <c r="M68"/>
  <c r="N68" s="1"/>
  <c r="O69"/>
  <c r="M72"/>
  <c r="N72" s="1"/>
  <c r="O73"/>
  <c r="M76"/>
  <c r="N76" s="1"/>
  <c r="O77"/>
  <c r="M80"/>
  <c r="N80" s="1"/>
  <c r="M293"/>
  <c r="N293" s="1"/>
  <c r="M299"/>
  <c r="N299" s="1"/>
  <c r="M297"/>
  <c r="N297" s="1"/>
  <c r="K292"/>
  <c r="C302"/>
  <c r="E301"/>
  <c r="C301"/>
  <c r="D301"/>
  <c r="F301"/>
  <c r="E302"/>
  <c r="F302"/>
  <c r="D302"/>
  <c r="J301"/>
  <c r="H302"/>
  <c r="G302"/>
  <c r="I301"/>
  <c r="H301"/>
  <c r="G301"/>
  <c r="K302"/>
  <c r="J302"/>
  <c r="I302"/>
  <c r="K301"/>
  <c r="C267"/>
  <c r="D267"/>
  <c r="E267"/>
  <c r="F267"/>
  <c r="G267"/>
  <c r="H267"/>
  <c r="I267"/>
  <c r="J267"/>
  <c r="K267"/>
  <c r="B267"/>
  <c r="C265"/>
  <c r="D265"/>
  <c r="E265"/>
  <c r="F265"/>
  <c r="G265"/>
  <c r="H265"/>
  <c r="I265"/>
  <c r="J265"/>
  <c r="K265"/>
  <c r="C266"/>
  <c r="D266"/>
  <c r="E266"/>
  <c r="F266"/>
  <c r="G266"/>
  <c r="H266"/>
  <c r="I266"/>
  <c r="J266"/>
  <c r="K266"/>
  <c r="B266"/>
  <c r="B265"/>
  <c r="C264"/>
  <c r="D264"/>
  <c r="E264"/>
  <c r="F264"/>
  <c r="G264"/>
  <c r="H264"/>
  <c r="I264"/>
  <c r="J264"/>
  <c r="K264"/>
  <c r="B264"/>
  <c r="C263"/>
  <c r="D263"/>
  <c r="E263"/>
  <c r="F263"/>
  <c r="G263"/>
  <c r="H263"/>
  <c r="I263"/>
  <c r="J263"/>
  <c r="K263"/>
  <c r="B263"/>
  <c r="C262"/>
  <c r="D262"/>
  <c r="E262"/>
  <c r="F262"/>
  <c r="G262"/>
  <c r="H262"/>
  <c r="I262"/>
  <c r="J262"/>
  <c r="K262"/>
  <c r="B262"/>
  <c r="C261"/>
  <c r="D261"/>
  <c r="E261"/>
  <c r="F261"/>
  <c r="G261"/>
  <c r="H261"/>
  <c r="I261"/>
  <c r="J261"/>
  <c r="K261"/>
  <c r="B261"/>
  <c r="C259"/>
  <c r="D259"/>
  <c r="E259"/>
  <c r="F259"/>
  <c r="G259"/>
  <c r="H259"/>
  <c r="I259"/>
  <c r="J259"/>
  <c r="K259"/>
  <c r="B259"/>
  <c r="C260"/>
  <c r="D260"/>
  <c r="E260"/>
  <c r="F260"/>
  <c r="G260"/>
  <c r="H260"/>
  <c r="I260"/>
  <c r="J260"/>
  <c r="K260"/>
  <c r="B260"/>
  <c r="O259" l="1"/>
  <c r="O262"/>
  <c r="O264"/>
  <c r="O265"/>
  <c r="M259"/>
  <c r="N259" s="1"/>
  <c r="M262"/>
  <c r="N262" s="1"/>
  <c r="M264"/>
  <c r="N264" s="1"/>
  <c r="M265"/>
  <c r="N265" s="1"/>
  <c r="M266"/>
  <c r="N266" s="1"/>
  <c r="M292"/>
  <c r="N292" s="1"/>
  <c r="M260"/>
  <c r="N260" s="1"/>
  <c r="M261"/>
  <c r="N261" s="1"/>
  <c r="M263"/>
  <c r="N263" s="1"/>
  <c r="O266"/>
  <c r="M267"/>
  <c r="N267" s="1"/>
  <c r="O301"/>
  <c r="M302"/>
  <c r="N302" s="1"/>
  <c r="M301"/>
  <c r="N301" s="1"/>
  <c r="O260"/>
  <c r="O261"/>
  <c r="O263"/>
  <c r="O267"/>
  <c r="O302"/>
  <c r="O292"/>
  <c r="C250"/>
  <c r="D250"/>
  <c r="E250"/>
  <c r="F250"/>
  <c r="G250"/>
  <c r="H250"/>
  <c r="I250"/>
  <c r="J250"/>
  <c r="K250"/>
  <c r="B250"/>
  <c r="C249"/>
  <c r="D249"/>
  <c r="E249"/>
  <c r="F249"/>
  <c r="G249"/>
  <c r="H249"/>
  <c r="I249"/>
  <c r="J249"/>
  <c r="K249"/>
  <c r="C527"/>
  <c r="D527"/>
  <c r="E527"/>
  <c r="F527"/>
  <c r="G527"/>
  <c r="H527"/>
  <c r="I527"/>
  <c r="J527"/>
  <c r="K527"/>
  <c r="B527"/>
  <c r="B524"/>
  <c r="O527" l="1"/>
  <c r="O249"/>
  <c r="M527"/>
  <c r="N527" s="1"/>
  <c r="M250"/>
  <c r="N250" s="1"/>
  <c r="O250"/>
  <c r="M249"/>
  <c r="N249" s="1"/>
  <c r="I531"/>
  <c r="J528"/>
  <c r="F528"/>
  <c r="J531"/>
  <c r="F531"/>
  <c r="E531"/>
  <c r="K531"/>
  <c r="G531"/>
  <c r="D531"/>
  <c r="D528"/>
  <c r="H531"/>
  <c r="E528"/>
  <c r="K528"/>
  <c r="G528"/>
  <c r="H528"/>
  <c r="I528"/>
  <c r="M528" l="1"/>
  <c r="N528" s="1"/>
  <c r="O528"/>
  <c r="M531"/>
  <c r="N531" s="1"/>
  <c r="O531"/>
  <c r="C467"/>
  <c r="C257" s="1"/>
  <c r="D467"/>
  <c r="E467"/>
  <c r="E257" s="1"/>
  <c r="F467"/>
  <c r="F257" s="1"/>
  <c r="G467"/>
  <c r="H467"/>
  <c r="H257" s="1"/>
  <c r="I467"/>
  <c r="J467"/>
  <c r="J257" s="1"/>
  <c r="K467"/>
  <c r="B467"/>
  <c r="B257" s="1"/>
  <c r="C468"/>
  <c r="D358"/>
  <c r="E358"/>
  <c r="F358"/>
  <c r="G358"/>
  <c r="H358"/>
  <c r="I358"/>
  <c r="J358"/>
  <c r="K358"/>
  <c r="C358"/>
  <c r="C65"/>
  <c r="D65"/>
  <c r="E65"/>
  <c r="F65"/>
  <c r="G65"/>
  <c r="H65"/>
  <c r="I65"/>
  <c r="J65"/>
  <c r="K65"/>
  <c r="O358" l="1"/>
  <c r="D257"/>
  <c r="M467"/>
  <c r="N467" s="1"/>
  <c r="M358"/>
  <c r="N358" s="1"/>
  <c r="M65"/>
  <c r="N65" s="1"/>
  <c r="G257"/>
  <c r="I257"/>
  <c r="O467"/>
  <c r="O65"/>
  <c r="K257"/>
  <c r="C359"/>
  <c r="H359"/>
  <c r="D359"/>
  <c r="K359"/>
  <c r="G359"/>
  <c r="E359"/>
  <c r="J359"/>
  <c r="F359"/>
  <c r="I359"/>
  <c r="D458"/>
  <c r="E458"/>
  <c r="F458"/>
  <c r="G458"/>
  <c r="H458"/>
  <c r="I458"/>
  <c r="J458"/>
  <c r="K458"/>
  <c r="C458"/>
  <c r="C461"/>
  <c r="D461"/>
  <c r="E461"/>
  <c r="F461"/>
  <c r="G461"/>
  <c r="H461"/>
  <c r="I461"/>
  <c r="J461"/>
  <c r="K461"/>
  <c r="B461"/>
  <c r="C463"/>
  <c r="D463"/>
  <c r="E463"/>
  <c r="F463"/>
  <c r="G463"/>
  <c r="H463"/>
  <c r="I463"/>
  <c r="J463"/>
  <c r="K463"/>
  <c r="B463"/>
  <c r="D451"/>
  <c r="E451"/>
  <c r="F451"/>
  <c r="G451"/>
  <c r="H451"/>
  <c r="I451"/>
  <c r="J451"/>
  <c r="K451"/>
  <c r="C451"/>
  <c r="B424"/>
  <c r="C429" s="1"/>
  <c r="C419"/>
  <c r="D419"/>
  <c r="E419"/>
  <c r="F419"/>
  <c r="G419"/>
  <c r="H419"/>
  <c r="I419"/>
  <c r="J419"/>
  <c r="K419"/>
  <c r="B419"/>
  <c r="O461" l="1"/>
  <c r="O359"/>
  <c r="M257"/>
  <c r="N257" s="1"/>
  <c r="O257"/>
  <c r="M419"/>
  <c r="N419" s="1"/>
  <c r="M458"/>
  <c r="N458" s="1"/>
  <c r="O419"/>
  <c r="M451"/>
  <c r="O463"/>
  <c r="O458"/>
  <c r="M359"/>
  <c r="N359" s="1"/>
  <c r="N451"/>
  <c r="M463"/>
  <c r="N463" s="1"/>
  <c r="O451"/>
  <c r="M461"/>
  <c r="N461" s="1"/>
  <c r="C452"/>
  <c r="I452"/>
  <c r="E452"/>
  <c r="J452"/>
  <c r="F452"/>
  <c r="K452"/>
  <c r="G452"/>
  <c r="H452"/>
  <c r="D452"/>
  <c r="C471"/>
  <c r="D471"/>
  <c r="E471"/>
  <c r="F471"/>
  <c r="G471"/>
  <c r="H471"/>
  <c r="I471"/>
  <c r="J471"/>
  <c r="K471"/>
  <c r="B471"/>
  <c r="D468"/>
  <c r="E468"/>
  <c r="F468"/>
  <c r="G468"/>
  <c r="H468"/>
  <c r="I468"/>
  <c r="J468"/>
  <c r="K468"/>
  <c r="O468" l="1"/>
  <c r="M452"/>
  <c r="N452" s="1"/>
  <c r="M471"/>
  <c r="N471" s="1"/>
  <c r="O452"/>
  <c r="M468"/>
  <c r="N468" s="1"/>
  <c r="O471"/>
  <c r="D424"/>
  <c r="E424"/>
  <c r="F429" s="1"/>
  <c r="F424"/>
  <c r="G429" s="1"/>
  <c r="G424"/>
  <c r="H424"/>
  <c r="I429" s="1"/>
  <c r="I424"/>
  <c r="J424"/>
  <c r="K429" s="1"/>
  <c r="K424"/>
  <c r="C424"/>
  <c r="D429" s="1"/>
  <c r="H429" l="1"/>
  <c r="J429"/>
  <c r="O429" s="1"/>
  <c r="O424"/>
  <c r="E429"/>
  <c r="M424"/>
  <c r="N424" s="1"/>
  <c r="K466"/>
  <c r="G466"/>
  <c r="C466"/>
  <c r="H466"/>
  <c r="D466"/>
  <c r="I466"/>
  <c r="E466"/>
  <c r="J466"/>
  <c r="F466"/>
  <c r="F425"/>
  <c r="F360" s="1"/>
  <c r="H425"/>
  <c r="H360" s="1"/>
  <c r="D425"/>
  <c r="I425"/>
  <c r="E425"/>
  <c r="E360" s="1"/>
  <c r="K425"/>
  <c r="K360" s="1"/>
  <c r="G425"/>
  <c r="C425"/>
  <c r="C360" s="1"/>
  <c r="J425"/>
  <c r="J360" s="1"/>
  <c r="M429" l="1"/>
  <c r="N429" s="1"/>
  <c r="G360"/>
  <c r="G412" s="1"/>
  <c r="M466"/>
  <c r="N466" s="1"/>
  <c r="O466"/>
  <c r="D360"/>
  <c r="D412" s="1"/>
  <c r="M425"/>
  <c r="N425" s="1"/>
  <c r="I360"/>
  <c r="O360" s="1"/>
  <c r="O425"/>
  <c r="E412"/>
  <c r="E413" s="1"/>
  <c r="C412"/>
  <c r="C413" s="1"/>
  <c r="F412"/>
  <c r="F413" s="1"/>
  <c r="K412"/>
  <c r="K413" s="1"/>
  <c r="H412"/>
  <c r="H413" s="1"/>
  <c r="J412"/>
  <c r="J413" s="1"/>
  <c r="K426"/>
  <c r="G426"/>
  <c r="I427"/>
  <c r="G427"/>
  <c r="K428"/>
  <c r="E426"/>
  <c r="H426"/>
  <c r="J427"/>
  <c r="I426"/>
  <c r="K427"/>
  <c r="H427"/>
  <c r="F426"/>
  <c r="J426"/>
  <c r="C239"/>
  <c r="D239"/>
  <c r="E239"/>
  <c r="F239"/>
  <c r="G239"/>
  <c r="H239"/>
  <c r="I239"/>
  <c r="J239"/>
  <c r="K239"/>
  <c r="B239"/>
  <c r="C238"/>
  <c r="D238"/>
  <c r="E238"/>
  <c r="F238"/>
  <c r="G238"/>
  <c r="H238"/>
  <c r="I238"/>
  <c r="J238"/>
  <c r="K238"/>
  <c r="B238"/>
  <c r="I412" l="1"/>
  <c r="I413" s="1"/>
  <c r="O413" s="1"/>
  <c r="O239"/>
  <c r="I380"/>
  <c r="M360"/>
  <c r="K380"/>
  <c r="D413"/>
  <c r="M412"/>
  <c r="N412" s="1"/>
  <c r="O412"/>
  <c r="G413"/>
  <c r="M238"/>
  <c r="O426"/>
  <c r="O238"/>
  <c r="M426"/>
  <c r="N426" s="1"/>
  <c r="H380"/>
  <c r="J380"/>
  <c r="M239"/>
  <c r="N239" s="1"/>
  <c r="O427"/>
  <c r="D380"/>
  <c r="F380"/>
  <c r="N360"/>
  <c r="M427"/>
  <c r="N427" s="1"/>
  <c r="O428"/>
  <c r="M428"/>
  <c r="N428" s="1"/>
  <c r="G380"/>
  <c r="E380"/>
  <c r="J446"/>
  <c r="J674"/>
  <c r="H275"/>
  <c r="H675"/>
  <c r="K446"/>
  <c r="K674"/>
  <c r="C446"/>
  <c r="C674"/>
  <c r="E275"/>
  <c r="E675"/>
  <c r="B446"/>
  <c r="B674"/>
  <c r="H446"/>
  <c r="H674"/>
  <c r="D446"/>
  <c r="D674"/>
  <c r="J275"/>
  <c r="J675"/>
  <c r="F275"/>
  <c r="F675"/>
  <c r="F446"/>
  <c r="F674"/>
  <c r="B275"/>
  <c r="B675"/>
  <c r="D275"/>
  <c r="D675"/>
  <c r="G446"/>
  <c r="G674"/>
  <c r="I275"/>
  <c r="I675"/>
  <c r="I446"/>
  <c r="I674"/>
  <c r="E446"/>
  <c r="E674"/>
  <c r="K275"/>
  <c r="K675"/>
  <c r="G275"/>
  <c r="G675"/>
  <c r="C275"/>
  <c r="C675"/>
  <c r="K470"/>
  <c r="K469"/>
  <c r="C469"/>
  <c r="C470"/>
  <c r="G469"/>
  <c r="G470"/>
  <c r="K242"/>
  <c r="K678" s="1"/>
  <c r="I242"/>
  <c r="K243"/>
  <c r="K679" s="1"/>
  <c r="G243"/>
  <c r="J242"/>
  <c r="J678" s="1"/>
  <c r="D241"/>
  <c r="G242"/>
  <c r="H243"/>
  <c r="H679" s="1"/>
  <c r="F243"/>
  <c r="H242"/>
  <c r="H678" s="1"/>
  <c r="I243"/>
  <c r="I240"/>
  <c r="E240"/>
  <c r="E676" s="1"/>
  <c r="K241"/>
  <c r="K677" s="1"/>
  <c r="G241"/>
  <c r="F242"/>
  <c r="J243"/>
  <c r="J679" s="1"/>
  <c r="J240"/>
  <c r="J676" s="1"/>
  <c r="F240"/>
  <c r="F676" s="1"/>
  <c r="H241"/>
  <c r="H677" s="1"/>
  <c r="D240"/>
  <c r="K240"/>
  <c r="K676" s="1"/>
  <c r="G240"/>
  <c r="I241"/>
  <c r="E241"/>
  <c r="E677" s="1"/>
  <c r="J241"/>
  <c r="J677" s="1"/>
  <c r="F241"/>
  <c r="F677" s="1"/>
  <c r="H240"/>
  <c r="H676" s="1"/>
  <c r="A473"/>
  <c r="O674" l="1"/>
  <c r="O446"/>
  <c r="O380"/>
  <c r="F679"/>
  <c r="M243"/>
  <c r="N243" s="1"/>
  <c r="G676"/>
  <c r="G677"/>
  <c r="I679"/>
  <c r="O679" s="1"/>
  <c r="O243"/>
  <c r="G678"/>
  <c r="I677"/>
  <c r="O677" s="1"/>
  <c r="O241"/>
  <c r="F678"/>
  <c r="M242"/>
  <c r="N242" s="1"/>
  <c r="I676"/>
  <c r="O676" s="1"/>
  <c r="O240"/>
  <c r="G679"/>
  <c r="G472"/>
  <c r="O275"/>
  <c r="M275"/>
  <c r="N275" s="1"/>
  <c r="M413"/>
  <c r="N413" s="1"/>
  <c r="O675"/>
  <c r="M675"/>
  <c r="N675" s="1"/>
  <c r="D676"/>
  <c r="M240"/>
  <c r="N240" s="1"/>
  <c r="D677"/>
  <c r="M241"/>
  <c r="N241" s="1"/>
  <c r="I678"/>
  <c r="O678" s="1"/>
  <c r="O242"/>
  <c r="M446"/>
  <c r="N446" s="1"/>
  <c r="M380"/>
  <c r="N380" s="1"/>
  <c r="M674"/>
  <c r="N674" s="1"/>
  <c r="K681"/>
  <c r="K680"/>
  <c r="K472"/>
  <c r="I469"/>
  <c r="I470"/>
  <c r="J469"/>
  <c r="J470"/>
  <c r="J472" s="1"/>
  <c r="H469"/>
  <c r="H470"/>
  <c r="H472" s="1"/>
  <c r="F469"/>
  <c r="F470"/>
  <c r="D469"/>
  <c r="D470"/>
  <c r="E469"/>
  <c r="E470"/>
  <c r="M469" l="1"/>
  <c r="N469" s="1"/>
  <c r="O469"/>
  <c r="M470"/>
  <c r="M677"/>
  <c r="N677" s="1"/>
  <c r="M678"/>
  <c r="N678" s="1"/>
  <c r="M676"/>
  <c r="N676" s="1"/>
  <c r="I472"/>
  <c r="O472" s="1"/>
  <c r="O470"/>
  <c r="O681"/>
  <c r="M681"/>
  <c r="N681" s="1"/>
  <c r="O680"/>
  <c r="M680"/>
  <c r="N680" s="1"/>
  <c r="M679"/>
  <c r="N679" s="1"/>
  <c r="N470"/>
  <c r="C334"/>
  <c r="D334"/>
  <c r="E334"/>
  <c r="F334"/>
  <c r="G334"/>
  <c r="H334"/>
  <c r="I334"/>
  <c r="J334"/>
  <c r="K334"/>
  <c r="B334"/>
  <c r="C149"/>
  <c r="D149"/>
  <c r="E149"/>
  <c r="F149"/>
  <c r="G149"/>
  <c r="H149"/>
  <c r="I149"/>
  <c r="J149"/>
  <c r="K149"/>
  <c r="B149"/>
  <c r="A1"/>
  <c r="A644" s="1"/>
  <c r="O334" l="1"/>
  <c r="O149"/>
  <c r="M334"/>
  <c r="N334" s="1"/>
  <c r="M149"/>
  <c r="M472"/>
  <c r="N472" s="1"/>
  <c r="B323"/>
  <c r="C323"/>
  <c r="D323"/>
  <c r="E323"/>
  <c r="F323"/>
  <c r="G323"/>
  <c r="H323"/>
  <c r="I323"/>
  <c r="J323"/>
  <c r="K323"/>
  <c r="A323"/>
  <c r="M323" l="1"/>
  <c r="N323" s="1"/>
  <c r="O323"/>
  <c r="K324"/>
  <c r="G324"/>
  <c r="J324"/>
  <c r="F324"/>
  <c r="H324"/>
  <c r="D324"/>
  <c r="I324"/>
  <c r="E324"/>
  <c r="D312"/>
  <c r="E312"/>
  <c r="F312"/>
  <c r="G312"/>
  <c r="H312"/>
  <c r="I312"/>
  <c r="J312"/>
  <c r="K312"/>
  <c r="C312"/>
  <c r="O324" l="1"/>
  <c r="O312"/>
  <c r="M324"/>
  <c r="N324" s="1"/>
  <c r="M312"/>
  <c r="N312" s="1"/>
  <c r="I313"/>
  <c r="E313"/>
  <c r="J313"/>
  <c r="F313"/>
  <c r="K313"/>
  <c r="G313"/>
  <c r="H313"/>
  <c r="C670"/>
  <c r="C741"/>
  <c r="H670"/>
  <c r="H741"/>
  <c r="D670"/>
  <c r="D741"/>
  <c r="I670"/>
  <c r="I741"/>
  <c r="E670"/>
  <c r="E741"/>
  <c r="K670"/>
  <c r="K741"/>
  <c r="G670"/>
  <c r="G741"/>
  <c r="J670"/>
  <c r="J741"/>
  <c r="F670"/>
  <c r="F741"/>
  <c r="C550"/>
  <c r="C552" s="1"/>
  <c r="C614"/>
  <c r="C616" s="1"/>
  <c r="C620" s="1"/>
  <c r="C621" s="1"/>
  <c r="C623" s="1"/>
  <c r="C582"/>
  <c r="C584" s="1"/>
  <c r="C588" s="1"/>
  <c r="C589" s="1"/>
  <c r="C591" s="1"/>
  <c r="F332"/>
  <c r="K332"/>
  <c r="G332"/>
  <c r="J332"/>
  <c r="C332"/>
  <c r="C329"/>
  <c r="H332"/>
  <c r="D332"/>
  <c r="I332"/>
  <c r="E332"/>
  <c r="D311"/>
  <c r="E311"/>
  <c r="F311"/>
  <c r="G311"/>
  <c r="H311"/>
  <c r="I311"/>
  <c r="J311"/>
  <c r="K311"/>
  <c r="C311"/>
  <c r="C161"/>
  <c r="D161"/>
  <c r="E161"/>
  <c r="F161"/>
  <c r="G161"/>
  <c r="H161"/>
  <c r="I161"/>
  <c r="J161"/>
  <c r="K161"/>
  <c r="B161"/>
  <c r="C232"/>
  <c r="C229" s="1"/>
  <c r="C694" s="1"/>
  <c r="D232"/>
  <c r="E232"/>
  <c r="E229" s="1"/>
  <c r="E694" s="1"/>
  <c r="F232"/>
  <c r="F229" s="1"/>
  <c r="F694" s="1"/>
  <c r="G232"/>
  <c r="H232"/>
  <c r="H229" s="1"/>
  <c r="H694" s="1"/>
  <c r="I232"/>
  <c r="J232"/>
  <c r="J229" s="1"/>
  <c r="J694" s="1"/>
  <c r="K232"/>
  <c r="K229" s="1"/>
  <c r="K694" s="1"/>
  <c r="B232"/>
  <c r="B229" s="1"/>
  <c r="B694" s="1"/>
  <c r="C231"/>
  <c r="C691" s="1"/>
  <c r="D231"/>
  <c r="E231"/>
  <c r="E691" s="1"/>
  <c r="F231"/>
  <c r="F691" s="1"/>
  <c r="G231"/>
  <c r="H231"/>
  <c r="H691" s="1"/>
  <c r="I231"/>
  <c r="J231"/>
  <c r="J691" s="1"/>
  <c r="K231"/>
  <c r="K691" s="1"/>
  <c r="B231"/>
  <c r="B691" s="1"/>
  <c r="C273"/>
  <c r="C462" s="1"/>
  <c r="D273"/>
  <c r="E273"/>
  <c r="E462" s="1"/>
  <c r="F273"/>
  <c r="F462" s="1"/>
  <c r="G273"/>
  <c r="H273"/>
  <c r="H462" s="1"/>
  <c r="I273"/>
  <c r="J273"/>
  <c r="J462" s="1"/>
  <c r="K273"/>
  <c r="K462" s="1"/>
  <c r="B273"/>
  <c r="B462" s="1"/>
  <c r="C271"/>
  <c r="D271"/>
  <c r="E271"/>
  <c r="F271"/>
  <c r="G271"/>
  <c r="H271"/>
  <c r="I271"/>
  <c r="J271"/>
  <c r="K271"/>
  <c r="B271"/>
  <c r="O271" l="1"/>
  <c r="O161"/>
  <c r="G462"/>
  <c r="I691"/>
  <c r="O691" s="1"/>
  <c r="O231"/>
  <c r="I462"/>
  <c r="O462" s="1"/>
  <c r="O273"/>
  <c r="G691"/>
  <c r="I229"/>
  <c r="O232"/>
  <c r="D691"/>
  <c r="M231"/>
  <c r="N231" s="1"/>
  <c r="O311"/>
  <c r="M332"/>
  <c r="M670"/>
  <c r="N670" s="1"/>
  <c r="M271"/>
  <c r="N271" s="1"/>
  <c r="M161"/>
  <c r="N161" s="1"/>
  <c r="O332"/>
  <c r="M741"/>
  <c r="N741" s="1"/>
  <c r="O313"/>
  <c r="G229"/>
  <c r="D462"/>
  <c r="M273"/>
  <c r="N273" s="1"/>
  <c r="D229"/>
  <c r="M232"/>
  <c r="N232" s="1"/>
  <c r="O670"/>
  <c r="M313"/>
  <c r="N313" s="1"/>
  <c r="M311"/>
  <c r="N311" s="1"/>
  <c r="N332"/>
  <c r="O741"/>
  <c r="H742"/>
  <c r="I742"/>
  <c r="E742"/>
  <c r="G742"/>
  <c r="F742"/>
  <c r="K742"/>
  <c r="J742"/>
  <c r="C556"/>
  <c r="C557" s="1"/>
  <c r="C559" s="1"/>
  <c r="D329"/>
  <c r="D364"/>
  <c r="M364" s="1"/>
  <c r="C270"/>
  <c r="C272" s="1"/>
  <c r="D270"/>
  <c r="E270"/>
  <c r="E272" s="1"/>
  <c r="F270"/>
  <c r="F272" s="1"/>
  <c r="G270"/>
  <c r="H270"/>
  <c r="H272" s="1"/>
  <c r="I270"/>
  <c r="J270"/>
  <c r="J272" s="1"/>
  <c r="K270"/>
  <c r="K272" s="1"/>
  <c r="B270"/>
  <c r="B272" s="1"/>
  <c r="M691" l="1"/>
  <c r="N691" s="1"/>
  <c r="M462"/>
  <c r="N462" s="1"/>
  <c r="D272"/>
  <c r="M270"/>
  <c r="N270" s="1"/>
  <c r="I694"/>
  <c r="O694" s="1"/>
  <c r="O229"/>
  <c r="I272"/>
  <c r="O272" s="1"/>
  <c r="O270"/>
  <c r="D694"/>
  <c r="M229"/>
  <c r="N229" s="1"/>
  <c r="G694"/>
  <c r="G272"/>
  <c r="O742"/>
  <c r="M742"/>
  <c r="N742" s="1"/>
  <c r="C148"/>
  <c r="D148"/>
  <c r="E148"/>
  <c r="F148"/>
  <c r="G148"/>
  <c r="H148"/>
  <c r="I148"/>
  <c r="J148"/>
  <c r="K148"/>
  <c r="B148"/>
  <c r="C147"/>
  <c r="D147"/>
  <c r="E147"/>
  <c r="F147"/>
  <c r="G147"/>
  <c r="H147"/>
  <c r="I147"/>
  <c r="J147"/>
  <c r="K147"/>
  <c r="B147"/>
  <c r="C525"/>
  <c r="E525"/>
  <c r="F525"/>
  <c r="G525"/>
  <c r="H525"/>
  <c r="I525"/>
  <c r="J525"/>
  <c r="K525"/>
  <c r="B525"/>
  <c r="O147" l="1"/>
  <c r="M694"/>
  <c r="N694" s="1"/>
  <c r="O148"/>
  <c r="M272"/>
  <c r="N272" s="1"/>
  <c r="M147"/>
  <c r="N147" s="1"/>
  <c r="O525"/>
  <c r="M148"/>
  <c r="N148" s="1"/>
  <c r="K529"/>
  <c r="G529"/>
  <c r="H529"/>
  <c r="I529"/>
  <c r="J529"/>
  <c r="D306"/>
  <c r="D525"/>
  <c r="I306"/>
  <c r="E306"/>
  <c r="J306"/>
  <c r="F306"/>
  <c r="K306"/>
  <c r="G306"/>
  <c r="C306"/>
  <c r="B306"/>
  <c r="H306"/>
  <c r="J150"/>
  <c r="J437" s="1"/>
  <c r="F150"/>
  <c r="F437" s="1"/>
  <c r="B150"/>
  <c r="H150"/>
  <c r="H437" s="1"/>
  <c r="D150"/>
  <c r="I150"/>
  <c r="E150"/>
  <c r="E437" s="1"/>
  <c r="K150"/>
  <c r="K437" s="1"/>
  <c r="G150"/>
  <c r="C150"/>
  <c r="C437" s="1"/>
  <c r="D437" l="1"/>
  <c r="E438" s="1"/>
  <c r="E361" s="1"/>
  <c r="M150"/>
  <c r="I437"/>
  <c r="O437" s="1"/>
  <c r="O150"/>
  <c r="E529"/>
  <c r="M525"/>
  <c r="N525" s="1"/>
  <c r="O306"/>
  <c r="O529"/>
  <c r="G437"/>
  <c r="N150"/>
  <c r="M306"/>
  <c r="N306" s="1"/>
  <c r="D529"/>
  <c r="F529"/>
  <c r="I308"/>
  <c r="J310"/>
  <c r="J317" s="1"/>
  <c r="J318" s="1"/>
  <c r="H309"/>
  <c r="H314" s="1"/>
  <c r="H315" s="1"/>
  <c r="H320" s="1"/>
  <c r="H327" s="1"/>
  <c r="H310"/>
  <c r="H317" s="1"/>
  <c r="H318" s="1"/>
  <c r="K308"/>
  <c r="H308"/>
  <c r="J309"/>
  <c r="J314" s="1"/>
  <c r="J315" s="1"/>
  <c r="J320" s="1"/>
  <c r="K310"/>
  <c r="K317" s="1"/>
  <c r="K318" s="1"/>
  <c r="D310"/>
  <c r="K309"/>
  <c r="K314" s="1"/>
  <c r="K315" s="1"/>
  <c r="K320" s="1"/>
  <c r="F310"/>
  <c r="F317" s="1"/>
  <c r="F318" s="1"/>
  <c r="I310"/>
  <c r="J308"/>
  <c r="F309"/>
  <c r="E310"/>
  <c r="E317" s="1"/>
  <c r="E318" s="1"/>
  <c r="G310"/>
  <c r="K307"/>
  <c r="G309"/>
  <c r="I309"/>
  <c r="F438"/>
  <c r="F361" s="1"/>
  <c r="K438"/>
  <c r="K361" s="1"/>
  <c r="C98"/>
  <c r="D98"/>
  <c r="E98"/>
  <c r="F98"/>
  <c r="G98"/>
  <c r="H98"/>
  <c r="I98"/>
  <c r="J98"/>
  <c r="K98"/>
  <c r="B98"/>
  <c r="C82"/>
  <c r="D82"/>
  <c r="E82"/>
  <c r="F82"/>
  <c r="G82"/>
  <c r="H82"/>
  <c r="I82"/>
  <c r="J82"/>
  <c r="K82"/>
  <c r="C1"/>
  <c r="C644" s="1"/>
  <c r="D1"/>
  <c r="D644" s="1"/>
  <c r="E1"/>
  <c r="E644" s="1"/>
  <c r="F1"/>
  <c r="F644" s="1"/>
  <c r="G1"/>
  <c r="G644" s="1"/>
  <c r="H1"/>
  <c r="H644" s="1"/>
  <c r="I1"/>
  <c r="I644" s="1"/>
  <c r="J1"/>
  <c r="J644" s="1"/>
  <c r="K1"/>
  <c r="K644" s="1"/>
  <c r="B1"/>
  <c r="B644" s="1"/>
  <c r="B82"/>
  <c r="B220" s="1"/>
  <c r="C64"/>
  <c r="C252" s="1"/>
  <c r="D64"/>
  <c r="E64"/>
  <c r="E252" s="1"/>
  <c r="F64"/>
  <c r="F252" s="1"/>
  <c r="G64"/>
  <c r="H64"/>
  <c r="H252" s="1"/>
  <c r="I64"/>
  <c r="J64"/>
  <c r="J252" s="1"/>
  <c r="K64"/>
  <c r="K252" s="1"/>
  <c r="C63"/>
  <c r="D63"/>
  <c r="E63"/>
  <c r="F63"/>
  <c r="G63"/>
  <c r="H63"/>
  <c r="I63"/>
  <c r="J63"/>
  <c r="K63"/>
  <c r="C62"/>
  <c r="C656" s="1"/>
  <c r="D62"/>
  <c r="E62"/>
  <c r="E656" s="1"/>
  <c r="F62"/>
  <c r="F656" s="1"/>
  <c r="G62"/>
  <c r="H62"/>
  <c r="H656" s="1"/>
  <c r="I62"/>
  <c r="J62"/>
  <c r="J656" s="1"/>
  <c r="K62"/>
  <c r="K656" s="1"/>
  <c r="C61"/>
  <c r="C655" s="1"/>
  <c r="D61"/>
  <c r="E61"/>
  <c r="E655" s="1"/>
  <c r="F61"/>
  <c r="F655" s="1"/>
  <c r="G61"/>
  <c r="H61"/>
  <c r="H655" s="1"/>
  <c r="I61"/>
  <c r="J61"/>
  <c r="J655" s="1"/>
  <c r="K61"/>
  <c r="K655" s="1"/>
  <c r="C60"/>
  <c r="C654" s="1"/>
  <c r="D60"/>
  <c r="E60"/>
  <c r="E654" s="1"/>
  <c r="F60"/>
  <c r="F654" s="1"/>
  <c r="G60"/>
  <c r="H60"/>
  <c r="H654" s="1"/>
  <c r="I60"/>
  <c r="J60"/>
  <c r="J654" s="1"/>
  <c r="K60"/>
  <c r="K654" s="1"/>
  <c r="C59"/>
  <c r="C653" s="1"/>
  <c r="D59"/>
  <c r="E59"/>
  <c r="E653" s="1"/>
  <c r="F59"/>
  <c r="F653" s="1"/>
  <c r="G59"/>
  <c r="H59"/>
  <c r="H653" s="1"/>
  <c r="I59"/>
  <c r="J59"/>
  <c r="J653" s="1"/>
  <c r="K59"/>
  <c r="K653" s="1"/>
  <c r="C58"/>
  <c r="C652" s="1"/>
  <c r="D58"/>
  <c r="E58"/>
  <c r="E652" s="1"/>
  <c r="F58"/>
  <c r="F652" s="1"/>
  <c r="G58"/>
  <c r="H58"/>
  <c r="H652" s="1"/>
  <c r="I58"/>
  <c r="J58"/>
  <c r="J652" s="1"/>
  <c r="K58"/>
  <c r="K652" s="1"/>
  <c r="C57"/>
  <c r="C651" s="1"/>
  <c r="D57"/>
  <c r="E57"/>
  <c r="E651" s="1"/>
  <c r="F57"/>
  <c r="F651" s="1"/>
  <c r="G57"/>
  <c r="H57"/>
  <c r="H651" s="1"/>
  <c r="I57"/>
  <c r="J57"/>
  <c r="J651" s="1"/>
  <c r="K57"/>
  <c r="K651" s="1"/>
  <c r="C56"/>
  <c r="C650" s="1"/>
  <c r="D56"/>
  <c r="E56"/>
  <c r="E650" s="1"/>
  <c r="F56"/>
  <c r="F650" s="1"/>
  <c r="G56"/>
  <c r="H56"/>
  <c r="H650" s="1"/>
  <c r="I56"/>
  <c r="J56"/>
  <c r="J650" s="1"/>
  <c r="K56"/>
  <c r="K650" s="1"/>
  <c r="C55"/>
  <c r="C649" s="1"/>
  <c r="D55"/>
  <c r="E55"/>
  <c r="E649" s="1"/>
  <c r="F55"/>
  <c r="F649" s="1"/>
  <c r="G55"/>
  <c r="H55"/>
  <c r="H649" s="1"/>
  <c r="I55"/>
  <c r="J55"/>
  <c r="J649" s="1"/>
  <c r="K55"/>
  <c r="K649" s="1"/>
  <c r="C54"/>
  <c r="C648" s="1"/>
  <c r="D54"/>
  <c r="E54"/>
  <c r="E648" s="1"/>
  <c r="F54"/>
  <c r="F648" s="1"/>
  <c r="G54"/>
  <c r="H54"/>
  <c r="H648" s="1"/>
  <c r="I54"/>
  <c r="J54"/>
  <c r="J648" s="1"/>
  <c r="K54"/>
  <c r="K648" s="1"/>
  <c r="C53"/>
  <c r="D53"/>
  <c r="E53"/>
  <c r="F53"/>
  <c r="G53"/>
  <c r="H53"/>
  <c r="I53"/>
  <c r="J53"/>
  <c r="K53"/>
  <c r="C51"/>
  <c r="D51"/>
  <c r="E51"/>
  <c r="F51"/>
  <c r="G51"/>
  <c r="H51"/>
  <c r="I51"/>
  <c r="J51"/>
  <c r="K51"/>
  <c r="B65"/>
  <c r="B64"/>
  <c r="B252" s="1"/>
  <c r="B63"/>
  <c r="B62"/>
  <c r="B656" s="1"/>
  <c r="B61"/>
  <c r="B655" s="1"/>
  <c r="B60"/>
  <c r="B654" s="1"/>
  <c r="B59"/>
  <c r="B653" s="1"/>
  <c r="B58"/>
  <c r="B652" s="1"/>
  <c r="B57"/>
  <c r="B651" s="1"/>
  <c r="B56"/>
  <c r="B650" s="1"/>
  <c r="B55"/>
  <c r="B649" s="1"/>
  <c r="B54"/>
  <c r="B648" s="1"/>
  <c r="B53"/>
  <c r="B51"/>
  <c r="K5"/>
  <c r="K6"/>
  <c r="K7"/>
  <c r="K8"/>
  <c r="K9"/>
  <c r="K10"/>
  <c r="K11"/>
  <c r="K12"/>
  <c r="K13"/>
  <c r="K14"/>
  <c r="K15"/>
  <c r="K16"/>
  <c r="K17"/>
  <c r="K18"/>
  <c r="K22"/>
  <c r="K23"/>
  <c r="K24"/>
  <c r="K355" s="1"/>
  <c r="K25"/>
  <c r="K26"/>
  <c r="K27"/>
  <c r="K28"/>
  <c r="K29"/>
  <c r="K30"/>
  <c r="K31"/>
  <c r="K32"/>
  <c r="K538" s="1"/>
  <c r="K33"/>
  <c r="K539" s="1"/>
  <c r="K34"/>
  <c r="K35"/>
  <c r="K36"/>
  <c r="K37"/>
  <c r="K41"/>
  <c r="K42"/>
  <c r="K43"/>
  <c r="K44"/>
  <c r="K46"/>
  <c r="J5"/>
  <c r="J6"/>
  <c r="J7"/>
  <c r="J8"/>
  <c r="J9"/>
  <c r="J10"/>
  <c r="J11"/>
  <c r="J12"/>
  <c r="J13"/>
  <c r="J14"/>
  <c r="J15"/>
  <c r="J16"/>
  <c r="J17"/>
  <c r="J18"/>
  <c r="J22"/>
  <c r="J23"/>
  <c r="J24"/>
  <c r="J355" s="1"/>
  <c r="J25"/>
  <c r="J26"/>
  <c r="J27"/>
  <c r="J28"/>
  <c r="J29"/>
  <c r="J30"/>
  <c r="J31"/>
  <c r="J32"/>
  <c r="J538" s="1"/>
  <c r="J33"/>
  <c r="J539" s="1"/>
  <c r="J34"/>
  <c r="J35"/>
  <c r="J36"/>
  <c r="J37"/>
  <c r="J41"/>
  <c r="J42"/>
  <c r="J43"/>
  <c r="J44"/>
  <c r="J46"/>
  <c r="I5"/>
  <c r="I6"/>
  <c r="I7"/>
  <c r="I8"/>
  <c r="I9"/>
  <c r="I10"/>
  <c r="I11"/>
  <c r="I12"/>
  <c r="I13"/>
  <c r="I14"/>
  <c r="I15"/>
  <c r="I16"/>
  <c r="I17"/>
  <c r="I18"/>
  <c r="I22"/>
  <c r="I23"/>
  <c r="I24"/>
  <c r="I25"/>
  <c r="I26"/>
  <c r="I27"/>
  <c r="I28"/>
  <c r="I29"/>
  <c r="I30"/>
  <c r="I31"/>
  <c r="I32"/>
  <c r="I33"/>
  <c r="I34"/>
  <c r="I35"/>
  <c r="I36"/>
  <c r="O36" s="1"/>
  <c r="I37"/>
  <c r="I41"/>
  <c r="I42"/>
  <c r="I43"/>
  <c r="I44"/>
  <c r="I46"/>
  <c r="H5"/>
  <c r="H6"/>
  <c r="H7"/>
  <c r="H8"/>
  <c r="H9"/>
  <c r="H10"/>
  <c r="H11"/>
  <c r="H12"/>
  <c r="H13"/>
  <c r="H14"/>
  <c r="H15"/>
  <c r="H16"/>
  <c r="H17"/>
  <c r="H18"/>
  <c r="H22"/>
  <c r="H23"/>
  <c r="H24"/>
  <c r="H355" s="1"/>
  <c r="H25"/>
  <c r="H26"/>
  <c r="H27"/>
  <c r="H28"/>
  <c r="H29"/>
  <c r="H30"/>
  <c r="H31"/>
  <c r="H32"/>
  <c r="H538" s="1"/>
  <c r="H33"/>
  <c r="H539" s="1"/>
  <c r="H34"/>
  <c r="H35"/>
  <c r="H36"/>
  <c r="H37"/>
  <c r="H41"/>
  <c r="H42"/>
  <c r="H43"/>
  <c r="H44"/>
  <c r="H46"/>
  <c r="G5"/>
  <c r="G6"/>
  <c r="G7"/>
  <c r="G8"/>
  <c r="G9"/>
  <c r="G10"/>
  <c r="G11"/>
  <c r="G12"/>
  <c r="G13"/>
  <c r="G14"/>
  <c r="G15"/>
  <c r="G16"/>
  <c r="G17"/>
  <c r="G18"/>
  <c r="G22"/>
  <c r="G23"/>
  <c r="G24"/>
  <c r="G25"/>
  <c r="G26"/>
  <c r="G27"/>
  <c r="G28"/>
  <c r="G29"/>
  <c r="G30"/>
  <c r="G31"/>
  <c r="G32"/>
  <c r="G33"/>
  <c r="G34"/>
  <c r="G35"/>
  <c r="G36"/>
  <c r="N36" s="1"/>
  <c r="G37"/>
  <c r="G41"/>
  <c r="G42"/>
  <c r="G43"/>
  <c r="G44"/>
  <c r="G46"/>
  <c r="F5"/>
  <c r="F6"/>
  <c r="F7"/>
  <c r="F8"/>
  <c r="F9"/>
  <c r="F10"/>
  <c r="F11"/>
  <c r="F12"/>
  <c r="F13"/>
  <c r="F14"/>
  <c r="F15"/>
  <c r="F16"/>
  <c r="F17"/>
  <c r="F18"/>
  <c r="F22"/>
  <c r="F23"/>
  <c r="F24"/>
  <c r="F355" s="1"/>
  <c r="F25"/>
  <c r="F26"/>
  <c r="F27"/>
  <c r="F28"/>
  <c r="F29"/>
  <c r="F30"/>
  <c r="F31"/>
  <c r="F32"/>
  <c r="F538" s="1"/>
  <c r="F33"/>
  <c r="F539" s="1"/>
  <c r="F34"/>
  <c r="F35"/>
  <c r="F36"/>
  <c r="F37"/>
  <c r="F41"/>
  <c r="F42"/>
  <c r="F43"/>
  <c r="F44"/>
  <c r="F46"/>
  <c r="E5"/>
  <c r="E6"/>
  <c r="E7"/>
  <c r="E8"/>
  <c r="E9"/>
  <c r="E10"/>
  <c r="E11"/>
  <c r="E12"/>
  <c r="E13"/>
  <c r="E14"/>
  <c r="E15"/>
  <c r="E16"/>
  <c r="E17"/>
  <c r="E18"/>
  <c r="E22"/>
  <c r="E23"/>
  <c r="E24"/>
  <c r="E355" s="1"/>
  <c r="E25"/>
  <c r="E26"/>
  <c r="E27"/>
  <c r="E28"/>
  <c r="E29"/>
  <c r="E30"/>
  <c r="E31"/>
  <c r="E32"/>
  <c r="E538" s="1"/>
  <c r="E33"/>
  <c r="E539" s="1"/>
  <c r="E34"/>
  <c r="E35"/>
  <c r="E36"/>
  <c r="E37"/>
  <c r="E41"/>
  <c r="E42"/>
  <c r="E43"/>
  <c r="E44"/>
  <c r="E46"/>
  <c r="D5"/>
  <c r="D6"/>
  <c r="D7"/>
  <c r="D8"/>
  <c r="D9"/>
  <c r="D10"/>
  <c r="D11"/>
  <c r="D12"/>
  <c r="D13"/>
  <c r="D14"/>
  <c r="D15"/>
  <c r="D16"/>
  <c r="D17"/>
  <c r="D18"/>
  <c r="D22"/>
  <c r="D23"/>
  <c r="D24"/>
  <c r="D25"/>
  <c r="D26"/>
  <c r="D27"/>
  <c r="D28"/>
  <c r="D29"/>
  <c r="D30"/>
  <c r="D31"/>
  <c r="D32"/>
  <c r="D33"/>
  <c r="D34"/>
  <c r="D35"/>
  <c r="D36"/>
  <c r="M36" s="1"/>
  <c r="D37"/>
  <c r="D41"/>
  <c r="D42"/>
  <c r="D43"/>
  <c r="D44"/>
  <c r="D46"/>
  <c r="D4"/>
  <c r="E4"/>
  <c r="E345" s="1"/>
  <c r="F4"/>
  <c r="F345" s="1"/>
  <c r="G4"/>
  <c r="H4"/>
  <c r="H345" s="1"/>
  <c r="I4"/>
  <c r="J4"/>
  <c r="J345" s="1"/>
  <c r="K4"/>
  <c r="K345" s="1"/>
  <c r="C5"/>
  <c r="C6"/>
  <c r="C7"/>
  <c r="C8"/>
  <c r="C9"/>
  <c r="C10"/>
  <c r="C11"/>
  <c r="C12"/>
  <c r="C13"/>
  <c r="C14"/>
  <c r="C15"/>
  <c r="C16"/>
  <c r="C17"/>
  <c r="C18"/>
  <c r="C22"/>
  <c r="C23"/>
  <c r="C24"/>
  <c r="C355" s="1"/>
  <c r="C25"/>
  <c r="C26"/>
  <c r="C27"/>
  <c r="C28"/>
  <c r="C29"/>
  <c r="C30"/>
  <c r="C31"/>
  <c r="C32"/>
  <c r="C538" s="1"/>
  <c r="C33"/>
  <c r="C539" s="1"/>
  <c r="C34"/>
  <c r="C35"/>
  <c r="C36"/>
  <c r="C37"/>
  <c r="C41"/>
  <c r="C42"/>
  <c r="C43"/>
  <c r="C44"/>
  <c r="C46"/>
  <c r="C4"/>
  <c r="C345" s="1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8"/>
  <c r="E519"/>
  <c r="E520"/>
  <c r="E521"/>
  <c r="E522"/>
  <c r="D499"/>
  <c r="M499" s="1"/>
  <c r="N499" s="1"/>
  <c r="D500"/>
  <c r="D501"/>
  <c r="D502"/>
  <c r="D503"/>
  <c r="M503" s="1"/>
  <c r="N503" s="1"/>
  <c r="D504"/>
  <c r="D505"/>
  <c r="D506"/>
  <c r="D507"/>
  <c r="M507" s="1"/>
  <c r="N507" s="1"/>
  <c r="D508"/>
  <c r="D509"/>
  <c r="D510"/>
  <c r="D511"/>
  <c r="M511" s="1"/>
  <c r="N511" s="1"/>
  <c r="D512"/>
  <c r="D513"/>
  <c r="D514"/>
  <c r="M514" s="1"/>
  <c r="N514" s="1"/>
  <c r="D515"/>
  <c r="M515" s="1"/>
  <c r="N515" s="1"/>
  <c r="D518"/>
  <c r="D519"/>
  <c r="D520"/>
  <c r="D521"/>
  <c r="M521" s="1"/>
  <c r="N521" s="1"/>
  <c r="D522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8"/>
  <c r="C519"/>
  <c r="C520"/>
  <c r="C521"/>
  <c r="C522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E475"/>
  <c r="E476"/>
  <c r="E477"/>
  <c r="E478"/>
  <c r="E479"/>
  <c r="E480"/>
  <c r="E481"/>
  <c r="E482"/>
  <c r="E483"/>
  <c r="E484"/>
  <c r="E485"/>
  <c r="E486"/>
  <c r="E487"/>
  <c r="E488"/>
  <c r="E474"/>
  <c r="D475"/>
  <c r="D476"/>
  <c r="D477"/>
  <c r="D478"/>
  <c r="D479"/>
  <c r="D480"/>
  <c r="D481"/>
  <c r="D482"/>
  <c r="D483"/>
  <c r="D484"/>
  <c r="M484" s="1"/>
  <c r="N484" s="1"/>
  <c r="D485"/>
  <c r="D486"/>
  <c r="D487"/>
  <c r="D488"/>
  <c r="D474"/>
  <c r="C475"/>
  <c r="C476"/>
  <c r="C477"/>
  <c r="C478"/>
  <c r="C479"/>
  <c r="C480"/>
  <c r="C481"/>
  <c r="C482"/>
  <c r="C483"/>
  <c r="C484"/>
  <c r="C485"/>
  <c r="C486"/>
  <c r="C487"/>
  <c r="C488"/>
  <c r="C474"/>
  <c r="B484"/>
  <c r="B485"/>
  <c r="B486"/>
  <c r="B487"/>
  <c r="B488"/>
  <c r="B475"/>
  <c r="B476"/>
  <c r="B477"/>
  <c r="B478"/>
  <c r="B479"/>
  <c r="B480"/>
  <c r="B481"/>
  <c r="B482"/>
  <c r="B483"/>
  <c r="B474"/>
  <c r="K93" i="6"/>
  <c r="K717" i="5" s="1"/>
  <c r="C93" i="6"/>
  <c r="C717" i="5" s="1"/>
  <c r="C737" s="1"/>
  <c r="D93" i="6"/>
  <c r="D717" i="5" s="1"/>
  <c r="E93" i="6"/>
  <c r="E717" i="5" s="1"/>
  <c r="F93" i="6"/>
  <c r="F717" i="5" s="1"/>
  <c r="G93" i="6"/>
  <c r="G717" i="5" s="1"/>
  <c r="H93" i="6"/>
  <c r="H717" i="5" s="1"/>
  <c r="I93" i="6"/>
  <c r="I717" i="5" s="1"/>
  <c r="J93" i="6"/>
  <c r="J717" i="5" s="1"/>
  <c r="B93" i="6"/>
  <c r="B717" i="5" s="1"/>
  <c r="B737" s="1"/>
  <c r="M29" l="1"/>
  <c r="N29" s="1"/>
  <c r="I438"/>
  <c r="I361" s="1"/>
  <c r="M488"/>
  <c r="N488" s="1"/>
  <c r="M480"/>
  <c r="N480" s="1"/>
  <c r="M476"/>
  <c r="N476" s="1"/>
  <c r="O29"/>
  <c r="D438"/>
  <c r="D361" s="1"/>
  <c r="M519"/>
  <c r="N519" s="1"/>
  <c r="M486"/>
  <c r="N486" s="1"/>
  <c r="M482"/>
  <c r="N482" s="1"/>
  <c r="M478"/>
  <c r="N478" s="1"/>
  <c r="M43"/>
  <c r="N43" s="1"/>
  <c r="M28"/>
  <c r="N28" s="1"/>
  <c r="M17"/>
  <c r="M13"/>
  <c r="N13" s="1"/>
  <c r="M9"/>
  <c r="N9" s="1"/>
  <c r="M5"/>
  <c r="N5" s="1"/>
  <c r="O42"/>
  <c r="O35"/>
  <c r="O31"/>
  <c r="O27"/>
  <c r="O23"/>
  <c r="O16"/>
  <c r="O12"/>
  <c r="O8"/>
  <c r="M522"/>
  <c r="N522" s="1"/>
  <c r="M518"/>
  <c r="N518" s="1"/>
  <c r="M512"/>
  <c r="N512" s="1"/>
  <c r="M508"/>
  <c r="N508" s="1"/>
  <c r="M504"/>
  <c r="N504" s="1"/>
  <c r="M500"/>
  <c r="N500" s="1"/>
  <c r="M46"/>
  <c r="N46" s="1"/>
  <c r="M41"/>
  <c r="N41" s="1"/>
  <c r="M34"/>
  <c r="N34" s="1"/>
  <c r="M30"/>
  <c r="N30" s="1"/>
  <c r="M26"/>
  <c r="N26" s="1"/>
  <c r="M22"/>
  <c r="N22" s="1"/>
  <c r="M15"/>
  <c r="N15" s="1"/>
  <c r="M11"/>
  <c r="N11" s="1"/>
  <c r="M7"/>
  <c r="O44"/>
  <c r="O37"/>
  <c r="O25"/>
  <c r="O18"/>
  <c r="O14"/>
  <c r="O10"/>
  <c r="O6"/>
  <c r="O51"/>
  <c r="O82"/>
  <c r="M513"/>
  <c r="N513" s="1"/>
  <c r="M509"/>
  <c r="N509" s="1"/>
  <c r="M505"/>
  <c r="N505" s="1"/>
  <c r="M501"/>
  <c r="N501" s="1"/>
  <c r="I345"/>
  <c r="O345" s="1"/>
  <c r="O4"/>
  <c r="D538"/>
  <c r="M32"/>
  <c r="N32" s="1"/>
  <c r="D355"/>
  <c r="M24"/>
  <c r="G539"/>
  <c r="I648"/>
  <c r="O648" s="1"/>
  <c r="O54"/>
  <c r="G650"/>
  <c r="D651"/>
  <c r="M57"/>
  <c r="N57" s="1"/>
  <c r="I652"/>
  <c r="O652" s="1"/>
  <c r="O58"/>
  <c r="G654"/>
  <c r="D655"/>
  <c r="M61"/>
  <c r="N61" s="1"/>
  <c r="I656"/>
  <c r="O656" s="1"/>
  <c r="O62"/>
  <c r="G252"/>
  <c r="G314"/>
  <c r="F314"/>
  <c r="M309"/>
  <c r="N309" s="1"/>
  <c r="M308"/>
  <c r="N308" s="1"/>
  <c r="D539"/>
  <c r="M33"/>
  <c r="N33" s="1"/>
  <c r="I538"/>
  <c r="O538" s="1"/>
  <c r="O32"/>
  <c r="I355"/>
  <c r="O355" s="1"/>
  <c r="O24"/>
  <c r="G649"/>
  <c r="D650"/>
  <c r="M56"/>
  <c r="N56" s="1"/>
  <c r="I651"/>
  <c r="O651" s="1"/>
  <c r="O57"/>
  <c r="G653"/>
  <c r="D654"/>
  <c r="M60"/>
  <c r="N60" s="1"/>
  <c r="I655"/>
  <c r="O655" s="1"/>
  <c r="O61"/>
  <c r="I314"/>
  <c r="O309"/>
  <c r="M717"/>
  <c r="M520"/>
  <c r="N520" s="1"/>
  <c r="M510"/>
  <c r="N510" s="1"/>
  <c r="M506"/>
  <c r="N506" s="1"/>
  <c r="M502"/>
  <c r="N502" s="1"/>
  <c r="M53"/>
  <c r="N53" s="1"/>
  <c r="O98"/>
  <c r="M437"/>
  <c r="N437" s="1"/>
  <c r="O717"/>
  <c r="M487"/>
  <c r="N487" s="1"/>
  <c r="M483"/>
  <c r="N483" s="1"/>
  <c r="M479"/>
  <c r="N479" s="1"/>
  <c r="M475"/>
  <c r="N475" s="1"/>
  <c r="M44"/>
  <c r="N44" s="1"/>
  <c r="M37"/>
  <c r="N37" s="1"/>
  <c r="M25"/>
  <c r="N25" s="1"/>
  <c r="M18"/>
  <c r="N18" s="1"/>
  <c r="M14"/>
  <c r="N14" s="1"/>
  <c r="M10"/>
  <c r="N10" s="1"/>
  <c r="M6"/>
  <c r="N6" s="1"/>
  <c r="N7"/>
  <c r="O43"/>
  <c r="O28"/>
  <c r="O17"/>
  <c r="O13"/>
  <c r="O9"/>
  <c r="O5"/>
  <c r="M51"/>
  <c r="N51" s="1"/>
  <c r="O53"/>
  <c r="M64"/>
  <c r="N64" s="1"/>
  <c r="M82"/>
  <c r="N82" s="1"/>
  <c r="H438"/>
  <c r="H361" s="1"/>
  <c r="G438"/>
  <c r="M529"/>
  <c r="N529" s="1"/>
  <c r="G345"/>
  <c r="I539"/>
  <c r="O539" s="1"/>
  <c r="O33"/>
  <c r="G648"/>
  <c r="D649"/>
  <c r="M55"/>
  <c r="N55" s="1"/>
  <c r="I650"/>
  <c r="O650" s="1"/>
  <c r="O56"/>
  <c r="G652"/>
  <c r="D653"/>
  <c r="M59"/>
  <c r="N59" s="1"/>
  <c r="I654"/>
  <c r="O654" s="1"/>
  <c r="O60"/>
  <c r="G656"/>
  <c r="I252"/>
  <c r="O252" s="1"/>
  <c r="O64"/>
  <c r="G317"/>
  <c r="I317"/>
  <c r="O310"/>
  <c r="G538"/>
  <c r="G355"/>
  <c r="N24"/>
  <c r="D648"/>
  <c r="M54"/>
  <c r="N54" s="1"/>
  <c r="I649"/>
  <c r="O649" s="1"/>
  <c r="O55"/>
  <c r="G651"/>
  <c r="D652"/>
  <c r="M58"/>
  <c r="N58" s="1"/>
  <c r="I653"/>
  <c r="O653" s="1"/>
  <c r="O59"/>
  <c r="G655"/>
  <c r="D656"/>
  <c r="M62"/>
  <c r="N62" s="1"/>
  <c r="O307"/>
  <c r="M307"/>
  <c r="N307" s="1"/>
  <c r="D317"/>
  <c r="M310"/>
  <c r="N310" s="1"/>
  <c r="M63"/>
  <c r="N63" s="1"/>
  <c r="M644"/>
  <c r="N644" s="1"/>
  <c r="M474"/>
  <c r="N474" s="1"/>
  <c r="M485"/>
  <c r="N485" s="1"/>
  <c r="M481"/>
  <c r="N481" s="1"/>
  <c r="M477"/>
  <c r="N477" s="1"/>
  <c r="M4"/>
  <c r="M42"/>
  <c r="N42" s="1"/>
  <c r="M35"/>
  <c r="N35" s="1"/>
  <c r="M31"/>
  <c r="N31" s="1"/>
  <c r="M27"/>
  <c r="N27" s="1"/>
  <c r="M23"/>
  <c r="N23" s="1"/>
  <c r="M16"/>
  <c r="N16" s="1"/>
  <c r="M12"/>
  <c r="N12" s="1"/>
  <c r="M8"/>
  <c r="N8" s="1"/>
  <c r="O46"/>
  <c r="O41"/>
  <c r="O34"/>
  <c r="O30"/>
  <c r="O26"/>
  <c r="O22"/>
  <c r="O15"/>
  <c r="O11"/>
  <c r="O7"/>
  <c r="O63"/>
  <c r="O644"/>
  <c r="M98"/>
  <c r="J438"/>
  <c r="J361" s="1"/>
  <c r="O308"/>
  <c r="E737"/>
  <c r="J737"/>
  <c r="F737"/>
  <c r="K737"/>
  <c r="I737"/>
  <c r="G737"/>
  <c r="H737"/>
  <c r="D737"/>
  <c r="I738"/>
  <c r="E738"/>
  <c r="J738"/>
  <c r="F738"/>
  <c r="K738"/>
  <c r="B738"/>
  <c r="G738"/>
  <c r="C738"/>
  <c r="H738"/>
  <c r="D738"/>
  <c r="I166"/>
  <c r="E166"/>
  <c r="K166"/>
  <c r="G166"/>
  <c r="J166"/>
  <c r="F166"/>
  <c r="H166"/>
  <c r="D166"/>
  <c r="H102"/>
  <c r="D102"/>
  <c r="I102"/>
  <c r="E102"/>
  <c r="B102"/>
  <c r="J102"/>
  <c r="F102"/>
  <c r="K102"/>
  <c r="G102"/>
  <c r="C102"/>
  <c r="D345"/>
  <c r="J376"/>
  <c r="F376"/>
  <c r="D376"/>
  <c r="I376"/>
  <c r="E376"/>
  <c r="K376"/>
  <c r="G376"/>
  <c r="H376"/>
  <c r="E377"/>
  <c r="J377"/>
  <c r="F377"/>
  <c r="K377"/>
  <c r="G377"/>
  <c r="H377"/>
  <c r="D377"/>
  <c r="I377"/>
  <c r="I378"/>
  <c r="J378"/>
  <c r="F378"/>
  <c r="E378"/>
  <c r="K378"/>
  <c r="G378"/>
  <c r="H378"/>
  <c r="D378"/>
  <c r="L93" i="6"/>
  <c r="J349" i="5"/>
  <c r="F349"/>
  <c r="H349"/>
  <c r="D349"/>
  <c r="K349"/>
  <c r="G349"/>
  <c r="C349"/>
  <c r="I349"/>
  <c r="E349"/>
  <c r="D448"/>
  <c r="D252"/>
  <c r="J327"/>
  <c r="K327"/>
  <c r="K362"/>
  <c r="I448"/>
  <c r="E448"/>
  <c r="B448"/>
  <c r="J448"/>
  <c r="F448"/>
  <c r="K448"/>
  <c r="G448"/>
  <c r="C448"/>
  <c r="H448"/>
  <c r="J48"/>
  <c r="F48"/>
  <c r="I48"/>
  <c r="E48"/>
  <c r="K335"/>
  <c r="G335"/>
  <c r="C335"/>
  <c r="C340" s="1"/>
  <c r="I335"/>
  <c r="E335"/>
  <c r="E340" s="1"/>
  <c r="H335"/>
  <c r="H340" s="1"/>
  <c r="D335"/>
  <c r="J335"/>
  <c r="J340" s="1"/>
  <c r="F335"/>
  <c r="F340" s="1"/>
  <c r="K220"/>
  <c r="K83"/>
  <c r="G220"/>
  <c r="G83"/>
  <c r="C220"/>
  <c r="C83"/>
  <c r="C221" s="1"/>
  <c r="H220"/>
  <c r="H83"/>
  <c r="H221" s="1"/>
  <c r="D220"/>
  <c r="D83"/>
  <c r="I220"/>
  <c r="I83"/>
  <c r="E220"/>
  <c r="E83"/>
  <c r="B83"/>
  <c r="B221" s="1"/>
  <c r="J220"/>
  <c r="J83"/>
  <c r="J221" s="1"/>
  <c r="F220"/>
  <c r="F83"/>
  <c r="F221" s="1"/>
  <c r="G330"/>
  <c r="D330"/>
  <c r="I330"/>
  <c r="E330"/>
  <c r="E526" s="1"/>
  <c r="K48"/>
  <c r="G48"/>
  <c r="H48"/>
  <c r="D48"/>
  <c r="K330"/>
  <c r="K526" s="1"/>
  <c r="K533" s="1"/>
  <c r="C330"/>
  <c r="C526" s="1"/>
  <c r="H330"/>
  <c r="H526" s="1"/>
  <c r="B330"/>
  <c r="B526" s="1"/>
  <c r="J330"/>
  <c r="J526" s="1"/>
  <c r="J533" s="1"/>
  <c r="F330"/>
  <c r="F526" s="1"/>
  <c r="C48"/>
  <c r="B6" i="6"/>
  <c r="C17" i="2"/>
  <c r="D17"/>
  <c r="E17"/>
  <c r="F17"/>
  <c r="G17"/>
  <c r="H17"/>
  <c r="I17"/>
  <c r="J17"/>
  <c r="K17"/>
  <c r="C18"/>
  <c r="C236" i="5" s="1"/>
  <c r="D18" i="2"/>
  <c r="D236" i="5" s="1"/>
  <c r="E18" i="2"/>
  <c r="E236" i="5" s="1"/>
  <c r="F18" i="2"/>
  <c r="F236" i="5" s="1"/>
  <c r="G18" i="2"/>
  <c r="G236" i="5" s="1"/>
  <c r="H18" i="2"/>
  <c r="H236" i="5" s="1"/>
  <c r="I18" i="2"/>
  <c r="I236" i="5" s="1"/>
  <c r="J18" i="2"/>
  <c r="J236" i="5" s="1"/>
  <c r="K18" i="2"/>
  <c r="K236" i="5" s="1"/>
  <c r="B17" i="2"/>
  <c r="C4"/>
  <c r="D4"/>
  <c r="E4"/>
  <c r="F4"/>
  <c r="G4"/>
  <c r="H4"/>
  <c r="I4"/>
  <c r="J4"/>
  <c r="K4"/>
  <c r="C5"/>
  <c r="D5"/>
  <c r="E5"/>
  <c r="F5"/>
  <c r="G5"/>
  <c r="H5"/>
  <c r="I5"/>
  <c r="J5"/>
  <c r="K5"/>
  <c r="C6"/>
  <c r="C671" i="5" s="1"/>
  <c r="D6" i="2"/>
  <c r="D671" i="5" s="1"/>
  <c r="E6" i="2"/>
  <c r="E671" i="5" s="1"/>
  <c r="F6" i="2"/>
  <c r="F671" i="5" s="1"/>
  <c r="G6" i="2"/>
  <c r="G671" i="5" s="1"/>
  <c r="H6" i="2"/>
  <c r="H671" i="5" s="1"/>
  <c r="I6" i="2"/>
  <c r="I671" i="5" s="1"/>
  <c r="J6" i="2"/>
  <c r="J671" i="5" s="1"/>
  <c r="K6" i="2"/>
  <c r="C7"/>
  <c r="D7"/>
  <c r="E7"/>
  <c r="F7"/>
  <c r="G7"/>
  <c r="H7"/>
  <c r="I7"/>
  <c r="J7"/>
  <c r="K7"/>
  <c r="C8"/>
  <c r="D8"/>
  <c r="E8"/>
  <c r="F8"/>
  <c r="G8"/>
  <c r="H8"/>
  <c r="I8"/>
  <c r="J8"/>
  <c r="K8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B14"/>
  <c r="B5"/>
  <c r="B4"/>
  <c r="C4" i="4"/>
  <c r="C739" i="5" s="1"/>
  <c r="D4" i="4"/>
  <c r="D739" i="5" s="1"/>
  <c r="E4" i="4"/>
  <c r="E739" i="5" s="1"/>
  <c r="F4" i="4"/>
  <c r="F739" i="5" s="1"/>
  <c r="G4" i="4"/>
  <c r="G739" i="5" s="1"/>
  <c r="H4" i="4"/>
  <c r="H739" i="5" s="1"/>
  <c r="I4" i="4"/>
  <c r="I739" i="5" s="1"/>
  <c r="J4" i="4"/>
  <c r="J739" i="5" s="1"/>
  <c r="K4" i="4"/>
  <c r="K739" i="5" s="1"/>
  <c r="C5" i="4"/>
  <c r="C728" i="5" s="1"/>
  <c r="D5" i="4"/>
  <c r="D728" i="5" s="1"/>
  <c r="E5" i="4"/>
  <c r="E728" i="5" s="1"/>
  <c r="F5" i="4"/>
  <c r="F728" i="5" s="1"/>
  <c r="G5" i="4"/>
  <c r="G728" i="5" s="1"/>
  <c r="H5" i="4"/>
  <c r="H728" i="5" s="1"/>
  <c r="I5" i="4"/>
  <c r="I728" i="5" s="1"/>
  <c r="J5" i="4"/>
  <c r="J728" i="5" s="1"/>
  <c r="K5" i="4"/>
  <c r="K728" i="5" s="1"/>
  <c r="C6" i="4"/>
  <c r="C729" i="5" s="1"/>
  <c r="D6" i="4"/>
  <c r="D729" i="5" s="1"/>
  <c r="E6" i="4"/>
  <c r="E729" i="5" s="1"/>
  <c r="F6" i="4"/>
  <c r="F729" i="5" s="1"/>
  <c r="G6" i="4"/>
  <c r="G729" i="5" s="1"/>
  <c r="H6" i="4"/>
  <c r="H729" i="5" s="1"/>
  <c r="I6" i="4"/>
  <c r="I729" i="5" s="1"/>
  <c r="J6" i="4"/>
  <c r="J729" i="5" s="1"/>
  <c r="K6" i="4"/>
  <c r="K729" i="5" s="1"/>
  <c r="C7" i="4"/>
  <c r="C730" i="5" s="1"/>
  <c r="D7" i="4"/>
  <c r="D730" i="5" s="1"/>
  <c r="E7" i="4"/>
  <c r="E730" i="5" s="1"/>
  <c r="F7" i="4"/>
  <c r="F730" i="5" s="1"/>
  <c r="G7" i="4"/>
  <c r="G730" i="5" s="1"/>
  <c r="H7" i="4"/>
  <c r="H730" i="5" s="1"/>
  <c r="I7" i="4"/>
  <c r="I730" i="5" s="1"/>
  <c r="J7" i="4"/>
  <c r="J730" i="5" s="1"/>
  <c r="K7" i="4"/>
  <c r="K730" i="5" s="1"/>
  <c r="C4" i="3"/>
  <c r="D4"/>
  <c r="E4"/>
  <c r="F4"/>
  <c r="G4"/>
  <c r="I757" i="5" s="1"/>
  <c r="H4" i="3"/>
  <c r="J757" i="5" s="1"/>
  <c r="I4" i="3"/>
  <c r="K757" i="5" s="1"/>
  <c r="J4" i="3"/>
  <c r="K4"/>
  <c r="C5"/>
  <c r="D5"/>
  <c r="E5"/>
  <c r="F5"/>
  <c r="G5"/>
  <c r="I758" i="5" s="1"/>
  <c r="H5" i="3"/>
  <c r="J758" i="5" s="1"/>
  <c r="I5" i="3"/>
  <c r="K758" i="5" s="1"/>
  <c r="J5" i="3"/>
  <c r="K5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B5"/>
  <c r="C18" i="1"/>
  <c r="C714" i="5" s="1"/>
  <c r="D18" i="1"/>
  <c r="D714" i="5" s="1"/>
  <c r="E18" i="1"/>
  <c r="E714" i="5" s="1"/>
  <c r="F18" i="1"/>
  <c r="F714" i="5" s="1"/>
  <c r="G18" i="1"/>
  <c r="G714" i="5" s="1"/>
  <c r="H18" i="1"/>
  <c r="H714" i="5" s="1"/>
  <c r="I18" i="1"/>
  <c r="I714" i="5" s="1"/>
  <c r="J18" i="1"/>
  <c r="J714" i="5" s="1"/>
  <c r="K18" i="1"/>
  <c r="K714" i="5" s="1"/>
  <c r="B18" i="1"/>
  <c r="B714" i="5" s="1"/>
  <c r="C4" i="1"/>
  <c r="D4"/>
  <c r="E4"/>
  <c r="F4"/>
  <c r="G4"/>
  <c r="H4"/>
  <c r="H321" i="5" s="1"/>
  <c r="H699" s="1"/>
  <c r="I4" i="1"/>
  <c r="J4"/>
  <c r="J321" i="5" s="1"/>
  <c r="K4" i="1"/>
  <c r="K321" i="5" s="1"/>
  <c r="K328" s="1"/>
  <c r="C7" i="1"/>
  <c r="C663" i="5" s="1"/>
  <c r="D7" i="1"/>
  <c r="D663" i="5" s="1"/>
  <c r="E7" i="1"/>
  <c r="E663" i="5" s="1"/>
  <c r="F7" i="1"/>
  <c r="F663" i="5" s="1"/>
  <c r="G7" i="1"/>
  <c r="G663" i="5" s="1"/>
  <c r="H7" i="1"/>
  <c r="H663" i="5" s="1"/>
  <c r="I7" i="1"/>
  <c r="I663" i="5" s="1"/>
  <c r="J7" i="1"/>
  <c r="J663" i="5" s="1"/>
  <c r="K7" i="1"/>
  <c r="K663" i="5" s="1"/>
  <c r="C8" i="1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5"/>
  <c r="C387" i="5" s="1"/>
  <c r="D15" i="1"/>
  <c r="D387" i="5" s="1"/>
  <c r="E15" i="1"/>
  <c r="E387" i="5" s="1"/>
  <c r="F15" i="1"/>
  <c r="F387" i="5" s="1"/>
  <c r="G15" i="1"/>
  <c r="G387" i="5" s="1"/>
  <c r="H15" i="1"/>
  <c r="H387" i="5" s="1"/>
  <c r="I15" i="1"/>
  <c r="I387" i="5" s="1"/>
  <c r="J15" i="1"/>
  <c r="J387" i="5" s="1"/>
  <c r="K15" i="1"/>
  <c r="K387" i="5" s="1"/>
  <c r="B15" i="1"/>
  <c r="B7"/>
  <c r="B663" i="5" s="1"/>
  <c r="B4" i="1"/>
  <c r="A1"/>
  <c r="E1" i="6"/>
  <c r="F439" i="5" l="1"/>
  <c r="E761"/>
  <c r="J761"/>
  <c r="F761"/>
  <c r="K759"/>
  <c r="I761"/>
  <c r="J759"/>
  <c r="H761"/>
  <c r="D761"/>
  <c r="O48"/>
  <c r="I439"/>
  <c r="I759"/>
  <c r="G761"/>
  <c r="K761"/>
  <c r="C761"/>
  <c r="M539"/>
  <c r="N539" s="1"/>
  <c r="I725"/>
  <c r="E725"/>
  <c r="O730"/>
  <c r="K439"/>
  <c r="O349"/>
  <c r="M438"/>
  <c r="M663"/>
  <c r="N663" s="1"/>
  <c r="J725"/>
  <c r="F725"/>
  <c r="H439"/>
  <c r="O438"/>
  <c r="M650"/>
  <c r="N650" s="1"/>
  <c r="K725"/>
  <c r="G725"/>
  <c r="C725"/>
  <c r="H440"/>
  <c r="G439"/>
  <c r="M377"/>
  <c r="N377" s="1"/>
  <c r="M737"/>
  <c r="N737" s="1"/>
  <c r="M654"/>
  <c r="N654" s="1"/>
  <c r="H725"/>
  <c r="D725"/>
  <c r="D403"/>
  <c r="I440"/>
  <c r="O377"/>
  <c r="I340"/>
  <c r="J366" s="1"/>
  <c r="O335"/>
  <c r="D318"/>
  <c r="D321" s="1"/>
  <c r="M317"/>
  <c r="N317" s="1"/>
  <c r="I315"/>
  <c r="O314"/>
  <c r="G315"/>
  <c r="G526"/>
  <c r="G533" s="1"/>
  <c r="G221"/>
  <c r="I318"/>
  <c r="O318" s="1"/>
  <c r="O317"/>
  <c r="G361"/>
  <c r="M361" s="1"/>
  <c r="N438"/>
  <c r="M387"/>
  <c r="N387" s="1"/>
  <c r="O714"/>
  <c r="M729"/>
  <c r="N729" s="1"/>
  <c r="O728"/>
  <c r="O236"/>
  <c r="M48"/>
  <c r="N48" s="1"/>
  <c r="O220"/>
  <c r="M349"/>
  <c r="N349" s="1"/>
  <c r="O378"/>
  <c r="M166"/>
  <c r="N166" s="1"/>
  <c r="M738"/>
  <c r="N738" s="1"/>
  <c r="M651"/>
  <c r="N651" s="1"/>
  <c r="M355"/>
  <c r="N355" s="1"/>
  <c r="O387"/>
  <c r="M730"/>
  <c r="N730" s="1"/>
  <c r="O729"/>
  <c r="O83"/>
  <c r="J439"/>
  <c r="O448"/>
  <c r="O166"/>
  <c r="M652"/>
  <c r="N652" s="1"/>
  <c r="O361"/>
  <c r="M649"/>
  <c r="N649" s="1"/>
  <c r="D526"/>
  <c r="D533" s="1"/>
  <c r="M330"/>
  <c r="N330" s="1"/>
  <c r="G340"/>
  <c r="H366" s="1"/>
  <c r="F315"/>
  <c r="M314"/>
  <c r="N314" s="1"/>
  <c r="I526"/>
  <c r="O526" s="1"/>
  <c r="O330"/>
  <c r="D340"/>
  <c r="E366" s="1"/>
  <c r="M335"/>
  <c r="N335" s="1"/>
  <c r="G318"/>
  <c r="G321" s="1"/>
  <c r="M739"/>
  <c r="N739" s="1"/>
  <c r="M220"/>
  <c r="N220" s="1"/>
  <c r="M448"/>
  <c r="N448" s="1"/>
  <c r="M376"/>
  <c r="N376" s="1"/>
  <c r="M102"/>
  <c r="N102" s="1"/>
  <c r="M655"/>
  <c r="N655" s="1"/>
  <c r="M538"/>
  <c r="N538" s="1"/>
  <c r="O663"/>
  <c r="M714"/>
  <c r="N714" s="1"/>
  <c r="M728"/>
  <c r="N728" s="1"/>
  <c r="O739"/>
  <c r="M236"/>
  <c r="N236" s="1"/>
  <c r="M83"/>
  <c r="N83" s="1"/>
  <c r="K441"/>
  <c r="K440"/>
  <c r="J440"/>
  <c r="M252"/>
  <c r="N252" s="1"/>
  <c r="M378"/>
  <c r="N378" s="1"/>
  <c r="O376"/>
  <c r="M345"/>
  <c r="N345" s="1"/>
  <c r="O102"/>
  <c r="O738"/>
  <c r="O737"/>
  <c r="M656"/>
  <c r="N656" s="1"/>
  <c r="M648"/>
  <c r="N648" s="1"/>
  <c r="M653"/>
  <c r="N653" s="1"/>
  <c r="K221"/>
  <c r="J699"/>
  <c r="J328"/>
  <c r="G401"/>
  <c r="G704"/>
  <c r="C401"/>
  <c r="C704"/>
  <c r="I326"/>
  <c r="I322"/>
  <c r="E403"/>
  <c r="E326"/>
  <c r="E322"/>
  <c r="H401"/>
  <c r="H704"/>
  <c r="D401"/>
  <c r="D704"/>
  <c r="F322"/>
  <c r="F326"/>
  <c r="F701" s="1"/>
  <c r="I401"/>
  <c r="I704"/>
  <c r="E401"/>
  <c r="E704"/>
  <c r="K322"/>
  <c r="K326"/>
  <c r="K701" s="1"/>
  <c r="G322"/>
  <c r="G326"/>
  <c r="E321"/>
  <c r="H328"/>
  <c r="K401"/>
  <c r="K704"/>
  <c r="J326"/>
  <c r="J701" s="1"/>
  <c r="J322"/>
  <c r="J401"/>
  <c r="J704"/>
  <c r="F401"/>
  <c r="F704"/>
  <c r="H326"/>
  <c r="H701" s="1"/>
  <c r="H322"/>
  <c r="F321"/>
  <c r="K363"/>
  <c r="K699"/>
  <c r="C403"/>
  <c r="K743"/>
  <c r="K707" s="1"/>
  <c r="K706"/>
  <c r="K705"/>
  <c r="C706"/>
  <c r="C705"/>
  <c r="H706"/>
  <c r="H705"/>
  <c r="I705"/>
  <c r="I706"/>
  <c r="E705"/>
  <c r="E706"/>
  <c r="J705"/>
  <c r="J706"/>
  <c r="F705"/>
  <c r="F706"/>
  <c r="G706"/>
  <c r="G705"/>
  <c r="D706"/>
  <c r="D705"/>
  <c r="H745"/>
  <c r="H403"/>
  <c r="J745"/>
  <c r="J403"/>
  <c r="F745"/>
  <c r="F403"/>
  <c r="K745"/>
  <c r="K403"/>
  <c r="G745"/>
  <c r="G403"/>
  <c r="D745"/>
  <c r="I745"/>
  <c r="I403"/>
  <c r="E745"/>
  <c r="H758"/>
  <c r="I753"/>
  <c r="E753"/>
  <c r="I743"/>
  <c r="K753"/>
  <c r="E743"/>
  <c r="G753"/>
  <c r="J743"/>
  <c r="F743"/>
  <c r="H753"/>
  <c r="H743"/>
  <c r="J753"/>
  <c r="D743"/>
  <c r="F753"/>
  <c r="I740"/>
  <c r="G743"/>
  <c r="E740"/>
  <c r="E752" s="1"/>
  <c r="C743"/>
  <c r="J740"/>
  <c r="G740"/>
  <c r="K740"/>
  <c r="F740"/>
  <c r="F752" s="1"/>
  <c r="H740"/>
  <c r="I747"/>
  <c r="K159"/>
  <c r="G159"/>
  <c r="C159"/>
  <c r="K671"/>
  <c r="B786"/>
  <c r="J159"/>
  <c r="F159"/>
  <c r="D645"/>
  <c r="D160"/>
  <c r="J645"/>
  <c r="J160"/>
  <c r="F645"/>
  <c r="F160"/>
  <c r="H159"/>
  <c r="D159"/>
  <c r="H645"/>
  <c r="H160"/>
  <c r="B645"/>
  <c r="B160"/>
  <c r="I645"/>
  <c r="I160"/>
  <c r="E645"/>
  <c r="E160"/>
  <c r="K645"/>
  <c r="K160"/>
  <c r="G645"/>
  <c r="G160"/>
  <c r="C645"/>
  <c r="C160"/>
  <c r="I159"/>
  <c r="E159"/>
  <c r="J167"/>
  <c r="I221"/>
  <c r="F167"/>
  <c r="E221"/>
  <c r="E167"/>
  <c r="D221"/>
  <c r="J749"/>
  <c r="C749"/>
  <c r="H749"/>
  <c r="I167"/>
  <c r="F749"/>
  <c r="E749"/>
  <c r="I751"/>
  <c r="G751"/>
  <c r="C751"/>
  <c r="K751"/>
  <c r="K749"/>
  <c r="I749"/>
  <c r="D749"/>
  <c r="H751"/>
  <c r="G749"/>
  <c r="F751"/>
  <c r="D751"/>
  <c r="J751"/>
  <c r="E751"/>
  <c r="J666"/>
  <c r="F666"/>
  <c r="K167"/>
  <c r="D167"/>
  <c r="G167"/>
  <c r="H167"/>
  <c r="D103"/>
  <c r="K103"/>
  <c r="F103"/>
  <c r="H103"/>
  <c r="C103"/>
  <c r="G103"/>
  <c r="I103"/>
  <c r="E103"/>
  <c r="J103"/>
  <c r="F104"/>
  <c r="B104"/>
  <c r="I104"/>
  <c r="H104"/>
  <c r="G104"/>
  <c r="J104"/>
  <c r="E104"/>
  <c r="D104"/>
  <c r="C104"/>
  <c r="K104"/>
  <c r="K105" s="1"/>
  <c r="I666"/>
  <c r="E666"/>
  <c r="I13" i="1"/>
  <c r="I667" i="5"/>
  <c r="G684"/>
  <c r="G665"/>
  <c r="C665"/>
  <c r="D724"/>
  <c r="D664"/>
  <c r="J727"/>
  <c r="J669"/>
  <c r="J13" i="1"/>
  <c r="J14" s="1"/>
  <c r="J667" i="5"/>
  <c r="F13" i="1"/>
  <c r="F667" i="5"/>
  <c r="H665"/>
  <c r="H684"/>
  <c r="D665"/>
  <c r="D684"/>
  <c r="I664"/>
  <c r="I724"/>
  <c r="E664"/>
  <c r="E724"/>
  <c r="K727"/>
  <c r="K669"/>
  <c r="G727"/>
  <c r="G669"/>
  <c r="C727"/>
  <c r="C669"/>
  <c r="K13" i="1"/>
  <c r="K14" s="1"/>
  <c r="K716" i="5" s="1"/>
  <c r="K746" s="1"/>
  <c r="K667"/>
  <c r="G13" i="1"/>
  <c r="G667" i="5"/>
  <c r="C13" i="1"/>
  <c r="C14" s="1"/>
  <c r="C716" i="5" s="1"/>
  <c r="C746" s="1"/>
  <c r="C667"/>
  <c r="I665"/>
  <c r="I684"/>
  <c r="E665"/>
  <c r="E684"/>
  <c r="J664"/>
  <c r="J724"/>
  <c r="F664"/>
  <c r="F724"/>
  <c r="H669"/>
  <c r="H727"/>
  <c r="D669"/>
  <c r="D727"/>
  <c r="K666"/>
  <c r="G666"/>
  <c r="C666"/>
  <c r="H666"/>
  <c r="D666"/>
  <c r="E13" i="1"/>
  <c r="E14" s="1"/>
  <c r="E716" i="5" s="1"/>
  <c r="E746" s="1"/>
  <c r="E667"/>
  <c r="K684"/>
  <c r="K665"/>
  <c r="H724"/>
  <c r="H664"/>
  <c r="F727"/>
  <c r="F669"/>
  <c r="H13" i="1"/>
  <c r="H667" i="5"/>
  <c r="D13" i="1"/>
  <c r="D14" s="1"/>
  <c r="D716" i="5" s="1"/>
  <c r="D667"/>
  <c r="J684"/>
  <c r="J665"/>
  <c r="F684"/>
  <c r="F665"/>
  <c r="K664"/>
  <c r="K724"/>
  <c r="G664"/>
  <c r="G724"/>
  <c r="C664"/>
  <c r="C724"/>
  <c r="I669"/>
  <c r="I727"/>
  <c r="E669"/>
  <c r="E727"/>
  <c r="J385"/>
  <c r="K385"/>
  <c r="G385"/>
  <c r="C385"/>
  <c r="F385"/>
  <c r="K234"/>
  <c r="K237" s="1"/>
  <c r="K235"/>
  <c r="G234"/>
  <c r="G235"/>
  <c r="C234"/>
  <c r="C237" s="1"/>
  <c r="C235"/>
  <c r="H234"/>
  <c r="H237" s="1"/>
  <c r="H235"/>
  <c r="D234"/>
  <c r="D235"/>
  <c r="B235"/>
  <c r="I235"/>
  <c r="I234"/>
  <c r="E235"/>
  <c r="E234"/>
  <c r="E237" s="1"/>
  <c r="J235"/>
  <c r="J234"/>
  <c r="J237" s="1"/>
  <c r="F235"/>
  <c r="F234"/>
  <c r="F237" s="1"/>
  <c r="L5" i="1"/>
  <c r="D385" i="5"/>
  <c r="I385"/>
  <c r="E385"/>
  <c r="H385"/>
  <c r="H350"/>
  <c r="I371"/>
  <c r="E371"/>
  <c r="I350"/>
  <c r="I379"/>
  <c r="E379"/>
  <c r="J379"/>
  <c r="F379"/>
  <c r="K379"/>
  <c r="G379"/>
  <c r="H379"/>
  <c r="D379"/>
  <c r="F371"/>
  <c r="J371"/>
  <c r="K371"/>
  <c r="G371"/>
  <c r="H371"/>
  <c r="D371"/>
  <c r="K248"/>
  <c r="G248"/>
  <c r="C248"/>
  <c r="K340"/>
  <c r="I88"/>
  <c r="E88"/>
  <c r="E100" s="1"/>
  <c r="H248"/>
  <c r="D248"/>
  <c r="E248"/>
  <c r="J248"/>
  <c r="F248"/>
  <c r="I248"/>
  <c r="B248"/>
  <c r="J88"/>
  <c r="J100" s="1"/>
  <c r="F88"/>
  <c r="F100" s="1"/>
  <c r="K88"/>
  <c r="G88"/>
  <c r="C88"/>
  <c r="C100" s="1"/>
  <c r="H88"/>
  <c r="H100" s="1"/>
  <c r="D88"/>
  <c r="H153"/>
  <c r="D153"/>
  <c r="I153"/>
  <c r="E153"/>
  <c r="G151"/>
  <c r="C151"/>
  <c r="H151"/>
  <c r="F152"/>
  <c r="I151"/>
  <c r="E151"/>
  <c r="J153"/>
  <c r="F153"/>
  <c r="D151"/>
  <c r="J152"/>
  <c r="K151"/>
  <c r="J151"/>
  <c r="F151"/>
  <c r="K153"/>
  <c r="G153"/>
  <c r="H152"/>
  <c r="D152"/>
  <c r="I152"/>
  <c r="E152"/>
  <c r="K152"/>
  <c r="G152"/>
  <c r="C152"/>
  <c r="E350"/>
  <c r="F350"/>
  <c r="J350"/>
  <c r="C350"/>
  <c r="K350"/>
  <c r="G350"/>
  <c r="F366"/>
  <c r="E533"/>
  <c r="F533"/>
  <c r="H533"/>
  <c r="I533"/>
  <c r="O533" s="1"/>
  <c r="E336"/>
  <c r="E341" s="1"/>
  <c r="D336"/>
  <c r="I420"/>
  <c r="E420"/>
  <c r="E357" s="1"/>
  <c r="K420"/>
  <c r="K357" s="1"/>
  <c r="G420"/>
  <c r="H420"/>
  <c r="H357" s="1"/>
  <c r="D420"/>
  <c r="J420"/>
  <c r="J357" s="1"/>
  <c r="F420"/>
  <c r="F357" s="1"/>
  <c r="H336"/>
  <c r="H341" s="1"/>
  <c r="I336"/>
  <c r="F336"/>
  <c r="F341" s="1"/>
  <c r="G336"/>
  <c r="J336"/>
  <c r="J341" s="1"/>
  <c r="C336"/>
  <c r="C341" s="1"/>
  <c r="K336"/>
  <c r="I6" i="3"/>
  <c r="H6"/>
  <c r="D6"/>
  <c r="I23" i="2"/>
  <c r="I685" i="5" s="1"/>
  <c r="E23" i="2"/>
  <c r="E685" i="5" s="1"/>
  <c r="J23" i="2"/>
  <c r="J685" i="5" s="1"/>
  <c r="E1" i="2"/>
  <c r="E1" i="4"/>
  <c r="E1" i="3"/>
  <c r="J6"/>
  <c r="F6"/>
  <c r="K6"/>
  <c r="G6"/>
  <c r="C6"/>
  <c r="H16" i="2"/>
  <c r="D16"/>
  <c r="K23"/>
  <c r="K685" i="5" s="1"/>
  <c r="G16" i="2"/>
  <c r="F23"/>
  <c r="F685" i="5" s="1"/>
  <c r="C23" i="2"/>
  <c r="C685" i="5" s="1"/>
  <c r="I16" i="2"/>
  <c r="E16"/>
  <c r="K16"/>
  <c r="C16"/>
  <c r="G23"/>
  <c r="G685" i="5" s="1"/>
  <c r="J16" i="2"/>
  <c r="F16"/>
  <c r="E6" i="1"/>
  <c r="E658" i="5" s="1"/>
  <c r="E6" i="3"/>
  <c r="H23" i="2"/>
  <c r="H685" i="5" s="1"/>
  <c r="D23" i="2"/>
  <c r="D685" i="5" s="1"/>
  <c r="I6" i="1"/>
  <c r="I658" i="5" s="1"/>
  <c r="J6" i="1"/>
  <c r="J658" i="5" s="1"/>
  <c r="F6" i="1"/>
  <c r="F658" i="5" s="1"/>
  <c r="K6" i="1"/>
  <c r="K658" i="5" s="1"/>
  <c r="G6" i="1"/>
  <c r="G658" i="5" s="1"/>
  <c r="C6" i="1"/>
  <c r="C658" i="5" s="1"/>
  <c r="H6" i="1"/>
  <c r="H658" i="5" s="1"/>
  <c r="D6" i="1"/>
  <c r="D658" i="5" s="1"/>
  <c r="B6" i="1"/>
  <c r="B658" i="5" s="1"/>
  <c r="H1" i="1"/>
  <c r="H530" i="5" l="1"/>
  <c r="H534" s="1"/>
  <c r="H683" s="1"/>
  <c r="G530"/>
  <c r="G534" s="1"/>
  <c r="I366"/>
  <c r="F530"/>
  <c r="F534" s="1"/>
  <c r="F683" s="1"/>
  <c r="E530"/>
  <c r="E534" s="1"/>
  <c r="E683" s="1"/>
  <c r="D530"/>
  <c r="D534" s="1"/>
  <c r="O727"/>
  <c r="O221"/>
  <c r="G366"/>
  <c r="M403"/>
  <c r="M658"/>
  <c r="M685"/>
  <c r="N685" s="1"/>
  <c r="J530"/>
  <c r="J534" s="1"/>
  <c r="J683" s="1"/>
  <c r="D366"/>
  <c r="O152"/>
  <c r="O350"/>
  <c r="O669"/>
  <c r="M167"/>
  <c r="N167" s="1"/>
  <c r="O751"/>
  <c r="O645"/>
  <c r="I321"/>
  <c r="J363" s="1"/>
  <c r="M440"/>
  <c r="N440" s="1"/>
  <c r="M439"/>
  <c r="N439" s="1"/>
  <c r="K530"/>
  <c r="K534" s="1"/>
  <c r="K683" s="1"/>
  <c r="I530"/>
  <c r="O666"/>
  <c r="O104"/>
  <c r="O159"/>
  <c r="O745"/>
  <c r="O401"/>
  <c r="I357"/>
  <c r="O357" s="1"/>
  <c r="O420"/>
  <c r="D100"/>
  <c r="E101" s="1"/>
  <c r="M88"/>
  <c r="N88" s="1"/>
  <c r="D404"/>
  <c r="M401"/>
  <c r="N401" s="1"/>
  <c r="E701"/>
  <c r="M326"/>
  <c r="N326" s="1"/>
  <c r="G320"/>
  <c r="I341"/>
  <c r="O336"/>
  <c r="D357"/>
  <c r="M420"/>
  <c r="N420" s="1"/>
  <c r="G100"/>
  <c r="G101" s="1"/>
  <c r="I100"/>
  <c r="I101" s="1"/>
  <c r="O88"/>
  <c r="G237"/>
  <c r="I752"/>
  <c r="O740"/>
  <c r="I701"/>
  <c r="O701" s="1"/>
  <c r="O326"/>
  <c r="O441"/>
  <c r="M441"/>
  <c r="N441" s="1"/>
  <c r="F320"/>
  <c r="M315"/>
  <c r="N315" s="1"/>
  <c r="O235"/>
  <c r="M727"/>
  <c r="M684"/>
  <c r="N684" s="1"/>
  <c r="O743"/>
  <c r="O322"/>
  <c r="M671"/>
  <c r="N671" s="1"/>
  <c r="O248"/>
  <c r="M248"/>
  <c r="N248" s="1"/>
  <c r="M371"/>
  <c r="N371" s="1"/>
  <c r="O371"/>
  <c r="O385"/>
  <c r="M235"/>
  <c r="N235" s="1"/>
  <c r="O684"/>
  <c r="O724"/>
  <c r="M664"/>
  <c r="N664" s="1"/>
  <c r="M751"/>
  <c r="N751" s="1"/>
  <c r="M749"/>
  <c r="N749" s="1"/>
  <c r="O753"/>
  <c r="M705"/>
  <c r="N705" s="1"/>
  <c r="O440"/>
  <c r="O671"/>
  <c r="N361"/>
  <c r="M318"/>
  <c r="N318" s="1"/>
  <c r="O340"/>
  <c r="M533"/>
  <c r="N533" s="1"/>
  <c r="M152"/>
  <c r="N152" s="1"/>
  <c r="M151"/>
  <c r="N151" s="1"/>
  <c r="O151"/>
  <c r="M669"/>
  <c r="N669" s="1"/>
  <c r="N727"/>
  <c r="M665"/>
  <c r="N665" s="1"/>
  <c r="M104"/>
  <c r="N104" s="1"/>
  <c r="M103"/>
  <c r="N103" s="1"/>
  <c r="M159"/>
  <c r="O403"/>
  <c r="O705"/>
  <c r="O704"/>
  <c r="M704"/>
  <c r="N704" s="1"/>
  <c r="M322"/>
  <c r="N322" s="1"/>
  <c r="M340"/>
  <c r="N340" s="1"/>
  <c r="M526"/>
  <c r="N526" s="1"/>
  <c r="O439"/>
  <c r="D350"/>
  <c r="M350" s="1"/>
  <c r="N350" s="1"/>
  <c r="M379"/>
  <c r="N379" s="1"/>
  <c r="D746"/>
  <c r="I320"/>
  <c r="O315"/>
  <c r="G341"/>
  <c r="G357"/>
  <c r="D341"/>
  <c r="M336"/>
  <c r="N336" s="1"/>
  <c r="I237"/>
  <c r="O237" s="1"/>
  <c r="O234"/>
  <c r="D237"/>
  <c r="M234"/>
  <c r="N234" s="1"/>
  <c r="G701"/>
  <c r="M153"/>
  <c r="N153" s="1"/>
  <c r="M645"/>
  <c r="N645" s="1"/>
  <c r="O706"/>
  <c r="O658"/>
  <c r="O685"/>
  <c r="O153"/>
  <c r="O379"/>
  <c r="M385"/>
  <c r="N385" s="1"/>
  <c r="M667"/>
  <c r="N667" s="1"/>
  <c r="M666"/>
  <c r="N666" s="1"/>
  <c r="O665"/>
  <c r="O664"/>
  <c r="M724"/>
  <c r="N724" s="1"/>
  <c r="O667"/>
  <c r="O103"/>
  <c r="O749"/>
  <c r="O167"/>
  <c r="M221"/>
  <c r="N221" s="1"/>
  <c r="O160"/>
  <c r="M160"/>
  <c r="N160" s="1"/>
  <c r="M743"/>
  <c r="N743" s="1"/>
  <c r="M745"/>
  <c r="M706"/>
  <c r="N706" s="1"/>
  <c r="K100"/>
  <c r="K101" s="1"/>
  <c r="E404"/>
  <c r="K404"/>
  <c r="J404"/>
  <c r="I404"/>
  <c r="F363"/>
  <c r="G404"/>
  <c r="F404"/>
  <c r="D328"/>
  <c r="D699"/>
  <c r="J700"/>
  <c r="J364"/>
  <c r="J329"/>
  <c r="G328"/>
  <c r="H363"/>
  <c r="F700"/>
  <c r="F364"/>
  <c r="F329"/>
  <c r="I700"/>
  <c r="I364"/>
  <c r="I329"/>
  <c r="H329"/>
  <c r="H700"/>
  <c r="H364"/>
  <c r="E363"/>
  <c r="E699"/>
  <c r="E328"/>
  <c r="K700"/>
  <c r="K364"/>
  <c r="K329"/>
  <c r="G363"/>
  <c r="F402"/>
  <c r="F405" s="1"/>
  <c r="K402"/>
  <c r="K405" s="1"/>
  <c r="H402"/>
  <c r="H405" s="1"/>
  <c r="C404"/>
  <c r="G700"/>
  <c r="G329"/>
  <c r="G364"/>
  <c r="F699"/>
  <c r="F328"/>
  <c r="E700"/>
  <c r="E364"/>
  <c r="E329"/>
  <c r="H404"/>
  <c r="G699"/>
  <c r="K708"/>
  <c r="D402"/>
  <c r="E402"/>
  <c r="E405" s="1"/>
  <c r="F747"/>
  <c r="F707"/>
  <c r="F708"/>
  <c r="C747"/>
  <c r="C707"/>
  <c r="C708"/>
  <c r="E747"/>
  <c r="E708"/>
  <c r="E707"/>
  <c r="H747"/>
  <c r="H708"/>
  <c r="H707"/>
  <c r="D747"/>
  <c r="D708"/>
  <c r="D707"/>
  <c r="G747"/>
  <c r="G707"/>
  <c r="G708"/>
  <c r="J747"/>
  <c r="J707"/>
  <c r="J708"/>
  <c r="I708"/>
  <c r="I707"/>
  <c r="I402"/>
  <c r="J402"/>
  <c r="J405" s="1"/>
  <c r="G402"/>
  <c r="G105"/>
  <c r="F744"/>
  <c r="F748" s="1"/>
  <c r="F750"/>
  <c r="J744"/>
  <c r="J748" s="1"/>
  <c r="J750"/>
  <c r="I744"/>
  <c r="I750"/>
  <c r="H744"/>
  <c r="H748" s="1"/>
  <c r="H750"/>
  <c r="G744"/>
  <c r="G750"/>
  <c r="K744"/>
  <c r="K748" s="1"/>
  <c r="K750"/>
  <c r="E744"/>
  <c r="E750"/>
  <c r="H752"/>
  <c r="G752"/>
  <c r="K752"/>
  <c r="J752"/>
  <c r="B768"/>
  <c r="K747"/>
  <c r="G369"/>
  <c r="D105"/>
  <c r="H105"/>
  <c r="E105"/>
  <c r="I105"/>
  <c r="J105"/>
  <c r="C105"/>
  <c r="F105"/>
  <c r="E369"/>
  <c r="J356"/>
  <c r="J414" s="1"/>
  <c r="J415" s="1"/>
  <c r="H356"/>
  <c r="H414" s="1"/>
  <c r="H415" s="1"/>
  <c r="G14" i="1"/>
  <c r="G716" i="5" s="1"/>
  <c r="D356"/>
  <c r="K369"/>
  <c r="H14" i="1"/>
  <c r="H716" i="5" s="1"/>
  <c r="H746" s="1"/>
  <c r="F369"/>
  <c r="E356"/>
  <c r="E414" s="1"/>
  <c r="E415" s="1"/>
  <c r="H369"/>
  <c r="I356"/>
  <c r="D369"/>
  <c r="H715"/>
  <c r="H703" s="1"/>
  <c r="H668"/>
  <c r="E668"/>
  <c r="E715"/>
  <c r="E703" s="1"/>
  <c r="J716"/>
  <c r="J746" s="1"/>
  <c r="C715"/>
  <c r="C703" s="1"/>
  <c r="C668"/>
  <c r="K668"/>
  <c r="K715"/>
  <c r="K703" s="1"/>
  <c r="F668"/>
  <c r="F715"/>
  <c r="F703" s="1"/>
  <c r="I715"/>
  <c r="I668"/>
  <c r="D668"/>
  <c r="D715"/>
  <c r="I14" i="1"/>
  <c r="I716" i="5" s="1"/>
  <c r="F356"/>
  <c r="F414" s="1"/>
  <c r="F415" s="1"/>
  <c r="K356"/>
  <c r="K414" s="1"/>
  <c r="K415" s="1"/>
  <c r="F14" i="1"/>
  <c r="G356" i="5"/>
  <c r="I369"/>
  <c r="J369"/>
  <c r="B464"/>
  <c r="G668"/>
  <c r="G715"/>
  <c r="J715"/>
  <c r="J703" s="1"/>
  <c r="J668"/>
  <c r="F101"/>
  <c r="G395"/>
  <c r="E395"/>
  <c r="C395"/>
  <c r="J395"/>
  <c r="D395"/>
  <c r="K395"/>
  <c r="I395"/>
  <c r="H395"/>
  <c r="F395"/>
  <c r="K392"/>
  <c r="K233"/>
  <c r="H392"/>
  <c r="H233"/>
  <c r="I230" s="1"/>
  <c r="F392"/>
  <c r="F233"/>
  <c r="G230" s="1"/>
  <c r="C392"/>
  <c r="C233"/>
  <c r="D230" s="1"/>
  <c r="D392"/>
  <c r="D233"/>
  <c r="I392"/>
  <c r="I233"/>
  <c r="J392"/>
  <c r="J233"/>
  <c r="K230" s="1"/>
  <c r="K692" s="1"/>
  <c r="E392"/>
  <c r="E233"/>
  <c r="F230" s="1"/>
  <c r="F692" s="1"/>
  <c r="G392"/>
  <c r="G233"/>
  <c r="F386"/>
  <c r="F388" s="1"/>
  <c r="K386"/>
  <c r="K388" s="1"/>
  <c r="G386"/>
  <c r="E386"/>
  <c r="E388" s="1"/>
  <c r="J386"/>
  <c r="J388" s="1"/>
  <c r="H386"/>
  <c r="H388" s="1"/>
  <c r="I386"/>
  <c r="D386"/>
  <c r="H245"/>
  <c r="H659" s="1"/>
  <c r="F245"/>
  <c r="F659" s="1"/>
  <c r="D281"/>
  <c r="K277"/>
  <c r="C274"/>
  <c r="G274"/>
  <c r="K370"/>
  <c r="D370"/>
  <c r="E370"/>
  <c r="I375"/>
  <c r="K375"/>
  <c r="H375"/>
  <c r="F375"/>
  <c r="E375"/>
  <c r="D375"/>
  <c r="J375"/>
  <c r="G375"/>
  <c r="G94"/>
  <c r="K341"/>
  <c r="K366"/>
  <c r="H89"/>
  <c r="H396" s="1"/>
  <c r="H94"/>
  <c r="H110" s="1"/>
  <c r="H279"/>
  <c r="K281"/>
  <c r="D89"/>
  <c r="H258"/>
  <c r="H163"/>
  <c r="I409"/>
  <c r="G277"/>
  <c r="G258"/>
  <c r="H157"/>
  <c r="G95"/>
  <c r="H277"/>
  <c r="H281"/>
  <c r="H274"/>
  <c r="D274"/>
  <c r="D346"/>
  <c r="K95"/>
  <c r="K409"/>
  <c r="D163"/>
  <c r="E409"/>
  <c r="G279"/>
  <c r="D258"/>
  <c r="D277"/>
  <c r="G163"/>
  <c r="K89"/>
  <c r="D245"/>
  <c r="G89"/>
  <c r="D94"/>
  <c r="D279"/>
  <c r="H410"/>
  <c r="K163"/>
  <c r="K258"/>
  <c r="D95"/>
  <c r="C163"/>
  <c r="D409"/>
  <c r="H95"/>
  <c r="H111" s="1"/>
  <c r="H409"/>
  <c r="K274"/>
  <c r="C281"/>
  <c r="C245"/>
  <c r="C659" s="1"/>
  <c r="K410"/>
  <c r="J245"/>
  <c r="J659" s="1"/>
  <c r="K94"/>
  <c r="K245"/>
  <c r="K659" s="1"/>
  <c r="K279"/>
  <c r="C277"/>
  <c r="C89"/>
  <c r="C396" s="1"/>
  <c r="H346"/>
  <c r="E95"/>
  <c r="E111" s="1"/>
  <c r="E245"/>
  <c r="E659" s="1"/>
  <c r="I95"/>
  <c r="I245"/>
  <c r="G281"/>
  <c r="G245"/>
  <c r="C258"/>
  <c r="C94"/>
  <c r="C110" s="1"/>
  <c r="C95"/>
  <c r="C111" s="1"/>
  <c r="D410"/>
  <c r="C279"/>
  <c r="J95"/>
  <c r="J111" s="1"/>
  <c r="J409"/>
  <c r="F157"/>
  <c r="F281"/>
  <c r="F89"/>
  <c r="F396" s="1"/>
  <c r="F258"/>
  <c r="F410"/>
  <c r="F163"/>
  <c r="F277"/>
  <c r="G410"/>
  <c r="F279"/>
  <c r="F346"/>
  <c r="F274"/>
  <c r="F94"/>
  <c r="F110" s="1"/>
  <c r="I346"/>
  <c r="I163"/>
  <c r="I94"/>
  <c r="I281"/>
  <c r="I279"/>
  <c r="I277"/>
  <c r="I258"/>
  <c r="I274"/>
  <c r="I89"/>
  <c r="I410"/>
  <c r="E281"/>
  <c r="E89"/>
  <c r="E396" s="1"/>
  <c r="E258"/>
  <c r="E274"/>
  <c r="E163"/>
  <c r="E94"/>
  <c r="E110" s="1"/>
  <c r="E279"/>
  <c r="E410"/>
  <c r="E277"/>
  <c r="E346"/>
  <c r="K346"/>
  <c r="J274"/>
  <c r="J94"/>
  <c r="J110" s="1"/>
  <c r="J277"/>
  <c r="J258"/>
  <c r="J410"/>
  <c r="J163"/>
  <c r="J281"/>
  <c r="J89"/>
  <c r="J396" s="1"/>
  <c r="J346"/>
  <c r="J279"/>
  <c r="F409"/>
  <c r="G346"/>
  <c r="F95"/>
  <c r="F111" s="1"/>
  <c r="G409"/>
  <c r="G154"/>
  <c r="E154"/>
  <c r="E155" s="1"/>
  <c r="J154"/>
  <c r="J155" s="1"/>
  <c r="F154"/>
  <c r="F155" s="1"/>
  <c r="D154"/>
  <c r="K154"/>
  <c r="K155" s="1"/>
  <c r="I154"/>
  <c r="H154"/>
  <c r="H155" s="1"/>
  <c r="C86"/>
  <c r="C84" s="1"/>
  <c r="C157"/>
  <c r="D86"/>
  <c r="D157"/>
  <c r="I86"/>
  <c r="I157"/>
  <c r="J86"/>
  <c r="J84" s="1"/>
  <c r="J157"/>
  <c r="G86"/>
  <c r="G157"/>
  <c r="E86"/>
  <c r="E84" s="1"/>
  <c r="E288" s="1"/>
  <c r="E157"/>
  <c r="K86"/>
  <c r="K157"/>
  <c r="D226"/>
  <c r="F535"/>
  <c r="I535"/>
  <c r="K535"/>
  <c r="H535"/>
  <c r="G535"/>
  <c r="J535"/>
  <c r="I19" i="1"/>
  <c r="I464" i="5"/>
  <c r="D19" i="1"/>
  <c r="D464" i="5"/>
  <c r="G19" i="1"/>
  <c r="G464" i="5"/>
  <c r="E19" i="1"/>
  <c r="E464" i="5"/>
  <c r="C19" i="1"/>
  <c r="C464" i="5"/>
  <c r="J19" i="1"/>
  <c r="J464" i="5"/>
  <c r="K19" i="1"/>
  <c r="K464" i="5"/>
  <c r="H19" i="1"/>
  <c r="H464" i="5"/>
  <c r="F19" i="1"/>
  <c r="F464" i="5"/>
  <c r="K430"/>
  <c r="F421"/>
  <c r="H422"/>
  <c r="G421"/>
  <c r="I422"/>
  <c r="J422"/>
  <c r="H421"/>
  <c r="I421"/>
  <c r="K422"/>
  <c r="J421"/>
  <c r="J430"/>
  <c r="K421"/>
  <c r="F24" i="2"/>
  <c r="F86" i="5"/>
  <c r="F84" s="1"/>
  <c r="H24" i="2"/>
  <c r="H86" i="5"/>
  <c r="H84" s="1"/>
  <c r="C495"/>
  <c r="E495"/>
  <c r="D495"/>
  <c r="M495" s="1"/>
  <c r="N495" s="1"/>
  <c r="G24" i="2"/>
  <c r="E24"/>
  <c r="K24"/>
  <c r="C24"/>
  <c r="I24"/>
  <c r="D24"/>
  <c r="J24"/>
  <c r="C3" i="4"/>
  <c r="D3"/>
  <c r="E3"/>
  <c r="F3"/>
  <c r="G3"/>
  <c r="H3"/>
  <c r="I3"/>
  <c r="J3"/>
  <c r="K3"/>
  <c r="C3" i="2"/>
  <c r="D3"/>
  <c r="E3"/>
  <c r="F3"/>
  <c r="G3"/>
  <c r="H3"/>
  <c r="I3"/>
  <c r="J3"/>
  <c r="K3"/>
  <c r="C3" i="3"/>
  <c r="C756" i="5" s="1"/>
  <c r="D3" i="3"/>
  <c r="D756" i="5" s="1"/>
  <c r="E3" i="3"/>
  <c r="E756" i="5" s="1"/>
  <c r="F3" i="3"/>
  <c r="F756" i="5" s="1"/>
  <c r="G3" i="3"/>
  <c r="G756" i="5" s="1"/>
  <c r="H3" i="3"/>
  <c r="H756" i="5" s="1"/>
  <c r="I3" i="3"/>
  <c r="I756" i="5" s="1"/>
  <c r="J3" i="3"/>
  <c r="J756" i="5" s="1"/>
  <c r="K3" i="3"/>
  <c r="K756" i="5" s="1"/>
  <c r="C3" i="1"/>
  <c r="D3"/>
  <c r="E3"/>
  <c r="F3"/>
  <c r="G3"/>
  <c r="H3"/>
  <c r="I3"/>
  <c r="J3"/>
  <c r="K3"/>
  <c r="H282" i="5" l="1"/>
  <c r="M321"/>
  <c r="N321" s="1"/>
  <c r="N364"/>
  <c r="O409"/>
  <c r="M366"/>
  <c r="N366" s="1"/>
  <c r="O395"/>
  <c r="H101"/>
  <c r="O321"/>
  <c r="M530"/>
  <c r="N530" s="1"/>
  <c r="I363"/>
  <c r="M363" s="1"/>
  <c r="N363" s="1"/>
  <c r="O364"/>
  <c r="I328"/>
  <c r="O328" s="1"/>
  <c r="O707"/>
  <c r="M341"/>
  <c r="N341" s="1"/>
  <c r="O341"/>
  <c r="I534"/>
  <c r="M534" s="1"/>
  <c r="N534" s="1"/>
  <c r="I699"/>
  <c r="O699" s="1"/>
  <c r="O422"/>
  <c r="M535"/>
  <c r="N535" s="1"/>
  <c r="O258"/>
  <c r="O375"/>
  <c r="O747"/>
  <c r="M237"/>
  <c r="N237" s="1"/>
  <c r="O530"/>
  <c r="O274"/>
  <c r="O100"/>
  <c r="I396"/>
  <c r="J541" s="1"/>
  <c r="O89"/>
  <c r="G659"/>
  <c r="G396"/>
  <c r="G541" s="1"/>
  <c r="G111"/>
  <c r="G139" s="1"/>
  <c r="D388"/>
  <c r="M386"/>
  <c r="N386" s="1"/>
  <c r="H230"/>
  <c r="H692" s="1"/>
  <c r="E230"/>
  <c r="E692" s="1"/>
  <c r="M233"/>
  <c r="N233" s="1"/>
  <c r="G692"/>
  <c r="G703"/>
  <c r="G414"/>
  <c r="I746"/>
  <c r="O746" s="1"/>
  <c r="O716"/>
  <c r="O320"/>
  <c r="J362"/>
  <c r="I362"/>
  <c r="I327"/>
  <c r="O327" s="1"/>
  <c r="G362"/>
  <c r="G327"/>
  <c r="H362"/>
  <c r="D84"/>
  <c r="D288" s="1"/>
  <c r="M86"/>
  <c r="N86" s="1"/>
  <c r="I155"/>
  <c r="O155" s="1"/>
  <c r="O154"/>
  <c r="I111"/>
  <c r="J116" s="1"/>
  <c r="O95"/>
  <c r="D110"/>
  <c r="E115" s="1"/>
  <c r="M94"/>
  <c r="N94" s="1"/>
  <c r="D396"/>
  <c r="E541" s="1"/>
  <c r="M89"/>
  <c r="N89" s="1"/>
  <c r="I414"/>
  <c r="O356"/>
  <c r="G405"/>
  <c r="F327"/>
  <c r="M320"/>
  <c r="N320" s="1"/>
  <c r="O157"/>
  <c r="O279"/>
  <c r="O346"/>
  <c r="M410"/>
  <c r="N410" s="1"/>
  <c r="M409"/>
  <c r="N409" s="1"/>
  <c r="M277"/>
  <c r="N277" s="1"/>
  <c r="M163"/>
  <c r="M274"/>
  <c r="O725"/>
  <c r="M105"/>
  <c r="N105" s="1"/>
  <c r="O750"/>
  <c r="M747"/>
  <c r="N747" s="1"/>
  <c r="M357"/>
  <c r="N357" s="1"/>
  <c r="M404"/>
  <c r="N404" s="1"/>
  <c r="O421"/>
  <c r="O464"/>
  <c r="O410"/>
  <c r="O277"/>
  <c r="O163"/>
  <c r="M346"/>
  <c r="N346" s="1"/>
  <c r="O392"/>
  <c r="M725"/>
  <c r="O369"/>
  <c r="O708"/>
  <c r="M708"/>
  <c r="N708" s="1"/>
  <c r="M329"/>
  <c r="N329" s="1"/>
  <c r="O329"/>
  <c r="O404"/>
  <c r="O366"/>
  <c r="I110"/>
  <c r="O94"/>
  <c r="I659"/>
  <c r="O659" s="1"/>
  <c r="O245"/>
  <c r="D111"/>
  <c r="F116" s="1"/>
  <c r="M95"/>
  <c r="N95" s="1"/>
  <c r="G110"/>
  <c r="H115" s="1"/>
  <c r="J230"/>
  <c r="J692" s="1"/>
  <c r="O233"/>
  <c r="D692"/>
  <c r="I692"/>
  <c r="I703"/>
  <c r="O703" s="1"/>
  <c r="O715"/>
  <c r="G746"/>
  <c r="D405"/>
  <c r="M402"/>
  <c r="N402" s="1"/>
  <c r="D683"/>
  <c r="G683"/>
  <c r="G84"/>
  <c r="G288" s="1"/>
  <c r="I84"/>
  <c r="I223" s="1"/>
  <c r="O86"/>
  <c r="D155"/>
  <c r="M154"/>
  <c r="N154" s="1"/>
  <c r="G155"/>
  <c r="D659"/>
  <c r="M245"/>
  <c r="N245" s="1"/>
  <c r="I388"/>
  <c r="O388" s="1"/>
  <c r="O386"/>
  <c r="G388"/>
  <c r="D703"/>
  <c r="M715"/>
  <c r="N715" s="1"/>
  <c r="D414"/>
  <c r="M356"/>
  <c r="N356" s="1"/>
  <c r="E748"/>
  <c r="M744"/>
  <c r="N744" s="1"/>
  <c r="G748"/>
  <c r="I748"/>
  <c r="O748" s="1"/>
  <c r="O744"/>
  <c r="I405"/>
  <c r="O405" s="1"/>
  <c r="O402"/>
  <c r="M157"/>
  <c r="N157" s="1"/>
  <c r="M279"/>
  <c r="N279" s="1"/>
  <c r="M395"/>
  <c r="N395" s="1"/>
  <c r="M668"/>
  <c r="M369"/>
  <c r="N369" s="1"/>
  <c r="M707"/>
  <c r="N707" s="1"/>
  <c r="O752"/>
  <c r="M701"/>
  <c r="N701" s="1"/>
  <c r="M100"/>
  <c r="M464"/>
  <c r="N464" s="1"/>
  <c r="O535"/>
  <c r="O281"/>
  <c r="M258"/>
  <c r="N258" s="1"/>
  <c r="M375"/>
  <c r="N375" s="1"/>
  <c r="M281"/>
  <c r="N281" s="1"/>
  <c r="M392"/>
  <c r="N392" s="1"/>
  <c r="J101"/>
  <c r="O101" s="1"/>
  <c r="D101"/>
  <c r="O668"/>
  <c r="O105"/>
  <c r="M700"/>
  <c r="N700" s="1"/>
  <c r="O700"/>
  <c r="D373"/>
  <c r="K396"/>
  <c r="K541" s="1"/>
  <c r="G251"/>
  <c r="G661"/>
  <c r="F251"/>
  <c r="F661"/>
  <c r="K251"/>
  <c r="K661"/>
  <c r="I251"/>
  <c r="I661"/>
  <c r="H251"/>
  <c r="H661"/>
  <c r="J251"/>
  <c r="J661"/>
  <c r="E251"/>
  <c r="E661"/>
  <c r="D251"/>
  <c r="D661"/>
  <c r="C251"/>
  <c r="C661"/>
  <c r="E295"/>
  <c r="E296"/>
  <c r="H223"/>
  <c r="H288"/>
  <c r="J223"/>
  <c r="J288"/>
  <c r="F223"/>
  <c r="F288"/>
  <c r="F298" s="1"/>
  <c r="C223"/>
  <c r="C288"/>
  <c r="B778"/>
  <c r="D779" s="1"/>
  <c r="E779" s="1"/>
  <c r="F779" s="1"/>
  <c r="G779" s="1"/>
  <c r="W772"/>
  <c r="J772"/>
  <c r="U772"/>
  <c r="X772"/>
  <c r="K772"/>
  <c r="Y772"/>
  <c r="N772"/>
  <c r="Q772"/>
  <c r="V772"/>
  <c r="T772"/>
  <c r="S772"/>
  <c r="I772"/>
  <c r="F772"/>
  <c r="P772"/>
  <c r="O772"/>
  <c r="M772"/>
  <c r="E772"/>
  <c r="D768"/>
  <c r="D772"/>
  <c r="H772"/>
  <c r="G772"/>
  <c r="R772"/>
  <c r="E223"/>
  <c r="G370"/>
  <c r="G168"/>
  <c r="H397"/>
  <c r="H165"/>
  <c r="K397"/>
  <c r="K165"/>
  <c r="D397"/>
  <c r="D165"/>
  <c r="I397"/>
  <c r="I165"/>
  <c r="F397"/>
  <c r="F165"/>
  <c r="G397"/>
  <c r="G165"/>
  <c r="C397"/>
  <c r="J397"/>
  <c r="J165"/>
  <c r="E397"/>
  <c r="E165"/>
  <c r="G373"/>
  <c r="J373"/>
  <c r="H131"/>
  <c r="H135" s="1"/>
  <c r="H139"/>
  <c r="H143" s="1"/>
  <c r="D130"/>
  <c r="H130"/>
  <c r="H134" s="1"/>
  <c r="H138"/>
  <c r="H142" s="1"/>
  <c r="J130"/>
  <c r="J138"/>
  <c r="J142" s="1"/>
  <c r="C130"/>
  <c r="C134" s="1"/>
  <c r="C138"/>
  <c r="C142" s="1"/>
  <c r="E130"/>
  <c r="E138"/>
  <c r="E142" s="1"/>
  <c r="F130"/>
  <c r="F134" s="1"/>
  <c r="F138"/>
  <c r="F142" s="1"/>
  <c r="C131"/>
  <c r="C135" s="1"/>
  <c r="C139"/>
  <c r="C143" s="1"/>
  <c r="E131"/>
  <c r="E135" s="1"/>
  <c r="E139"/>
  <c r="E143" s="1"/>
  <c r="F131"/>
  <c r="F135" s="1"/>
  <c r="F139"/>
  <c r="F143" s="1"/>
  <c r="J131"/>
  <c r="J135" s="1"/>
  <c r="J139"/>
  <c r="J143" s="1"/>
  <c r="K84"/>
  <c r="K373"/>
  <c r="I370"/>
  <c r="F373"/>
  <c r="E373"/>
  <c r="I373"/>
  <c r="H370"/>
  <c r="H373"/>
  <c r="J156"/>
  <c r="J686"/>
  <c r="J754" s="1"/>
  <c r="J755" s="1"/>
  <c r="C156"/>
  <c r="C686"/>
  <c r="C754" s="1"/>
  <c r="C755" s="1"/>
  <c r="H156"/>
  <c r="H686"/>
  <c r="H754" s="1"/>
  <c r="H755" s="1"/>
  <c r="I156"/>
  <c r="I686"/>
  <c r="G156"/>
  <c r="G686"/>
  <c r="J370"/>
  <c r="K156"/>
  <c r="K686"/>
  <c r="D156"/>
  <c r="D686"/>
  <c r="E156"/>
  <c r="E686"/>
  <c r="E754" s="1"/>
  <c r="E755" s="1"/>
  <c r="F156"/>
  <c r="F686"/>
  <c r="F754" s="1"/>
  <c r="F755" s="1"/>
  <c r="F370"/>
  <c r="F716"/>
  <c r="K540"/>
  <c r="F540"/>
  <c r="I540"/>
  <c r="E540"/>
  <c r="H540"/>
  <c r="G540"/>
  <c r="D540"/>
  <c r="J540"/>
  <c r="F115"/>
  <c r="F541"/>
  <c r="K190"/>
  <c r="G190"/>
  <c r="I195"/>
  <c r="I196"/>
  <c r="H191"/>
  <c r="K195"/>
  <c r="I190"/>
  <c r="K196"/>
  <c r="J191"/>
  <c r="J190"/>
  <c r="K191"/>
  <c r="H195"/>
  <c r="F190"/>
  <c r="F191"/>
  <c r="H196"/>
  <c r="G191"/>
  <c r="H190"/>
  <c r="J195"/>
  <c r="I191"/>
  <c r="J196"/>
  <c r="C92"/>
  <c r="H176"/>
  <c r="H181"/>
  <c r="H180"/>
  <c r="H175"/>
  <c r="K181"/>
  <c r="K180"/>
  <c r="K175"/>
  <c r="K176"/>
  <c r="D92"/>
  <c r="I176"/>
  <c r="I181"/>
  <c r="I180"/>
  <c r="I175"/>
  <c r="F176"/>
  <c r="F175"/>
  <c r="G175"/>
  <c r="G176"/>
  <c r="J181"/>
  <c r="J180"/>
  <c r="J175"/>
  <c r="J176"/>
  <c r="F92"/>
  <c r="J92"/>
  <c r="E92"/>
  <c r="H92"/>
  <c r="I246"/>
  <c r="I347"/>
  <c r="I381"/>
  <c r="E381"/>
  <c r="K381"/>
  <c r="H381"/>
  <c r="J381"/>
  <c r="F381"/>
  <c r="G381"/>
  <c r="D381"/>
  <c r="D282"/>
  <c r="D347"/>
  <c r="J246"/>
  <c r="J660" s="1"/>
  <c r="J347"/>
  <c r="H278"/>
  <c r="H347"/>
  <c r="F246"/>
  <c r="F660" s="1"/>
  <c r="F347"/>
  <c r="K347"/>
  <c r="G278"/>
  <c r="G347"/>
  <c r="E246"/>
  <c r="E660" s="1"/>
  <c r="E347"/>
  <c r="E374"/>
  <c r="D374"/>
  <c r="I92"/>
  <c r="G92"/>
  <c r="K92"/>
  <c r="K110"/>
  <c r="K138" s="1"/>
  <c r="K142" s="1"/>
  <c r="K111"/>
  <c r="K139" s="1"/>
  <c r="K143" s="1"/>
  <c r="D246"/>
  <c r="H246"/>
  <c r="H660" s="1"/>
  <c r="H280"/>
  <c r="D280"/>
  <c r="D278"/>
  <c r="D348"/>
  <c r="H348"/>
  <c r="H170"/>
  <c r="G282"/>
  <c r="K246"/>
  <c r="K660" s="1"/>
  <c r="H171"/>
  <c r="D170"/>
  <c r="D171"/>
  <c r="K280"/>
  <c r="K278"/>
  <c r="K282"/>
  <c r="G280"/>
  <c r="G246"/>
  <c r="C282"/>
  <c r="C246"/>
  <c r="C660" s="1"/>
  <c r="C278"/>
  <c r="C280"/>
  <c r="E282"/>
  <c r="E280"/>
  <c r="E278"/>
  <c r="J282"/>
  <c r="J280"/>
  <c r="J278"/>
  <c r="I282"/>
  <c r="I280"/>
  <c r="I278"/>
  <c r="I170"/>
  <c r="I348"/>
  <c r="I171"/>
  <c r="F170"/>
  <c r="G170"/>
  <c r="G348"/>
  <c r="F348"/>
  <c r="F171"/>
  <c r="G171"/>
  <c r="K348"/>
  <c r="J348"/>
  <c r="K171"/>
  <c r="J170"/>
  <c r="J171"/>
  <c r="K170"/>
  <c r="E348"/>
  <c r="E171"/>
  <c r="E170"/>
  <c r="F282"/>
  <c r="F280"/>
  <c r="F278"/>
  <c r="G255"/>
  <c r="G353"/>
  <c r="C255"/>
  <c r="E87"/>
  <c r="E353"/>
  <c r="J255"/>
  <c r="J353"/>
  <c r="D255"/>
  <c r="D353"/>
  <c r="K255"/>
  <c r="K353"/>
  <c r="I255"/>
  <c r="I353"/>
  <c r="F255"/>
  <c r="F353"/>
  <c r="H353"/>
  <c r="G87"/>
  <c r="E226"/>
  <c r="K226"/>
  <c r="I87"/>
  <c r="J87"/>
  <c r="J226"/>
  <c r="K87"/>
  <c r="D87"/>
  <c r="E255"/>
  <c r="I226"/>
  <c r="G226"/>
  <c r="C226"/>
  <c r="C87"/>
  <c r="H226"/>
  <c r="H255"/>
  <c r="F450"/>
  <c r="F454" s="1"/>
  <c r="F455" s="1"/>
  <c r="F457"/>
  <c r="F459" s="1"/>
  <c r="K457"/>
  <c r="K459" s="1"/>
  <c r="K450"/>
  <c r="C450"/>
  <c r="C457"/>
  <c r="C459" s="1"/>
  <c r="G457"/>
  <c r="G450"/>
  <c r="I450"/>
  <c r="I457"/>
  <c r="H457"/>
  <c r="H459" s="1"/>
  <c r="H450"/>
  <c r="H454" s="1"/>
  <c r="H455" s="1"/>
  <c r="J450"/>
  <c r="J454" s="1"/>
  <c r="J455" s="1"/>
  <c r="J457"/>
  <c r="J459" s="1"/>
  <c r="E450"/>
  <c r="E454" s="1"/>
  <c r="E455" s="1"/>
  <c r="E457"/>
  <c r="E459" s="1"/>
  <c r="D457"/>
  <c r="D450"/>
  <c r="H430"/>
  <c r="G430"/>
  <c r="E430"/>
  <c r="K435"/>
  <c r="O435" s="1"/>
  <c r="I430"/>
  <c r="F430"/>
  <c r="F226"/>
  <c r="H87"/>
  <c r="H85" s="1"/>
  <c r="F87"/>
  <c r="F85" s="1"/>
  <c r="B7" i="4"/>
  <c r="B730" i="5" s="1"/>
  <c r="B6" i="4"/>
  <c r="B729" i="5" s="1"/>
  <c r="B5" i="4"/>
  <c r="B728" i="5" s="1"/>
  <c r="B4" i="4"/>
  <c r="B739" i="5" s="1"/>
  <c r="B3" i="4"/>
  <c r="K21" i="2"/>
  <c r="K690" i="5" s="1"/>
  <c r="J21" i="2"/>
  <c r="J690" i="5" s="1"/>
  <c r="I21" i="2"/>
  <c r="I690" i="5" s="1"/>
  <c r="H21" i="2"/>
  <c r="H690" i="5" s="1"/>
  <c r="G21" i="2"/>
  <c r="G690" i="5" s="1"/>
  <c r="F21" i="2"/>
  <c r="F690" i="5" s="1"/>
  <c r="E21" i="2"/>
  <c r="E690" i="5" s="1"/>
  <c r="D21" i="2"/>
  <c r="D690" i="5" s="1"/>
  <c r="C21" i="2"/>
  <c r="C690" i="5" s="1"/>
  <c r="B18" i="2"/>
  <c r="B13"/>
  <c r="B12"/>
  <c r="B11"/>
  <c r="B10"/>
  <c r="C684" i="5" s="1"/>
  <c r="B8" i="2"/>
  <c r="B7"/>
  <c r="B6"/>
  <c r="B671" i="5" s="1"/>
  <c r="B3" i="2"/>
  <c r="J14" i="3"/>
  <c r="J760" i="5" s="1"/>
  <c r="H14" i="3"/>
  <c r="H760" i="5" s="1"/>
  <c r="F14" i="3"/>
  <c r="F760" i="5" s="1"/>
  <c r="D14" i="3"/>
  <c r="D760" i="5" s="1"/>
  <c r="B12" i="3"/>
  <c r="B11"/>
  <c r="B10"/>
  <c r="B9"/>
  <c r="B8"/>
  <c r="B7"/>
  <c r="B4"/>
  <c r="H757" i="5" s="1"/>
  <c r="B3" i="3"/>
  <c r="B756" i="5" s="1"/>
  <c r="L15" i="1"/>
  <c r="B12"/>
  <c r="B11"/>
  <c r="B10"/>
  <c r="B9"/>
  <c r="B8"/>
  <c r="B20" i="2"/>
  <c r="B228" i="5" s="1"/>
  <c r="B693" s="1"/>
  <c r="B3" i="1"/>
  <c r="I288" i="5" l="1"/>
  <c r="J298" s="1"/>
  <c r="J304" s="1"/>
  <c r="I168"/>
  <c r="E116"/>
  <c r="I131"/>
  <c r="I135" s="1"/>
  <c r="E168"/>
  <c r="J168"/>
  <c r="H759"/>
  <c r="B761"/>
  <c r="O226"/>
  <c r="O280"/>
  <c r="I120"/>
  <c r="I210" s="1"/>
  <c r="O534"/>
  <c r="I683"/>
  <c r="O683" s="1"/>
  <c r="G130"/>
  <c r="G134" s="1"/>
  <c r="M699"/>
  <c r="N699" s="1"/>
  <c r="M328"/>
  <c r="N328" s="1"/>
  <c r="O363"/>
  <c r="O171"/>
  <c r="O175"/>
  <c r="I116"/>
  <c r="I206" s="1"/>
  <c r="O690"/>
  <c r="O191"/>
  <c r="D541"/>
  <c r="D131"/>
  <c r="D135" s="1"/>
  <c r="H120"/>
  <c r="H210" s="1"/>
  <c r="B769"/>
  <c r="L717"/>
  <c r="I130"/>
  <c r="J365" s="1"/>
  <c r="O165"/>
  <c r="O362"/>
  <c r="O87"/>
  <c r="M692"/>
  <c r="N692" s="1"/>
  <c r="M327"/>
  <c r="N327" s="1"/>
  <c r="B665"/>
  <c r="B725"/>
  <c r="M226"/>
  <c r="N226" s="1"/>
  <c r="O373"/>
  <c r="F168"/>
  <c r="M251"/>
  <c r="M703"/>
  <c r="M405"/>
  <c r="N405" s="1"/>
  <c r="O692"/>
  <c r="G143"/>
  <c r="K431"/>
  <c r="O430"/>
  <c r="G660"/>
  <c r="D459"/>
  <c r="M457"/>
  <c r="N457" s="1"/>
  <c r="I454"/>
  <c r="O450"/>
  <c r="M180"/>
  <c r="N180" s="1"/>
  <c r="D754"/>
  <c r="M686"/>
  <c r="N686" s="1"/>
  <c r="D415"/>
  <c r="M414"/>
  <c r="N414" s="1"/>
  <c r="I541"/>
  <c r="O541" s="1"/>
  <c r="O396"/>
  <c r="D454"/>
  <c r="M450"/>
  <c r="N450" s="1"/>
  <c r="I459"/>
  <c r="O459" s="1"/>
  <c r="O457"/>
  <c r="D660"/>
  <c r="M246"/>
  <c r="N246" s="1"/>
  <c r="I754"/>
  <c r="O686"/>
  <c r="M348"/>
  <c r="N348" s="1"/>
  <c r="M347"/>
  <c r="N347" s="1"/>
  <c r="M87"/>
  <c r="N87" s="1"/>
  <c r="O255"/>
  <c r="M255"/>
  <c r="N255" s="1"/>
  <c r="O170"/>
  <c r="M170"/>
  <c r="N170" s="1"/>
  <c r="M280"/>
  <c r="N280" s="1"/>
  <c r="O92"/>
  <c r="M381"/>
  <c r="N381" s="1"/>
  <c r="O347"/>
  <c r="M175"/>
  <c r="N175" s="1"/>
  <c r="O181"/>
  <c r="O196"/>
  <c r="I121"/>
  <c r="I211" s="1"/>
  <c r="J120"/>
  <c r="H116"/>
  <c r="O156"/>
  <c r="O370"/>
  <c r="G131"/>
  <c r="M165"/>
  <c r="M661"/>
  <c r="O661"/>
  <c r="M659"/>
  <c r="M155"/>
  <c r="N155" s="1"/>
  <c r="M111"/>
  <c r="N111" s="1"/>
  <c r="O110"/>
  <c r="M370"/>
  <c r="N370" s="1"/>
  <c r="M396"/>
  <c r="N396" s="1"/>
  <c r="O111"/>
  <c r="M84"/>
  <c r="N84" s="1"/>
  <c r="N703"/>
  <c r="M388"/>
  <c r="N388" s="1"/>
  <c r="O353"/>
  <c r="M353"/>
  <c r="N353" s="1"/>
  <c r="O348"/>
  <c r="O282"/>
  <c r="M171"/>
  <c r="N171" s="1"/>
  <c r="M278"/>
  <c r="N278" s="1"/>
  <c r="M282"/>
  <c r="N282" s="1"/>
  <c r="O381"/>
  <c r="O180"/>
  <c r="H541"/>
  <c r="G116"/>
  <c r="G206" s="1"/>
  <c r="H121"/>
  <c r="H211" s="1"/>
  <c r="J115"/>
  <c r="J205" s="1"/>
  <c r="M540"/>
  <c r="N540" s="1"/>
  <c r="O540"/>
  <c r="D139"/>
  <c r="I138"/>
  <c r="O397"/>
  <c r="K168"/>
  <c r="O168" s="1"/>
  <c r="D223"/>
  <c r="N251"/>
  <c r="O230"/>
  <c r="G459"/>
  <c r="F746"/>
  <c r="M746" s="1"/>
  <c r="M716"/>
  <c r="N716" s="1"/>
  <c r="D134"/>
  <c r="I415"/>
  <c r="O415" s="1"/>
  <c r="O414"/>
  <c r="G415"/>
  <c r="I660"/>
  <c r="O660" s="1"/>
  <c r="O246"/>
  <c r="M181"/>
  <c r="N181" s="1"/>
  <c r="G754"/>
  <c r="M362"/>
  <c r="N362" s="1"/>
  <c r="M92"/>
  <c r="N92" s="1"/>
  <c r="M748"/>
  <c r="N748" s="1"/>
  <c r="O84"/>
  <c r="M110"/>
  <c r="N110" s="1"/>
  <c r="M690"/>
  <c r="N690" s="1"/>
  <c r="O278"/>
  <c r="M176"/>
  <c r="N176" s="1"/>
  <c r="O176"/>
  <c r="O190"/>
  <c r="O195"/>
  <c r="G121"/>
  <c r="G115"/>
  <c r="G205" s="1"/>
  <c r="G120"/>
  <c r="I115"/>
  <c r="J121"/>
  <c r="J211" s="1"/>
  <c r="M156"/>
  <c r="N156" s="1"/>
  <c r="G138"/>
  <c r="D138"/>
  <c r="I139"/>
  <c r="M397"/>
  <c r="N397" s="1"/>
  <c r="H168"/>
  <c r="G223"/>
  <c r="O251"/>
  <c r="M373"/>
  <c r="N373" s="1"/>
  <c r="M101"/>
  <c r="M230"/>
  <c r="N230" s="1"/>
  <c r="M435"/>
  <c r="N435" s="1"/>
  <c r="K85"/>
  <c r="B401"/>
  <c r="B704"/>
  <c r="D753"/>
  <c r="M753" s="1"/>
  <c r="N753" s="1"/>
  <c r="B706"/>
  <c r="B705"/>
  <c r="E298"/>
  <c r="E304" s="1"/>
  <c r="D296"/>
  <c r="D295"/>
  <c r="C296"/>
  <c r="C295"/>
  <c r="D298"/>
  <c r="F304"/>
  <c r="F303"/>
  <c r="G298"/>
  <c r="H298"/>
  <c r="G295"/>
  <c r="G296"/>
  <c r="J296"/>
  <c r="J295"/>
  <c r="F295"/>
  <c r="F296"/>
  <c r="H296"/>
  <c r="H295"/>
  <c r="K223"/>
  <c r="O223" s="1"/>
  <c r="K288"/>
  <c r="K298" s="1"/>
  <c r="F780"/>
  <c r="E780"/>
  <c r="D740"/>
  <c r="M740" s="1"/>
  <c r="N740" s="1"/>
  <c r="B743"/>
  <c r="G780"/>
  <c r="H779"/>
  <c r="D771"/>
  <c r="D773" s="1"/>
  <c r="E768"/>
  <c r="D770"/>
  <c r="B667"/>
  <c r="B715" s="1"/>
  <c r="B703" s="1"/>
  <c r="B159"/>
  <c r="K754"/>
  <c r="K755" s="1"/>
  <c r="B749"/>
  <c r="B751"/>
  <c r="G374"/>
  <c r="H542"/>
  <c r="K542"/>
  <c r="E542"/>
  <c r="D542"/>
  <c r="J542"/>
  <c r="F542"/>
  <c r="G542"/>
  <c r="I542"/>
  <c r="F374"/>
  <c r="C496"/>
  <c r="D496"/>
  <c r="K116"/>
  <c r="K206" s="1"/>
  <c r="K131"/>
  <c r="K135" s="1"/>
  <c r="D256"/>
  <c r="D85"/>
  <c r="I256"/>
  <c r="I85"/>
  <c r="E256"/>
  <c r="E85"/>
  <c r="K120"/>
  <c r="K130"/>
  <c r="E491" s="1"/>
  <c r="C256"/>
  <c r="C85"/>
  <c r="C108" s="1"/>
  <c r="J256"/>
  <c r="J85"/>
  <c r="G256"/>
  <c r="G85"/>
  <c r="K374"/>
  <c r="J374"/>
  <c r="B666"/>
  <c r="I374"/>
  <c r="E496"/>
  <c r="H374"/>
  <c r="B664"/>
  <c r="B724"/>
  <c r="B727"/>
  <c r="B669"/>
  <c r="E365"/>
  <c r="E134"/>
  <c r="D365"/>
  <c r="B236"/>
  <c r="B234"/>
  <c r="B237" s="1"/>
  <c r="J206"/>
  <c r="K121"/>
  <c r="F206"/>
  <c r="F205"/>
  <c r="H205"/>
  <c r="H206"/>
  <c r="F365"/>
  <c r="K115"/>
  <c r="K205" s="1"/>
  <c r="I382"/>
  <c r="E382"/>
  <c r="G382"/>
  <c r="H382"/>
  <c r="J382"/>
  <c r="F382"/>
  <c r="K382"/>
  <c r="D382"/>
  <c r="E489"/>
  <c r="C489"/>
  <c r="D489"/>
  <c r="K256"/>
  <c r="B88"/>
  <c r="B100" s="1"/>
  <c r="C101" s="1"/>
  <c r="J134"/>
  <c r="B152"/>
  <c r="C153"/>
  <c r="C154" s="1"/>
  <c r="C155" s="1"/>
  <c r="B151"/>
  <c r="K106"/>
  <c r="E106"/>
  <c r="E227"/>
  <c r="G227"/>
  <c r="K227"/>
  <c r="I106"/>
  <c r="I227"/>
  <c r="D106"/>
  <c r="G106"/>
  <c r="D227"/>
  <c r="J106"/>
  <c r="J227"/>
  <c r="C227"/>
  <c r="C106"/>
  <c r="H227"/>
  <c r="H256"/>
  <c r="F227"/>
  <c r="F256"/>
  <c r="C454"/>
  <c r="C455" s="1"/>
  <c r="G454"/>
  <c r="K454"/>
  <c r="K455" s="1"/>
  <c r="J432"/>
  <c r="H431"/>
  <c r="K432"/>
  <c r="I431"/>
  <c r="J431"/>
  <c r="I432"/>
  <c r="G431"/>
  <c r="B21" i="2"/>
  <c r="B690" i="5" s="1"/>
  <c r="F108"/>
  <c r="H108"/>
  <c r="F106"/>
  <c r="H106"/>
  <c r="B13" i="1"/>
  <c r="C356" i="5" s="1"/>
  <c r="C414" s="1"/>
  <c r="C415" s="1"/>
  <c r="B23" i="2"/>
  <c r="B16"/>
  <c r="C402" i="5" s="1"/>
  <c r="C405" s="1"/>
  <c r="B6" i="3"/>
  <c r="B14" s="1"/>
  <c r="B760" i="5" s="1"/>
  <c r="E14" i="3"/>
  <c r="E760" i="5" s="1"/>
  <c r="I14" i="3"/>
  <c r="I760" i="5" s="1"/>
  <c r="C14" i="3"/>
  <c r="C760" i="5" s="1"/>
  <c r="G14" i="3"/>
  <c r="G760" i="5" s="1"/>
  <c r="K14" i="3"/>
  <c r="K760" i="5" s="1"/>
  <c r="K23" i="1"/>
  <c r="G20" i="2"/>
  <c r="G228" i="5" s="1"/>
  <c r="I20" i="2"/>
  <c r="I228" i="5" s="1"/>
  <c r="K20" i="2"/>
  <c r="K228" i="5" s="1"/>
  <c r="K693" s="1"/>
  <c r="D20" i="2"/>
  <c r="D228" i="5" s="1"/>
  <c r="F20" i="2"/>
  <c r="F228" i="5" s="1"/>
  <c r="F693" s="1"/>
  <c r="H20" i="2"/>
  <c r="H228" i="5" s="1"/>
  <c r="H693" s="1"/>
  <c r="J20" i="2"/>
  <c r="J228" i="5" s="1"/>
  <c r="J693" s="1"/>
  <c r="C20" i="2"/>
  <c r="C228" i="5" s="1"/>
  <c r="C693" s="1"/>
  <c r="E20" i="2"/>
  <c r="E228" i="5" s="1"/>
  <c r="E693" s="1"/>
  <c r="L12" i="1"/>
  <c r="K24"/>
  <c r="L11"/>
  <c r="L10"/>
  <c r="L9"/>
  <c r="L8"/>
  <c r="M8" s="1"/>
  <c r="L7"/>
  <c r="L6"/>
  <c r="L4"/>
  <c r="A1" i="3"/>
  <c r="A1" i="2"/>
  <c r="A1" i="4" s="1"/>
  <c r="H23" i="1"/>
  <c r="I24"/>
  <c r="I23"/>
  <c r="J24"/>
  <c r="J23"/>
  <c r="B19"/>
  <c r="B661" i="5" s="1"/>
  <c r="I296" l="1"/>
  <c r="I298"/>
  <c r="O298" s="1"/>
  <c r="G365"/>
  <c r="I295"/>
  <c r="I134"/>
  <c r="H365"/>
  <c r="I365"/>
  <c r="O130"/>
  <c r="O288"/>
  <c r="M683"/>
  <c r="N683" s="1"/>
  <c r="O374"/>
  <c r="M496"/>
  <c r="N496" s="1"/>
  <c r="O542"/>
  <c r="D774"/>
  <c r="O120"/>
  <c r="M541"/>
  <c r="N541" s="1"/>
  <c r="M374"/>
  <c r="N374" s="1"/>
  <c r="L658"/>
  <c r="N658" s="1"/>
  <c r="L659"/>
  <c r="N659" s="1"/>
  <c r="L725"/>
  <c r="L660"/>
  <c r="L403"/>
  <c r="N403" s="1"/>
  <c r="L4"/>
  <c r="N4" s="1"/>
  <c r="L668"/>
  <c r="N668" s="1"/>
  <c r="L238"/>
  <c r="N238" s="1"/>
  <c r="L149"/>
  <c r="L17"/>
  <c r="N17" s="1"/>
  <c r="L745"/>
  <c r="N745" s="1"/>
  <c r="N717"/>
  <c r="M382"/>
  <c r="N382" s="1"/>
  <c r="O115"/>
  <c r="O431"/>
  <c r="I205"/>
  <c r="O205" s="1"/>
  <c r="O131"/>
  <c r="L98"/>
  <c r="N98" s="1"/>
  <c r="J210"/>
  <c r="M131"/>
  <c r="N131" s="1"/>
  <c r="G693"/>
  <c r="G455"/>
  <c r="D303"/>
  <c r="M298"/>
  <c r="N298" s="1"/>
  <c r="G755"/>
  <c r="D143"/>
  <c r="M139"/>
  <c r="N139" s="1"/>
  <c r="I693"/>
  <c r="O693" s="1"/>
  <c r="O228"/>
  <c r="I169"/>
  <c r="D142"/>
  <c r="M138"/>
  <c r="N138" s="1"/>
  <c r="D693"/>
  <c r="M228"/>
  <c r="N228" s="1"/>
  <c r="J169"/>
  <c r="O85"/>
  <c r="I303"/>
  <c r="I143"/>
  <c r="O143" s="1"/>
  <c r="O139"/>
  <c r="G135"/>
  <c r="M135" s="1"/>
  <c r="D455"/>
  <c r="M454"/>
  <c r="N454" s="1"/>
  <c r="D755"/>
  <c r="M754"/>
  <c r="N754" s="1"/>
  <c r="I455"/>
  <c r="O455" s="1"/>
  <c r="O454"/>
  <c r="M106"/>
  <c r="N106" s="1"/>
  <c r="O382"/>
  <c r="M542"/>
  <c r="N542" s="1"/>
  <c r="M227"/>
  <c r="N227" s="1"/>
  <c r="O106"/>
  <c r="O256"/>
  <c r="O116"/>
  <c r="M223"/>
  <c r="N223" s="1"/>
  <c r="O432"/>
  <c r="O227"/>
  <c r="M489"/>
  <c r="N489" s="1"/>
  <c r="O206"/>
  <c r="M130"/>
  <c r="N130" s="1"/>
  <c r="M288"/>
  <c r="N288" s="1"/>
  <c r="M660"/>
  <c r="M415"/>
  <c r="N415" s="1"/>
  <c r="O135"/>
  <c r="G303"/>
  <c r="G142"/>
  <c r="I142"/>
  <c r="O142" s="1"/>
  <c r="O138"/>
  <c r="I755"/>
  <c r="O755" s="1"/>
  <c r="O754"/>
  <c r="M256"/>
  <c r="N256" s="1"/>
  <c r="M85"/>
  <c r="N85" s="1"/>
  <c r="O121"/>
  <c r="M459"/>
  <c r="N459" s="1"/>
  <c r="K108"/>
  <c r="E303"/>
  <c r="B747"/>
  <c r="B708"/>
  <c r="B707"/>
  <c r="I304"/>
  <c r="D304"/>
  <c r="J303"/>
  <c r="G304"/>
  <c r="K304"/>
  <c r="K303"/>
  <c r="H304"/>
  <c r="H303"/>
  <c r="B733"/>
  <c r="K295"/>
  <c r="O295" s="1"/>
  <c r="K296"/>
  <c r="D750"/>
  <c r="M750" s="1"/>
  <c r="N750" s="1"/>
  <c r="D752"/>
  <c r="M752" s="1"/>
  <c r="N752" s="1"/>
  <c r="H780"/>
  <c r="I779"/>
  <c r="B668"/>
  <c r="F768"/>
  <c r="E770"/>
  <c r="E771" s="1"/>
  <c r="F169"/>
  <c r="J108"/>
  <c r="K109" s="1"/>
  <c r="K169"/>
  <c r="G169"/>
  <c r="G108"/>
  <c r="H169"/>
  <c r="E169"/>
  <c r="H107"/>
  <c r="I108"/>
  <c r="D108"/>
  <c r="F107"/>
  <c r="E108"/>
  <c r="F109" s="1"/>
  <c r="K211"/>
  <c r="O211" s="1"/>
  <c r="K210"/>
  <c r="B495"/>
  <c r="B685"/>
  <c r="J107"/>
  <c r="G107"/>
  <c r="K107"/>
  <c r="D107"/>
  <c r="I107"/>
  <c r="E107"/>
  <c r="B392"/>
  <c r="B233"/>
  <c r="C230" s="1"/>
  <c r="C692" s="1"/>
  <c r="K134"/>
  <c r="E493" s="1"/>
  <c r="D491"/>
  <c r="M491" s="1"/>
  <c r="N491" s="1"/>
  <c r="C491"/>
  <c r="K365"/>
  <c r="B245"/>
  <c r="B659" s="1"/>
  <c r="B395"/>
  <c r="C540" s="1"/>
  <c r="C386"/>
  <c r="C388" s="1"/>
  <c r="M9" i="1"/>
  <c r="K197" i="5"/>
  <c r="K192"/>
  <c r="G177"/>
  <c r="F192"/>
  <c r="J198"/>
  <c r="J193"/>
  <c r="I197"/>
  <c r="I192"/>
  <c r="I177"/>
  <c r="H197"/>
  <c r="H192"/>
  <c r="K177"/>
  <c r="J197"/>
  <c r="J192"/>
  <c r="G192"/>
  <c r="I198"/>
  <c r="I193"/>
  <c r="H198"/>
  <c r="H193"/>
  <c r="G178"/>
  <c r="F193"/>
  <c r="K198"/>
  <c r="K193"/>
  <c r="G193"/>
  <c r="K178"/>
  <c r="K183"/>
  <c r="J177"/>
  <c r="I178"/>
  <c r="I183"/>
  <c r="H177"/>
  <c r="J183"/>
  <c r="J178"/>
  <c r="H178"/>
  <c r="J182"/>
  <c r="E96"/>
  <c r="E112" s="1"/>
  <c r="E97"/>
  <c r="E113" s="1"/>
  <c r="E133" s="1"/>
  <c r="I182"/>
  <c r="K182"/>
  <c r="L23" i="1"/>
  <c r="M23" s="1"/>
  <c r="M4" s="1"/>
  <c r="L13"/>
  <c r="E352" i="5"/>
  <c r="K96"/>
  <c r="B281"/>
  <c r="B277"/>
  <c r="B258"/>
  <c r="B274"/>
  <c r="B94"/>
  <c r="B110" s="1"/>
  <c r="K125" s="1"/>
  <c r="C410"/>
  <c r="B89"/>
  <c r="B396" s="1"/>
  <c r="C541" s="1"/>
  <c r="B163"/>
  <c r="B279"/>
  <c r="C346"/>
  <c r="B95"/>
  <c r="B111" s="1"/>
  <c r="K126" s="1"/>
  <c r="F351"/>
  <c r="E222"/>
  <c r="K222"/>
  <c r="E351"/>
  <c r="C97"/>
  <c r="C113" s="1"/>
  <c r="C141" s="1"/>
  <c r="C145" s="1"/>
  <c r="K337"/>
  <c r="K342" s="1"/>
  <c r="J351"/>
  <c r="G222"/>
  <c r="G351"/>
  <c r="I97"/>
  <c r="I352"/>
  <c r="F338"/>
  <c r="F343" s="1"/>
  <c r="F352"/>
  <c r="K97"/>
  <c r="K352"/>
  <c r="G97"/>
  <c r="G352"/>
  <c r="F173"/>
  <c r="D352"/>
  <c r="D96"/>
  <c r="D351"/>
  <c r="I222"/>
  <c r="I351"/>
  <c r="H351"/>
  <c r="H352"/>
  <c r="J352"/>
  <c r="K351"/>
  <c r="D337"/>
  <c r="D342" s="1"/>
  <c r="E338"/>
  <c r="E343" s="1"/>
  <c r="J338"/>
  <c r="J343" s="1"/>
  <c r="E337"/>
  <c r="E342" s="1"/>
  <c r="I96"/>
  <c r="K173"/>
  <c r="J96"/>
  <c r="J112" s="1"/>
  <c r="H338"/>
  <c r="H343" s="1"/>
  <c r="G96"/>
  <c r="D338"/>
  <c r="J222"/>
  <c r="K172"/>
  <c r="K338"/>
  <c r="F172"/>
  <c r="C96"/>
  <c r="C112" s="1"/>
  <c r="J97"/>
  <c r="J113" s="1"/>
  <c r="J141" s="1"/>
  <c r="J145" s="1"/>
  <c r="J337"/>
  <c r="J342" s="1"/>
  <c r="D222"/>
  <c r="E173"/>
  <c r="G337"/>
  <c r="G342" s="1"/>
  <c r="D97"/>
  <c r="H24" i="1"/>
  <c r="B251" i="5"/>
  <c r="B86"/>
  <c r="B157"/>
  <c r="C222"/>
  <c r="E172"/>
  <c r="C409"/>
  <c r="B14" i="1"/>
  <c r="B716" i="5" s="1"/>
  <c r="B746" s="1"/>
  <c r="C420"/>
  <c r="C357" s="1"/>
  <c r="H222"/>
  <c r="H337"/>
  <c r="H342" s="1"/>
  <c r="F222"/>
  <c r="F337"/>
  <c r="F342" s="1"/>
  <c r="G338"/>
  <c r="I338"/>
  <c r="I337"/>
  <c r="I342" s="1"/>
  <c r="J172"/>
  <c r="G173"/>
  <c r="H173"/>
  <c r="B24" i="2"/>
  <c r="I173" i="5"/>
  <c r="J173"/>
  <c r="H97"/>
  <c r="H113" s="1"/>
  <c r="F97"/>
  <c r="F113" s="1"/>
  <c r="I172"/>
  <c r="H96"/>
  <c r="H112" s="1"/>
  <c r="G172"/>
  <c r="H172"/>
  <c r="F96"/>
  <c r="F112" s="1"/>
  <c r="L19" i="1"/>
  <c r="L661" i="5" s="1"/>
  <c r="N661" s="1"/>
  <c r="N11" i="1"/>
  <c r="M11"/>
  <c r="N9"/>
  <c r="N8"/>
  <c r="M296" i="5" l="1"/>
  <c r="N296" s="1"/>
  <c r="M365"/>
  <c r="O210"/>
  <c r="O173"/>
  <c r="N660"/>
  <c r="O296"/>
  <c r="L100"/>
  <c r="L101" s="1"/>
  <c r="N101" s="1"/>
  <c r="O134"/>
  <c r="L163"/>
  <c r="L165" s="1"/>
  <c r="N165" s="1"/>
  <c r="N100"/>
  <c r="L159"/>
  <c r="N159" s="1"/>
  <c r="N149"/>
  <c r="O172"/>
  <c r="M222"/>
  <c r="N222" s="1"/>
  <c r="M351"/>
  <c r="N351" s="1"/>
  <c r="M295"/>
  <c r="N295" s="1"/>
  <c r="O222"/>
  <c r="O197"/>
  <c r="L274"/>
  <c r="N274" s="1"/>
  <c r="N725"/>
  <c r="M134"/>
  <c r="N134" s="1"/>
  <c r="D343"/>
  <c r="M338"/>
  <c r="N338" s="1"/>
  <c r="D109"/>
  <c r="M108"/>
  <c r="N108" s="1"/>
  <c r="I113"/>
  <c r="J118" s="1"/>
  <c r="O97"/>
  <c r="I343"/>
  <c r="O338"/>
  <c r="D113"/>
  <c r="F118" s="1"/>
  <c r="M97"/>
  <c r="N97" s="1"/>
  <c r="G112"/>
  <c r="G140" s="1"/>
  <c r="I112"/>
  <c r="I132" s="1"/>
  <c r="O96"/>
  <c r="D112"/>
  <c r="D132" s="1"/>
  <c r="M96"/>
  <c r="N96" s="1"/>
  <c r="G113"/>
  <c r="O126"/>
  <c r="M126"/>
  <c r="N126" s="1"/>
  <c r="H109"/>
  <c r="O351"/>
  <c r="M352"/>
  <c r="N352" s="1"/>
  <c r="O352"/>
  <c r="O178"/>
  <c r="O198"/>
  <c r="O192"/>
  <c r="M107"/>
  <c r="N107" s="1"/>
  <c r="M304"/>
  <c r="N304" s="1"/>
  <c r="O365"/>
  <c r="O337"/>
  <c r="M337"/>
  <c r="N337" s="1"/>
  <c r="O182"/>
  <c r="O183"/>
  <c r="O193"/>
  <c r="O177"/>
  <c r="O107"/>
  <c r="O108"/>
  <c r="N365"/>
  <c r="M755"/>
  <c r="N755" s="1"/>
  <c r="N135"/>
  <c r="O303"/>
  <c r="M693"/>
  <c r="N693" s="1"/>
  <c r="O169"/>
  <c r="M143"/>
  <c r="N143" s="1"/>
  <c r="M303"/>
  <c r="N303" s="1"/>
  <c r="G343"/>
  <c r="M125"/>
  <c r="N125" s="1"/>
  <c r="O125"/>
  <c r="O304"/>
  <c r="M455"/>
  <c r="N455" s="1"/>
  <c r="M142"/>
  <c r="N142" s="1"/>
  <c r="K702"/>
  <c r="L24" i="1"/>
  <c r="M24" s="1"/>
  <c r="M6" s="1"/>
  <c r="H702" i="5"/>
  <c r="G702"/>
  <c r="E702"/>
  <c r="J702"/>
  <c r="F702"/>
  <c r="D787"/>
  <c r="D782"/>
  <c r="I780"/>
  <c r="J779"/>
  <c r="E773"/>
  <c r="E774" s="1"/>
  <c r="G768"/>
  <c r="F770"/>
  <c r="F771" s="1"/>
  <c r="K200"/>
  <c r="K201"/>
  <c r="K186"/>
  <c r="K185"/>
  <c r="J109"/>
  <c r="G109"/>
  <c r="I109"/>
  <c r="B397"/>
  <c r="C542" s="1"/>
  <c r="C165"/>
  <c r="J133"/>
  <c r="J137" s="1"/>
  <c r="E141"/>
  <c r="E145" s="1"/>
  <c r="F133"/>
  <c r="F137" s="1"/>
  <c r="F141"/>
  <c r="F145" s="1"/>
  <c r="F132"/>
  <c r="F136" s="1"/>
  <c r="F140"/>
  <c r="F144" s="1"/>
  <c r="F698" s="1"/>
  <c r="H132"/>
  <c r="H136" s="1"/>
  <c r="H140"/>
  <c r="H144" s="1"/>
  <c r="H698" s="1"/>
  <c r="C132"/>
  <c r="C136" s="1"/>
  <c r="C140"/>
  <c r="C144" s="1"/>
  <c r="C698" s="1"/>
  <c r="J132"/>
  <c r="J136" s="1"/>
  <c r="J140"/>
  <c r="J144" s="1"/>
  <c r="J698" s="1"/>
  <c r="B130"/>
  <c r="B134" s="1"/>
  <c r="B138"/>
  <c r="B142" s="1"/>
  <c r="E132"/>
  <c r="E136" s="1"/>
  <c r="E140"/>
  <c r="E144" s="1"/>
  <c r="E698" s="1"/>
  <c r="C133"/>
  <c r="C137" s="1"/>
  <c r="E109"/>
  <c r="B131"/>
  <c r="B135" s="1"/>
  <c r="B139"/>
  <c r="B143" s="1"/>
  <c r="H133"/>
  <c r="H137" s="1"/>
  <c r="H141"/>
  <c r="H145" s="1"/>
  <c r="B226"/>
  <c r="B84"/>
  <c r="B156"/>
  <c r="B496" s="1"/>
  <c r="B686"/>
  <c r="B754" s="1"/>
  <c r="B755" s="1"/>
  <c r="D493"/>
  <c r="M493" s="1"/>
  <c r="N493" s="1"/>
  <c r="C493"/>
  <c r="F120"/>
  <c r="M120" s="1"/>
  <c r="N120" s="1"/>
  <c r="D115"/>
  <c r="M115" s="1"/>
  <c r="N115" s="1"/>
  <c r="F121"/>
  <c r="M121" s="1"/>
  <c r="N121" s="1"/>
  <c r="D116"/>
  <c r="M116" s="1"/>
  <c r="N116" s="1"/>
  <c r="E137"/>
  <c r="E190"/>
  <c r="G195"/>
  <c r="G196"/>
  <c r="E191"/>
  <c r="N23" i="1"/>
  <c r="N4" s="1"/>
  <c r="B246" i="5"/>
  <c r="B660" s="1"/>
  <c r="C347"/>
  <c r="L14" i="1"/>
  <c r="L746" i="5" s="1"/>
  <c r="N746" s="1"/>
  <c r="C348"/>
  <c r="K343"/>
  <c r="K112"/>
  <c r="K140" s="1"/>
  <c r="K144" s="1"/>
  <c r="K698" s="1"/>
  <c r="K113"/>
  <c r="K141" s="1"/>
  <c r="K145" s="1"/>
  <c r="B489"/>
  <c r="B282"/>
  <c r="B280"/>
  <c r="B278"/>
  <c r="B255"/>
  <c r="C353"/>
  <c r="B87"/>
  <c r="D430"/>
  <c r="M430" s="1"/>
  <c r="N430" s="1"/>
  <c r="G422"/>
  <c r="K423"/>
  <c r="E421"/>
  <c r="M421" s="1"/>
  <c r="N421" s="1"/>
  <c r="G117" l="1"/>
  <c r="G207" s="1"/>
  <c r="N163"/>
  <c r="I141"/>
  <c r="I145" s="1"/>
  <c r="O145" s="1"/>
  <c r="I118"/>
  <c r="I208" s="1"/>
  <c r="H122"/>
  <c r="H212" s="1"/>
  <c r="G132"/>
  <c r="G136" s="1"/>
  <c r="G123"/>
  <c r="G122"/>
  <c r="I123"/>
  <c r="J122"/>
  <c r="J212" s="1"/>
  <c r="J123"/>
  <c r="J213" s="1"/>
  <c r="O109"/>
  <c r="E117"/>
  <c r="O343"/>
  <c r="G144"/>
  <c r="E205"/>
  <c r="M205" s="1"/>
  <c r="N205" s="1"/>
  <c r="M190"/>
  <c r="N190" s="1"/>
  <c r="D136"/>
  <c r="I136"/>
  <c r="O186"/>
  <c r="M186"/>
  <c r="N186" s="1"/>
  <c r="O423"/>
  <c r="M423"/>
  <c r="N423" s="1"/>
  <c r="G211"/>
  <c r="M196"/>
  <c r="N196" s="1"/>
  <c r="K215"/>
  <c r="O200"/>
  <c r="M200"/>
  <c r="N200" s="1"/>
  <c r="G133"/>
  <c r="D133"/>
  <c r="M113"/>
  <c r="N113" s="1"/>
  <c r="I133"/>
  <c r="O113"/>
  <c r="E206"/>
  <c r="M206" s="1"/>
  <c r="N206" s="1"/>
  <c r="M191"/>
  <c r="N191" s="1"/>
  <c r="K216"/>
  <c r="N201"/>
  <c r="M201"/>
  <c r="O201"/>
  <c r="I702"/>
  <c r="O702" s="1"/>
  <c r="O342"/>
  <c r="O112"/>
  <c r="M343"/>
  <c r="N343" s="1"/>
  <c r="G118"/>
  <c r="G208" s="1"/>
  <c r="F117"/>
  <c r="F207" s="1"/>
  <c r="H123"/>
  <c r="H213" s="1"/>
  <c r="E118"/>
  <c r="J117"/>
  <c r="J207" s="1"/>
  <c r="D141"/>
  <c r="N422"/>
  <c r="M422"/>
  <c r="G210"/>
  <c r="M195"/>
  <c r="N195" s="1"/>
  <c r="M185"/>
  <c r="N185" s="1"/>
  <c r="O185"/>
  <c r="D702"/>
  <c r="M342"/>
  <c r="N342" s="1"/>
  <c r="M112"/>
  <c r="N112" s="1"/>
  <c r="M109"/>
  <c r="N109" s="1"/>
  <c r="I117"/>
  <c r="I122"/>
  <c r="H117"/>
  <c r="H207" s="1"/>
  <c r="H118"/>
  <c r="H208" s="1"/>
  <c r="D140"/>
  <c r="G141"/>
  <c r="I140"/>
  <c r="N24" i="1"/>
  <c r="N6" s="1"/>
  <c r="N5" s="1"/>
  <c r="B223" i="5"/>
  <c r="B288"/>
  <c r="D783"/>
  <c r="D784" s="1"/>
  <c r="D785" s="1"/>
  <c r="E782"/>
  <c r="E787"/>
  <c r="J780"/>
  <c r="K779"/>
  <c r="F773"/>
  <c r="F774" s="1"/>
  <c r="H768"/>
  <c r="G770"/>
  <c r="G771" s="1"/>
  <c r="H25" i="1"/>
  <c r="D168" i="5"/>
  <c r="M168" s="1"/>
  <c r="N168" s="1"/>
  <c r="K202"/>
  <c r="K187"/>
  <c r="K118"/>
  <c r="K133"/>
  <c r="K137" s="1"/>
  <c r="F208"/>
  <c r="J208"/>
  <c r="B227"/>
  <c r="B85"/>
  <c r="K122"/>
  <c r="K212" s="1"/>
  <c r="K132"/>
  <c r="K136" s="1"/>
  <c r="K123"/>
  <c r="K213" s="1"/>
  <c r="K117"/>
  <c r="K207" s="1"/>
  <c r="L25" i="1"/>
  <c r="I25"/>
  <c r="K25"/>
  <c r="J25"/>
  <c r="D490" i="5"/>
  <c r="E490"/>
  <c r="C490"/>
  <c r="B493"/>
  <c r="B491"/>
  <c r="C365"/>
  <c r="B256"/>
  <c r="B106"/>
  <c r="C107" s="1"/>
  <c r="K433"/>
  <c r="H432"/>
  <c r="F431"/>
  <c r="M431" s="1"/>
  <c r="N431" s="1"/>
  <c r="M10" i="1"/>
  <c r="M12" s="1"/>
  <c r="M13" s="1"/>
  <c r="M5"/>
  <c r="O141" i="5" l="1"/>
  <c r="O118"/>
  <c r="M490"/>
  <c r="N490" s="1"/>
  <c r="O123"/>
  <c r="M132"/>
  <c r="N132" s="1"/>
  <c r="I213"/>
  <c r="O213" s="1"/>
  <c r="O132"/>
  <c r="M136"/>
  <c r="N136" s="1"/>
  <c r="I207"/>
  <c r="O207" s="1"/>
  <c r="O117"/>
  <c r="O216"/>
  <c r="M216"/>
  <c r="N216" s="1"/>
  <c r="O133"/>
  <c r="I137"/>
  <c r="O137" s="1"/>
  <c r="G137"/>
  <c r="O215"/>
  <c r="M215"/>
  <c r="N215" s="1"/>
  <c r="M432"/>
  <c r="N432" s="1"/>
  <c r="O202"/>
  <c r="M202"/>
  <c r="N202" s="1"/>
  <c r="I212"/>
  <c r="O212" s="1"/>
  <c r="O122"/>
  <c r="O187"/>
  <c r="M187"/>
  <c r="N187" s="1"/>
  <c r="I144"/>
  <c r="O140"/>
  <c r="M133"/>
  <c r="N133" s="1"/>
  <c r="D137"/>
  <c r="G698"/>
  <c r="M210"/>
  <c r="N210" s="1"/>
  <c r="D145"/>
  <c r="M141"/>
  <c r="N141" s="1"/>
  <c r="M211"/>
  <c r="N211" s="1"/>
  <c r="M702"/>
  <c r="N702" s="1"/>
  <c r="C494"/>
  <c r="O136"/>
  <c r="M433"/>
  <c r="N433" s="1"/>
  <c r="O433"/>
  <c r="D144"/>
  <c r="M140"/>
  <c r="N140" s="1"/>
  <c r="G145"/>
  <c r="K203"/>
  <c r="C298"/>
  <c r="C304" s="1"/>
  <c r="B296"/>
  <c r="B295"/>
  <c r="D788"/>
  <c r="D789" s="1"/>
  <c r="F787"/>
  <c r="F782"/>
  <c r="E783"/>
  <c r="E784" s="1"/>
  <c r="E785" s="1"/>
  <c r="K780"/>
  <c r="M779"/>
  <c r="G773"/>
  <c r="G774" s="1"/>
  <c r="I768"/>
  <c r="H770"/>
  <c r="H771" s="1"/>
  <c r="D169"/>
  <c r="M169" s="1"/>
  <c r="N169" s="1"/>
  <c r="K188"/>
  <c r="B108"/>
  <c r="C109" s="1"/>
  <c r="K208"/>
  <c r="O208" s="1"/>
  <c r="N10" i="1"/>
  <c r="N12" s="1"/>
  <c r="N13" s="1"/>
  <c r="E492" i="5"/>
  <c r="E494"/>
  <c r="D492"/>
  <c r="C492"/>
  <c r="D494"/>
  <c r="M25" i="1"/>
  <c r="M14" s="1"/>
  <c r="M15" s="1"/>
  <c r="B734" i="5" s="1"/>
  <c r="B735" s="1"/>
  <c r="G198"/>
  <c r="E193"/>
  <c r="E192"/>
  <c r="G197"/>
  <c r="H183"/>
  <c r="F178"/>
  <c r="M178" s="1"/>
  <c r="N178" s="1"/>
  <c r="F177"/>
  <c r="M177" s="1"/>
  <c r="N177" s="1"/>
  <c r="H182"/>
  <c r="N25" i="1"/>
  <c r="N14" s="1"/>
  <c r="C338" i="5"/>
  <c r="C352"/>
  <c r="D172"/>
  <c r="M172" s="1"/>
  <c r="N172" s="1"/>
  <c r="C351"/>
  <c r="B222"/>
  <c r="C337"/>
  <c r="C342" s="1"/>
  <c r="B96"/>
  <c r="B112" s="1"/>
  <c r="K127" s="1"/>
  <c r="B97"/>
  <c r="B113" s="1"/>
  <c r="D173"/>
  <c r="M173" s="1"/>
  <c r="N173" s="1"/>
  <c r="M492" l="1"/>
  <c r="N492" s="1"/>
  <c r="M145"/>
  <c r="N145" s="1"/>
  <c r="M494"/>
  <c r="N494" s="1"/>
  <c r="M183"/>
  <c r="N183" s="1"/>
  <c r="G213"/>
  <c r="M198"/>
  <c r="N198" s="1"/>
  <c r="O203"/>
  <c r="M203"/>
  <c r="N203" s="1"/>
  <c r="D698"/>
  <c r="M144"/>
  <c r="I698"/>
  <c r="O698" s="1"/>
  <c r="O144"/>
  <c r="E208"/>
  <c r="M208" s="1"/>
  <c r="N208" s="1"/>
  <c r="M193"/>
  <c r="N193" s="1"/>
  <c r="E207"/>
  <c r="M207" s="1"/>
  <c r="N207" s="1"/>
  <c r="M192"/>
  <c r="N192" s="1"/>
  <c r="O188"/>
  <c r="M188"/>
  <c r="N188" s="1"/>
  <c r="K217"/>
  <c r="O127"/>
  <c r="M127"/>
  <c r="N127" s="1"/>
  <c r="M182"/>
  <c r="N182" s="1"/>
  <c r="G212"/>
  <c r="M197"/>
  <c r="N197" s="1"/>
  <c r="N144"/>
  <c r="M137"/>
  <c r="N137" s="1"/>
  <c r="C303"/>
  <c r="G782"/>
  <c r="G787"/>
  <c r="E788"/>
  <c r="E789" s="1"/>
  <c r="F783"/>
  <c r="F784" s="1"/>
  <c r="F785" s="1"/>
  <c r="M780"/>
  <c r="N779"/>
  <c r="H773"/>
  <c r="H774" s="1"/>
  <c r="I770"/>
  <c r="I771" s="1"/>
  <c r="J768"/>
  <c r="B133"/>
  <c r="B137" s="1"/>
  <c r="K128"/>
  <c r="B141"/>
  <c r="B145" s="1"/>
  <c r="B132"/>
  <c r="B136" s="1"/>
  <c r="B140"/>
  <c r="B144" s="1"/>
  <c r="B698" s="1"/>
  <c r="N15" i="1"/>
  <c r="F123" i="5"/>
  <c r="M123" s="1"/>
  <c r="N123" s="1"/>
  <c r="D118"/>
  <c r="M118" s="1"/>
  <c r="N118" s="1"/>
  <c r="B490"/>
  <c r="F122"/>
  <c r="M122" s="1"/>
  <c r="N122" s="1"/>
  <c r="D117"/>
  <c r="M117" s="1"/>
  <c r="N117" s="1"/>
  <c r="C343"/>
  <c r="M212" l="1"/>
  <c r="N212" s="1"/>
  <c r="M698"/>
  <c r="N698" s="1"/>
  <c r="M213"/>
  <c r="N213" s="1"/>
  <c r="K218"/>
  <c r="O128"/>
  <c r="M128"/>
  <c r="N128" s="1"/>
  <c r="M217"/>
  <c r="N217" s="1"/>
  <c r="O217"/>
  <c r="B492"/>
  <c r="C702"/>
  <c r="F788"/>
  <c r="F789" s="1"/>
  <c r="G783"/>
  <c r="G788" s="1"/>
  <c r="G789" s="1"/>
  <c r="H787"/>
  <c r="H782"/>
  <c r="N780"/>
  <c r="O779"/>
  <c r="I773"/>
  <c r="I774" s="1"/>
  <c r="K768"/>
  <c r="J770"/>
  <c r="J771" s="1"/>
  <c r="B494"/>
  <c r="O218" l="1"/>
  <c r="M218"/>
  <c r="N218" s="1"/>
  <c r="H783"/>
  <c r="H784" s="1"/>
  <c r="H785" s="1"/>
  <c r="I782"/>
  <c r="I787"/>
  <c r="G784"/>
  <c r="G785" s="1"/>
  <c r="P779"/>
  <c r="J782" s="1"/>
  <c r="O780"/>
  <c r="J773"/>
  <c r="J774" s="1"/>
  <c r="M768"/>
  <c r="K770"/>
  <c r="K771" s="1"/>
  <c r="I783" l="1"/>
  <c r="I788" s="1"/>
  <c r="I789" s="1"/>
  <c r="J787"/>
  <c r="H788"/>
  <c r="H789" s="1"/>
  <c r="Q779"/>
  <c r="K782" s="1"/>
  <c r="P780"/>
  <c r="K773"/>
  <c r="K774" s="1"/>
  <c r="N768"/>
  <c r="M770"/>
  <c r="M771" s="1"/>
  <c r="I784" l="1"/>
  <c r="I785" s="1"/>
  <c r="J783"/>
  <c r="J784" s="1"/>
  <c r="J785" s="1"/>
  <c r="K787"/>
  <c r="R779"/>
  <c r="M782" s="1"/>
  <c r="Q780"/>
  <c r="K783" s="1"/>
  <c r="M773"/>
  <c r="M774" s="1"/>
  <c r="O768"/>
  <c r="N770"/>
  <c r="N771" s="1"/>
  <c r="J788" l="1"/>
  <c r="J789" s="1"/>
  <c r="K784"/>
  <c r="K785" s="1"/>
  <c r="K788"/>
  <c r="K789" s="1"/>
  <c r="M787"/>
  <c r="S779"/>
  <c r="N782" s="1"/>
  <c r="R780"/>
  <c r="N773"/>
  <c r="N774" s="1"/>
  <c r="P768"/>
  <c r="O770"/>
  <c r="O771" s="1"/>
  <c r="M783" l="1"/>
  <c r="M784" s="1"/>
  <c r="M785" s="1"/>
  <c r="N787"/>
  <c r="T779"/>
  <c r="O782" s="1"/>
  <c r="S780"/>
  <c r="O773"/>
  <c r="O774" s="1"/>
  <c r="P770"/>
  <c r="P771" s="1"/>
  <c r="Q768"/>
  <c r="M788" l="1"/>
  <c r="M789" s="1"/>
  <c r="N783"/>
  <c r="N784" s="1"/>
  <c r="N785" s="1"/>
  <c r="O787"/>
  <c r="U779"/>
  <c r="P782" s="1"/>
  <c r="T780"/>
  <c r="P773"/>
  <c r="P774" s="1"/>
  <c r="Q770"/>
  <c r="Q771" s="1"/>
  <c r="R768"/>
  <c r="O783" l="1"/>
  <c r="O788" s="1"/>
  <c r="O789" s="1"/>
  <c r="N788"/>
  <c r="N789" s="1"/>
  <c r="P787"/>
  <c r="V779"/>
  <c r="Q782" s="1"/>
  <c r="U780"/>
  <c r="P783" s="1"/>
  <c r="Q773"/>
  <c r="Q774" s="1"/>
  <c r="R770"/>
  <c r="R771" s="1"/>
  <c r="S768"/>
  <c r="P784" l="1"/>
  <c r="P785" s="1"/>
  <c r="O784"/>
  <c r="O785" s="1"/>
  <c r="Q787"/>
  <c r="W779"/>
  <c r="R782" s="1"/>
  <c r="V780"/>
  <c r="Q783" s="1"/>
  <c r="R773"/>
  <c r="R774" s="1"/>
  <c r="T768"/>
  <c r="S770"/>
  <c r="S771" s="1"/>
  <c r="P788" l="1"/>
  <c r="P789" s="1"/>
  <c r="Q788"/>
  <c r="Q789" s="1"/>
  <c r="R787"/>
  <c r="X779"/>
  <c r="S782" s="1"/>
  <c r="W780"/>
  <c r="R783" s="1"/>
  <c r="S773"/>
  <c r="S774" s="1"/>
  <c r="T770"/>
  <c r="T771" s="1"/>
  <c r="U768"/>
  <c r="Q784" l="1"/>
  <c r="Q785" s="1"/>
  <c r="R784"/>
  <c r="R785" s="1"/>
  <c r="S787"/>
  <c r="Y779"/>
  <c r="T782" s="1"/>
  <c r="X780"/>
  <c r="S783" s="1"/>
  <c r="T773"/>
  <c r="T774" s="1"/>
  <c r="U770"/>
  <c r="U771" s="1"/>
  <c r="V768"/>
  <c r="R788" l="1"/>
  <c r="R789" s="1"/>
  <c r="S784"/>
  <c r="S785" s="1"/>
  <c r="T787"/>
  <c r="Y780"/>
  <c r="T783" s="1"/>
  <c r="U773"/>
  <c r="U774" s="1"/>
  <c r="W768"/>
  <c r="V770"/>
  <c r="V771" s="1"/>
  <c r="S788" l="1"/>
  <c r="S789" s="1"/>
  <c r="T784"/>
  <c r="T785" s="1"/>
  <c r="V773"/>
  <c r="V774" s="1"/>
  <c r="X768"/>
  <c r="W770"/>
  <c r="W771" s="1"/>
  <c r="T788" l="1"/>
  <c r="T789" s="1"/>
  <c r="W773"/>
  <c r="W774" s="1"/>
  <c r="X770"/>
  <c r="X771" s="1"/>
  <c r="Y768"/>
  <c r="Y770" s="1"/>
  <c r="Y771" l="1"/>
  <c r="Y773" s="1"/>
  <c r="Y774" s="1"/>
  <c r="X773"/>
  <c r="X774" s="1"/>
  <c r="B771" l="1"/>
</calcChain>
</file>

<file path=xl/sharedStrings.xml><?xml version="1.0" encoding="utf-8"?>
<sst xmlns="http://schemas.openxmlformats.org/spreadsheetml/2006/main" count="846" uniqueCount="589">
  <si>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</si>
  <si>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</si>
  <si>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</si>
  <si>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</si>
  <si>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</si>
  <si>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</si>
  <si>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</si>
  <si>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</si>
  <si>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</si>
  <si>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</si>
  <si>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</si>
  <si>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</si>
  <si>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</si>
  <si>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</si>
  <si>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</si>
  <si>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</si>
  <si>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</si>
  <si>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</si>
  <si>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</si>
  <si>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</si>
  <si>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</si>
  <si>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</si>
  <si>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</si>
  <si>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</si>
  <si>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</si>
  <si>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</si>
  <si>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</si>
  <si>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</si>
  <si>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</si>
  <si>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</si>
  <si>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</si>
  <si>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</si>
  <si>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</si>
  <si>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</si>
  <si>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</si>
  <si>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</si>
  <si>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</si>
  <si>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</si>
  <si>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</si>
  <si>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</si>
  <si>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</si>
  <si>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</si>
  <si>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</si>
  <si>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</si>
  <si>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</si>
  <si>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</si>
  <si>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</si>
  <si>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</si>
  <si>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</si>
  <si>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</si>
  <si>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</si>
  <si>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</si>
  <si>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</si>
  <si>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</si>
  <si>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COLGATE-PALMOLIVE (INDIA)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</si>
  <si>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</si>
  <si>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</si>
  <si>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</si>
  <si>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</si>
  <si>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</si>
  <si>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</si>
  <si>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</si>
  <si>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</si>
  <si>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</si>
  <si>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</si>
  <si>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</si>
  <si>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</si>
  <si>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</si>
  <si>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</si>
  <si>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</si>
  <si>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</si>
  <si>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</si>
  <si>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</si>
  <si>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</si>
  <si>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</si>
  <si>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</si>
  <si>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</si>
  <si>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</si>
  <si>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</si>
  <si>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</si>
  <si>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</si>
  <si>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10 YR CAGR</t>
  </si>
  <si>
    <t>5 YR CAGR</t>
  </si>
  <si>
    <t>3 YR CAGR</t>
  </si>
  <si>
    <t>1 YR CAGR</t>
  </si>
  <si>
    <t>EBIT</t>
  </si>
  <si>
    <t>EBIT/Invested Capital 1</t>
  </si>
  <si>
    <t>EBIT/Invested Capital 2</t>
  </si>
  <si>
    <t>ROIC 1</t>
  </si>
  <si>
    <t>ROIC 2</t>
  </si>
  <si>
    <t>EPA1</t>
  </si>
  <si>
    <t>EPA2</t>
  </si>
  <si>
    <t>EPA1/Sales</t>
  </si>
  <si>
    <t>EPA2/Sales</t>
  </si>
  <si>
    <t>ROE</t>
  </si>
  <si>
    <t>ROCE</t>
  </si>
  <si>
    <t>NOPLAT</t>
  </si>
  <si>
    <t>ROIIC 1</t>
  </si>
  <si>
    <t>ROIIC 2</t>
  </si>
  <si>
    <t>Year On Year Growth %</t>
  </si>
  <si>
    <t>EBIT/Invested Capital 3</t>
  </si>
  <si>
    <t>ROIIC 3</t>
  </si>
  <si>
    <t>Fixed Asset Turns</t>
  </si>
  <si>
    <t>Total Asset Turns</t>
  </si>
  <si>
    <t>Capital Turns 1</t>
  </si>
  <si>
    <t>Capital Turns 2</t>
  </si>
  <si>
    <t>Financial Leverage</t>
  </si>
  <si>
    <t>Long term debt/Earning</t>
  </si>
  <si>
    <t>Current liablility/Earning</t>
  </si>
  <si>
    <t>Total liability/Earning</t>
  </si>
  <si>
    <t>Debt/Equity</t>
  </si>
  <si>
    <t>Interest Coverage</t>
  </si>
  <si>
    <t>Inventory Days</t>
  </si>
  <si>
    <t>Inventory turnover</t>
  </si>
  <si>
    <t>WC1 (Current Assets -Current Liabilities)</t>
  </si>
  <si>
    <t>WC 2(Without Cash)</t>
  </si>
  <si>
    <t>Debtors turnover</t>
  </si>
  <si>
    <t>Fixed Asset/Sales</t>
  </si>
  <si>
    <t>Fixed Asset/Sales 10 yrs</t>
  </si>
  <si>
    <t>Fixed Asset/Sales 7 yrs</t>
  </si>
  <si>
    <t>Fixed Asset/Sales 5 yrs</t>
  </si>
  <si>
    <t>Fixed Asset/Sales 3 yrs</t>
  </si>
  <si>
    <t>YoY Increase in Sales</t>
  </si>
  <si>
    <t>Capex</t>
  </si>
  <si>
    <t>Growth Capex-5Yr</t>
  </si>
  <si>
    <t>Maintenance Capex-5yr</t>
  </si>
  <si>
    <t>Growth Capex-3Yr</t>
  </si>
  <si>
    <t>Maintenance Capex-3yr</t>
  </si>
  <si>
    <t>OE5Yr/Sales</t>
  </si>
  <si>
    <t>OE3Yr/Sales</t>
  </si>
  <si>
    <t>Capex/Depriciation</t>
  </si>
  <si>
    <t>OE/Sales</t>
  </si>
  <si>
    <t>NPM</t>
  </si>
  <si>
    <t>Margins % of Sales</t>
  </si>
  <si>
    <t>invested Capital1(Equity + Long Debt)</t>
  </si>
  <si>
    <t>invested Capital2(Equity + Long Debt-Cash)</t>
  </si>
  <si>
    <t>EBIT/Invested Capital 4</t>
  </si>
  <si>
    <t>ROIC 4</t>
  </si>
  <si>
    <t>EPA4/Sales</t>
  </si>
  <si>
    <t>Decomposition of ROE</t>
  </si>
  <si>
    <t>Net Profit</t>
  </si>
  <si>
    <t>ROIIC 4</t>
  </si>
  <si>
    <t>Efficiency Ratio</t>
  </si>
  <si>
    <t>Working Capital1/Sales</t>
  </si>
  <si>
    <t>Working Capital2/Sales</t>
  </si>
  <si>
    <t>Financial Health</t>
  </si>
  <si>
    <t>Increase in Invested Capital 1</t>
  </si>
  <si>
    <t>Increase in Invested Capital 2</t>
  </si>
  <si>
    <t>Increase in Invested Capital 3</t>
  </si>
  <si>
    <t>Increase in Invested Capital 4</t>
  </si>
  <si>
    <t>Sum of Operating cashFlow - 3 Years</t>
  </si>
  <si>
    <t>PAT</t>
  </si>
  <si>
    <t>Operating CashFlow</t>
  </si>
  <si>
    <t>Sum of PAT - 3 Years</t>
  </si>
  <si>
    <t>Sum of PAT - 5 Years</t>
  </si>
  <si>
    <t>Sum of Operating cashFlow - 5 Years</t>
  </si>
  <si>
    <t>Accounting For Value Parameters:-</t>
  </si>
  <si>
    <t>YoY Growth in Book Value</t>
  </si>
  <si>
    <t>YoY Growth in Residual earnings</t>
  </si>
  <si>
    <t>Residual Earning ( 10% Charge)</t>
  </si>
  <si>
    <t>PAT / Book Value</t>
  </si>
  <si>
    <t>Increase in Book Value</t>
  </si>
  <si>
    <t>Retained Earning</t>
  </si>
  <si>
    <t>Retained Earning - Increase in Book Value</t>
  </si>
  <si>
    <t>Retained Earning / Increase in Book Value</t>
  </si>
  <si>
    <t>Reserves / Equity Share Capital</t>
  </si>
  <si>
    <t>Residual Earning ( 10% Charge) with continuing value</t>
  </si>
  <si>
    <t>BV Growth Rate - 3 Year Avg</t>
  </si>
  <si>
    <t>BV Growth Rate - 5 Year Avg</t>
  </si>
  <si>
    <t>BV Growth Rate - 9 Year Avg</t>
  </si>
  <si>
    <t>Discounted R.E.</t>
  </si>
  <si>
    <t>YoY Growth PAT</t>
  </si>
  <si>
    <t>PAT Growth Rate - 3 Year Avg</t>
  </si>
  <si>
    <t>PAT Growth Rate - 5 Year Avg</t>
  </si>
  <si>
    <t>PAT Growth Rate - 9 Year Avg</t>
  </si>
  <si>
    <t>Intrinsic Value</t>
  </si>
  <si>
    <t>YoY Growth in RE</t>
  </si>
  <si>
    <t>RE Growth Rate - 3 Year Avg</t>
  </si>
  <si>
    <t>RE Growth Rate - 5 Year Avg</t>
  </si>
  <si>
    <t>RE Growth Rate - 8 Year Avg</t>
  </si>
  <si>
    <t>Continuing Value</t>
  </si>
  <si>
    <t>PAT Growth rate</t>
  </si>
  <si>
    <t>OP Growth rate</t>
  </si>
  <si>
    <t>OP</t>
  </si>
  <si>
    <t>Earning Leverage</t>
  </si>
  <si>
    <t>interest expense</t>
  </si>
  <si>
    <t>Interest Expense Growth Rate</t>
  </si>
  <si>
    <t>Debt to Equity</t>
  </si>
  <si>
    <t>Debt + Equity(Operating Assets)</t>
  </si>
  <si>
    <t>Rate of Return on operation</t>
  </si>
  <si>
    <t>Growth rate of ROE due to leverage</t>
  </si>
  <si>
    <t>Growth rate for earnings due to leverage</t>
  </si>
  <si>
    <t>interest/debt-Borrowing Cost</t>
  </si>
  <si>
    <t>Operating Leverage</t>
  </si>
  <si>
    <t>Delta Sales</t>
  </si>
  <si>
    <t>Delta EBIT</t>
  </si>
  <si>
    <t>Delta EPS</t>
  </si>
  <si>
    <t>SSGR</t>
  </si>
  <si>
    <t>Delta PAT</t>
  </si>
  <si>
    <t>Delta RE</t>
  </si>
  <si>
    <t>Delta Owners Earning 5Yr Maintenace Capex</t>
  </si>
  <si>
    <t>Delta Owners Earning 3 Yr  Maintenace Capex</t>
  </si>
  <si>
    <t>Delta Owners Earning with capex</t>
  </si>
  <si>
    <t>Delta EPA</t>
  </si>
  <si>
    <t>Delta NOPLAT</t>
  </si>
  <si>
    <t>Delta DE</t>
  </si>
  <si>
    <t>Delta Dividend</t>
  </si>
  <si>
    <t>Delta Retained Earning</t>
  </si>
  <si>
    <t>Retained Earning Previous Year</t>
  </si>
  <si>
    <t>Depriciation/Net Block</t>
  </si>
  <si>
    <t>DPR</t>
  </si>
  <si>
    <t>Dep 3 Year</t>
  </si>
  <si>
    <t>NFAT 3 Year</t>
  </si>
  <si>
    <t>NPM 3 Year</t>
  </si>
  <si>
    <t>DPR 3 Year</t>
  </si>
  <si>
    <t>SSGR 3 Year</t>
  </si>
  <si>
    <t>Gross Margin</t>
  </si>
  <si>
    <t>Sales &amp; Admin Expenses / Sales</t>
  </si>
  <si>
    <t>EBIT/Total Assets</t>
  </si>
  <si>
    <t>Sales/Total Assets</t>
  </si>
  <si>
    <t>CFO/Total Assets</t>
  </si>
  <si>
    <t>Current Ratio</t>
  </si>
  <si>
    <t>ROCE (W/o Cash)</t>
  </si>
  <si>
    <t>WC / Total Assets</t>
  </si>
  <si>
    <t>WCw/oCASH /Total Assets</t>
  </si>
  <si>
    <t>Retained Earning/Total Assets</t>
  </si>
  <si>
    <t>Total Accurals / Total Assets</t>
  </si>
  <si>
    <t>Asset Quality Index</t>
  </si>
  <si>
    <t>Net Block/Total Asset</t>
  </si>
  <si>
    <t>(Net Block+Cash)/Total Asset</t>
  </si>
  <si>
    <t>Equity/Total Asset</t>
  </si>
  <si>
    <t>Operating Expenses/Sales</t>
  </si>
  <si>
    <t>GP/Total Asset</t>
  </si>
  <si>
    <t>SSGR 5 Year</t>
  </si>
  <si>
    <t>Balance Sheet Items :- % of Total Asset</t>
  </si>
  <si>
    <t>CFO/Interest</t>
  </si>
  <si>
    <t>Fixed Asset Turn (NFAT)</t>
  </si>
  <si>
    <t>Delta Invested Capital 1</t>
  </si>
  <si>
    <t>Delta Invested Capital 2</t>
  </si>
  <si>
    <t>Delta Invested Capital 3</t>
  </si>
  <si>
    <t>Delta Invested Capital 4</t>
  </si>
  <si>
    <t>Delta WC</t>
  </si>
  <si>
    <t>Book Value or Equity</t>
  </si>
  <si>
    <t>Delta Book value or Equity</t>
  </si>
  <si>
    <t>Delta Net Block</t>
  </si>
  <si>
    <t>Delta Debt</t>
  </si>
  <si>
    <t>RNOA</t>
  </si>
  <si>
    <t>NFO/CSE(Debt /Equity)</t>
  </si>
  <si>
    <t>RNOA-NBC</t>
  </si>
  <si>
    <t>NBC(Net Borrowing Cost)</t>
  </si>
  <si>
    <t>ROE(RNOA+(NFO/CSE)*(RNOA-NBC)</t>
  </si>
  <si>
    <t>BookValue/RetainedEarning</t>
  </si>
  <si>
    <t>RetainedEarning/BookValue</t>
  </si>
  <si>
    <t>BookValue/EPS</t>
  </si>
  <si>
    <t>EPS/BookValue</t>
  </si>
  <si>
    <t>Float</t>
  </si>
  <si>
    <t>Operational Assets - Debt - Equity</t>
  </si>
  <si>
    <t>Assets</t>
  </si>
  <si>
    <t>Debt</t>
  </si>
  <si>
    <t>Equity</t>
  </si>
  <si>
    <t>Operational Assets(Assets - Investment - Cash)</t>
  </si>
  <si>
    <t>EBITDA</t>
  </si>
  <si>
    <t>Debt/EBIT</t>
  </si>
  <si>
    <t>Cash From Operations/EBIT</t>
  </si>
  <si>
    <t>EBIT/Operating Asset</t>
  </si>
  <si>
    <t>Debt/EBITDA(Less than 3)</t>
  </si>
  <si>
    <t>Cash From Operations/EBITDA(Greater than 33%)</t>
  </si>
  <si>
    <t>EBITDA/Operating Asset(Greater than 30%)</t>
  </si>
  <si>
    <t>Debt/Cash from operations</t>
  </si>
  <si>
    <t>EBIT/Sales</t>
  </si>
  <si>
    <t>EBITDA/Sales</t>
  </si>
  <si>
    <t>Other Income / Sales</t>
  </si>
  <si>
    <t>10 Year CAGR %</t>
  </si>
  <si>
    <t>PBT</t>
  </si>
  <si>
    <t>5 Year CAGR %</t>
  </si>
  <si>
    <t>3 Year CAGR %</t>
  </si>
  <si>
    <t>% Increase in EPS</t>
  </si>
  <si>
    <t>% Increase in PE</t>
  </si>
  <si>
    <t>% Incrrease in Price</t>
  </si>
  <si>
    <t>Cummulative Increase in EPS</t>
  </si>
  <si>
    <t>Cummulative Increase in PE</t>
  </si>
  <si>
    <t>Cummulative Increase in Price</t>
  </si>
  <si>
    <t>Cummulative Increase in Sales</t>
  </si>
  <si>
    <t>Cummulative Increase in NP</t>
  </si>
  <si>
    <t>Cummulative Increase in Operating Cashflow</t>
  </si>
  <si>
    <t>Cumulative increase in Invested Capital 1</t>
  </si>
  <si>
    <t>Cummulative Increase in Book Value</t>
  </si>
  <si>
    <t>Delta EBITDA /Operating Profit</t>
  </si>
  <si>
    <t>Cummulative Increase in EBIT</t>
  </si>
  <si>
    <t>Cummulative Increase in EBITDA / OP</t>
  </si>
  <si>
    <t>ROIIC 1 (3 Year)</t>
  </si>
  <si>
    <t>ROIIC 2 (3 Year)</t>
  </si>
  <si>
    <t>ROIIC 3 (3 Year)</t>
  </si>
  <si>
    <t>ROIIC 4 (3 Year)</t>
  </si>
  <si>
    <t>ROIIC 1 (5 Year)</t>
  </si>
  <si>
    <t>ROIIC 2 (5 Year)</t>
  </si>
  <si>
    <t>ROIIC 3 (5 Year)</t>
  </si>
  <si>
    <t>ROIIC 4 (5 Year)</t>
  </si>
  <si>
    <t>Cost of Capital</t>
  </si>
  <si>
    <t>Steady State Valuation</t>
  </si>
  <si>
    <t>Steady State Valuation/Market Capitalization</t>
  </si>
  <si>
    <t>Fixed Asset/Assets</t>
  </si>
  <si>
    <t>WC/Assets</t>
  </si>
  <si>
    <t>Fixed Cost</t>
  </si>
  <si>
    <t>Variable Cost</t>
  </si>
  <si>
    <t>VC/sales</t>
  </si>
  <si>
    <t>FC/Sales</t>
  </si>
  <si>
    <t>NP</t>
  </si>
  <si>
    <t>DeltaVC</t>
  </si>
  <si>
    <t>DEltaFC</t>
  </si>
  <si>
    <t>DeltaNP</t>
  </si>
  <si>
    <t>Delta EDITDA</t>
  </si>
  <si>
    <t>Delta Debtors</t>
  </si>
  <si>
    <t>Delta Inventory</t>
  </si>
  <si>
    <t>ROIIC &amp; Reinvestment Rate</t>
  </si>
  <si>
    <t>Owners Earning &amp; Defensive Earning</t>
  </si>
  <si>
    <t>Delta:-</t>
  </si>
  <si>
    <t>Leverage</t>
  </si>
  <si>
    <t>Receivables/Total Asset</t>
  </si>
  <si>
    <t>Inventory/Total Asset</t>
  </si>
  <si>
    <t>Cash &amp; Bank/Total Asset</t>
  </si>
  <si>
    <t>Important Ratio:-</t>
  </si>
  <si>
    <t>Intrinsic Value Compounding Rate 1  (3 Year)</t>
  </si>
  <si>
    <t>Intrinsic Value Compounding Rate 2  (3 Year)</t>
  </si>
  <si>
    <t>Intrinsic Value Compounding Rate 3  (3 Year)</t>
  </si>
  <si>
    <t>Intrinsic Value Compounding Rate 4  (3 Year)</t>
  </si>
  <si>
    <t>Intrinsic Value Compounding Rate 1 (5 Year)</t>
  </si>
  <si>
    <t>Intrinsic Value Compounding Rate 2(5 Year)</t>
  </si>
  <si>
    <t>Intrinsic Value Compounding Rate 3 (5 Year)</t>
  </si>
  <si>
    <t>Intrinsic Value Compounding Rate 4 (5 Year)</t>
  </si>
  <si>
    <t>ROIC 1 (3 Year)</t>
  </si>
  <si>
    <t>ROIC 2 (3 Year)</t>
  </si>
  <si>
    <t>ROIC 3 (3 Year)</t>
  </si>
  <si>
    <t>ROIC 4 (3 Year)</t>
  </si>
  <si>
    <t>ROIC 1 (5 Year)</t>
  </si>
  <si>
    <t>ROIC 2 (5 Year)</t>
  </si>
  <si>
    <t>ROIC 3 (5 Year)</t>
  </si>
  <si>
    <t>ROIC 4 (5 Year)</t>
  </si>
  <si>
    <t>Reinvestment Rate 1(3 Year)</t>
  </si>
  <si>
    <t>Reinvestment Rate 2 (3 Year)</t>
  </si>
  <si>
    <t>Reinvestment Rate 3(3 Year)</t>
  </si>
  <si>
    <t>Reinvestment Rate 4(3 Year)</t>
  </si>
  <si>
    <t>Reinvestment Rate 1(5 Year)</t>
  </si>
  <si>
    <t>Reinvestment Rate 2 (5 Year)</t>
  </si>
  <si>
    <t>Reinvestment Rate 3(5 Year)</t>
  </si>
  <si>
    <t>Reinvestment Rate 4(5 Year)</t>
  </si>
  <si>
    <t>Sum of NP 5 Year</t>
  </si>
  <si>
    <t>Sum Of Operating Cashflow 5 Years</t>
  </si>
  <si>
    <t>Sum of Total Capex 5 Years</t>
  </si>
  <si>
    <t>Sum of Total Dividend 5 Years</t>
  </si>
  <si>
    <t>Sum of NP 3 Year</t>
  </si>
  <si>
    <t>Sum Of Operating Cashflow 3 Years</t>
  </si>
  <si>
    <t>Sum of Total Capex 3 Years</t>
  </si>
  <si>
    <t>Sum of Total Dividend 3 Years</t>
  </si>
  <si>
    <t>Sum of Capex + Dividend 3 Years</t>
  </si>
  <si>
    <t>Sum of Capex + Dividend 5 Years</t>
  </si>
  <si>
    <t>Sum Of Free Cashflow 5 Years</t>
  </si>
  <si>
    <t>Sum Of Free Cashflow 3 Years</t>
  </si>
  <si>
    <t>Working Capital Days</t>
  </si>
  <si>
    <t>Working Capital Turnover</t>
  </si>
  <si>
    <t>Sales/(Debtors + Inventory)</t>
  </si>
  <si>
    <t>(Debtors + Inventory)/Sales</t>
  </si>
  <si>
    <t>Debtors/Sales</t>
  </si>
  <si>
    <t>Inventory/Sales</t>
  </si>
  <si>
    <t>Sales/Invested Capital 1(Cost Advantage)</t>
  </si>
  <si>
    <t>Sales/Invested Capital 2(Cost Advantage)</t>
  </si>
  <si>
    <t>Sales/Invested Capital 3(Cost Advantage)</t>
  </si>
  <si>
    <t>Sales/Invested Capital 4(Cost Advantage)</t>
  </si>
  <si>
    <t>Operating Cashflow</t>
  </si>
  <si>
    <t>Operating Cashflow/Sales</t>
  </si>
  <si>
    <t>EBIT*(1-Tax)/Sales(Bargaining Power)</t>
  </si>
  <si>
    <t>Sum of NP 10 Year</t>
  </si>
  <si>
    <t>Compare with sum of CFO 10 Year</t>
  </si>
  <si>
    <t>Sum Of Operating Cashflow 10 Years</t>
  </si>
  <si>
    <t>Sum Of Free Cashflow 10 Years</t>
  </si>
  <si>
    <t>Sum of Total Capex 10  Years</t>
  </si>
  <si>
    <t>Sum of Total Dividend 10 Years</t>
  </si>
  <si>
    <t>Sum of Capex + Dividend 10 Years</t>
  </si>
  <si>
    <t>Total Depriciation for 10 Years</t>
  </si>
  <si>
    <t>Total Interest outgo 10 Years</t>
  </si>
  <si>
    <t>Add (Depri + Interest)10 Years</t>
  </si>
  <si>
    <t>Substract (Receivable + Inventory)10 Years</t>
  </si>
  <si>
    <t>Total Depriciation for 5Years</t>
  </si>
  <si>
    <t>Total Interest outgo 5Years</t>
  </si>
  <si>
    <t>Sum of NP 5Year</t>
  </si>
  <si>
    <t>Add (Depri + Interest)5 Years</t>
  </si>
  <si>
    <t>Substract (Receivable + Inventory)5 Years</t>
  </si>
  <si>
    <t>Compare with sum of CFO 5 Year</t>
  </si>
  <si>
    <t>Total Depriciation for 3 Years</t>
  </si>
  <si>
    <t>Total Interest outgo 3 Years</t>
  </si>
  <si>
    <t>Sum of NP  3 Year</t>
  </si>
  <si>
    <t>Add (Depri + Interest)3 Years</t>
  </si>
  <si>
    <t>Substract (Receivable + Inventory)3  Years</t>
  </si>
  <si>
    <t>Compare with sum of CFO 3 Year</t>
  </si>
  <si>
    <t>Increase /Decrease in Receivables for 10 Years</t>
  </si>
  <si>
    <t>Increase/Decrease in Inventory for 10 Years</t>
  </si>
  <si>
    <t>Increase/Decrease  in Receivables for 5Years</t>
  </si>
  <si>
    <t>Increase/Decrease in Inventory for 5Years</t>
  </si>
  <si>
    <t>Increase/Decrease in Receivables for 3 Years</t>
  </si>
  <si>
    <t>Increase/Decrease in Inventory for 3 Years</t>
  </si>
  <si>
    <t>FCF</t>
  </si>
  <si>
    <t>FCF-Interest</t>
  </si>
  <si>
    <t>Sources of Fund</t>
  </si>
  <si>
    <t>Increase in Equity Share Capital 10 Year</t>
  </si>
  <si>
    <t>Increase in Debt 10 Year</t>
  </si>
  <si>
    <t>Total Interest outgo 5 Years</t>
  </si>
  <si>
    <t>Increase in Equity Share Capital 5 Year</t>
  </si>
  <si>
    <t>Increase in Debt 5 Year</t>
  </si>
  <si>
    <t>Sum Of Operating Cashflow 3Years</t>
  </si>
  <si>
    <t>Increase in Equity Share Capital 3 Year</t>
  </si>
  <si>
    <t>Increase in Debt 3 Year</t>
  </si>
  <si>
    <t>7Yr</t>
  </si>
  <si>
    <t>5Yr</t>
  </si>
  <si>
    <t>3Yr</t>
  </si>
  <si>
    <t>TTM</t>
  </si>
  <si>
    <t>Tax%</t>
  </si>
  <si>
    <t>GPM</t>
  </si>
  <si>
    <t>CFO</t>
  </si>
  <si>
    <t>Capex(NFA+WIP+Dep)</t>
  </si>
  <si>
    <t>Total Debt(D)</t>
  </si>
  <si>
    <t>Cash + Investment</t>
  </si>
  <si>
    <t>PBT/Avg NFA</t>
  </si>
  <si>
    <t>RoCE</t>
  </si>
  <si>
    <t>NFAT</t>
  </si>
  <si>
    <t>Receivable Day</t>
  </si>
  <si>
    <t>NFA</t>
  </si>
  <si>
    <t>CWIP</t>
  </si>
  <si>
    <t>Share Capital</t>
  </si>
  <si>
    <t>Dividend Paid</t>
  </si>
  <si>
    <t>Dividend Payout(Dividend/PAT)</t>
  </si>
  <si>
    <t>Retained Earning(PAT-Div)</t>
  </si>
  <si>
    <t>PE</t>
  </si>
  <si>
    <t>Mcap</t>
  </si>
  <si>
    <t>Total Debt</t>
  </si>
  <si>
    <t>Total Equity</t>
  </si>
  <si>
    <t>D/E</t>
  </si>
  <si>
    <t>Cost of Fund</t>
  </si>
  <si>
    <t>Interest Outgo</t>
  </si>
  <si>
    <t xml:space="preserve">Cash &amp; Eq </t>
  </si>
  <si>
    <t>Total Retained Earning(10Year)</t>
  </si>
  <si>
    <t>Total Increase in Mkt Cap</t>
  </si>
  <si>
    <t xml:space="preserve">Value Created per INR RE </t>
  </si>
  <si>
    <t>Sum of PAT - 10Years</t>
  </si>
  <si>
    <t>Sum of Operating cashFlow - 10 Years</t>
  </si>
  <si>
    <t>invested Capital3(Net Block + Work in Progress + WC )</t>
  </si>
  <si>
    <t>invested Capital4(Net Block + Work in Progress + WC w/o cash)</t>
  </si>
  <si>
    <t>EPA 1 ( with WACC 12%)</t>
  </si>
  <si>
    <t>EPA 2  ( with WACC 12%)</t>
  </si>
  <si>
    <t>EPA 3  ( with WACC 12%)</t>
  </si>
  <si>
    <t>EPA 4  ( with WACC 12%)</t>
  </si>
  <si>
    <t>EPA 1 ( with WACC 10%)</t>
  </si>
  <si>
    <t>EPA 2  ( with WACC 10%)</t>
  </si>
  <si>
    <t>EPA 3  ( with WACC 10%)</t>
  </si>
  <si>
    <t>EPA 4  ( with WACC 10%)</t>
  </si>
  <si>
    <t>Incremental NOPLAT</t>
  </si>
  <si>
    <t>Incremental IC1</t>
  </si>
  <si>
    <t>Incremental IC2</t>
  </si>
  <si>
    <t>Incremental IC3</t>
  </si>
  <si>
    <t>Incremental IC4</t>
  </si>
  <si>
    <t>ROIIC 1 (10 Year)</t>
  </si>
  <si>
    <t>ROIIC 2 (10 Year)</t>
  </si>
  <si>
    <t>ROIIC 3 (10 Year)</t>
  </si>
  <si>
    <t>ROIIC 4 (10 Year)</t>
  </si>
  <si>
    <t>Reinvestment Rate 1(10 Year)</t>
  </si>
  <si>
    <t>Reinvestment Rate 2 (10 Year)</t>
  </si>
  <si>
    <t>Reinvestment Rate 3(10 Year)</t>
  </si>
  <si>
    <t>Reinvestment Rate 4(10 Year)</t>
  </si>
  <si>
    <t>ROIC 1 (10 Year)</t>
  </si>
  <si>
    <t>ROIC 2 (10 Year)</t>
  </si>
  <si>
    <t>ROIC 3 (10 Year)</t>
  </si>
  <si>
    <t>ROIC 4 (10 Year)</t>
  </si>
  <si>
    <t>Intrinsic Value Compounding Rate 1 (10 Year)</t>
  </si>
  <si>
    <t>Intrinsic Value Compounding Rate 2(10 Year)</t>
  </si>
  <si>
    <t>Intrinsic Value Compounding Rate 3 (10 Year)</t>
  </si>
  <si>
    <t>Intrinsic Value Compounding Rate 4 (10 Year)</t>
  </si>
  <si>
    <t>P/OCF</t>
  </si>
  <si>
    <t>MSH ROE=AOPCF/MCAP</t>
  </si>
  <si>
    <t>EV=MCAP+Debt-Cash</t>
  </si>
  <si>
    <t>EV/OCF</t>
  </si>
  <si>
    <t>ROCE*(EV/OCF)</t>
  </si>
  <si>
    <t>P/FCF</t>
  </si>
  <si>
    <t>Decomposition of ROA</t>
  </si>
  <si>
    <t>ROA =  Net Margin*Asset Turns</t>
  </si>
  <si>
    <t>Net Margin</t>
  </si>
  <si>
    <t>Total Asset Turn</t>
  </si>
  <si>
    <t xml:space="preserve">ROIC 3 </t>
  </si>
  <si>
    <t>Decomposition of ROIC</t>
  </si>
  <si>
    <t>YOY Improvement</t>
  </si>
  <si>
    <t>Capital Turns 3</t>
  </si>
  <si>
    <t>Capital Turns 4</t>
  </si>
  <si>
    <t>Input</t>
  </si>
  <si>
    <t>Year</t>
  </si>
  <si>
    <t>Multiple</t>
  </si>
  <si>
    <t>FCF (per Share)</t>
  </si>
  <si>
    <t>CMP</t>
  </si>
  <si>
    <t>Discount rate</t>
  </si>
  <si>
    <t>PV</t>
  </si>
  <si>
    <t>MICAP</t>
  </si>
  <si>
    <t>Cumulative FCF Sum of PV</t>
  </si>
  <si>
    <t>PV of Terminal Value</t>
  </si>
  <si>
    <t>Discounted Value Today</t>
  </si>
  <si>
    <t>FCF GROWTH RATE</t>
  </si>
  <si>
    <t>Discounted cash flow valuations</t>
  </si>
  <si>
    <t>Inputs</t>
  </si>
  <si>
    <t>Value</t>
  </si>
  <si>
    <t>Average Free Cash Flow ( In Cr)</t>
  </si>
  <si>
    <t>Growth</t>
  </si>
  <si>
    <t>FCF Growth ( 1- 5 years)</t>
  </si>
  <si>
    <t>FCF Growth ( 5- 10 years)</t>
  </si>
  <si>
    <t>NPV</t>
  </si>
  <si>
    <t>Terminal growth rate</t>
  </si>
  <si>
    <t>Terminal Value</t>
  </si>
  <si>
    <t>Shares Outstanding</t>
  </si>
  <si>
    <t>Total Cash Value</t>
  </si>
  <si>
    <t>Net debt</t>
  </si>
  <si>
    <t>Per Share DCF</t>
  </si>
  <si>
    <t>FCF Growth ( 10- 15 years)</t>
  </si>
  <si>
    <t>FCF Growth ( 15- 20 years)</t>
  </si>
  <si>
    <t>10th Year</t>
  </si>
  <si>
    <t>11th Year</t>
  </si>
  <si>
    <t>12th Year</t>
  </si>
  <si>
    <t>13th Year</t>
  </si>
  <si>
    <t>14th Year</t>
  </si>
  <si>
    <t>15th Year</t>
  </si>
  <si>
    <t>16th Year</t>
  </si>
  <si>
    <t>17th Year</t>
  </si>
  <si>
    <t>18th Year</t>
  </si>
  <si>
    <t>19th Year</t>
  </si>
  <si>
    <t>20th Year</t>
  </si>
  <si>
    <t>Terminal Value(TV=FCF*10)</t>
  </si>
  <si>
    <t>PV (Sum of NPV )</t>
  </si>
  <si>
    <t>5th Year</t>
  </si>
  <si>
    <t>6th Year</t>
  </si>
  <si>
    <t>7th Year</t>
  </si>
  <si>
    <t>8th Year</t>
  </si>
  <si>
    <t>9th Year</t>
  </si>
  <si>
    <t>3 Year Avg Capex</t>
  </si>
  <si>
    <t>3 Year Avg Operating CashFlow</t>
  </si>
  <si>
    <t>3 Year Avg FCF</t>
  </si>
  <si>
    <t>P/3 Yr AvgFCF</t>
  </si>
  <si>
    <t>P/3 Yr AvgOCF</t>
  </si>
  <si>
    <t>EV/3 Yr AvgOCF</t>
  </si>
  <si>
    <t>3 Year Avg Net profit</t>
  </si>
  <si>
    <t>3 Year Avg Depriciation</t>
  </si>
  <si>
    <t>CAP</t>
  </si>
  <si>
    <t>DCF</t>
  </si>
  <si>
    <t>Debt/Operational Asset</t>
  </si>
  <si>
    <t>Equity/Operational Asset</t>
  </si>
  <si>
    <t>Debt/IC3</t>
  </si>
  <si>
    <t>Equity/IC3</t>
  </si>
  <si>
    <t>Incremental Equity</t>
  </si>
  <si>
    <t>Incremental Debt</t>
  </si>
  <si>
    <t>Incremental OA</t>
  </si>
  <si>
    <t>Incremental Equity/Incremental OA</t>
  </si>
  <si>
    <t>Incremental Debt/Incremental OA</t>
  </si>
  <si>
    <t>Incremental Equity/Incremental IC3</t>
  </si>
  <si>
    <t>Incremental Debt/Incremental IC3</t>
  </si>
  <si>
    <t xml:space="preserve">PAT-OI </t>
  </si>
  <si>
    <t>YoY Fall in R&amp;S</t>
  </si>
  <si>
    <r>
      <t>DP FROM R&amp;S::</t>
    </r>
    <r>
      <rPr>
        <b/>
        <sz val="14"/>
        <color theme="1"/>
        <rFont val="Calibri"/>
        <family val="2"/>
        <scheme val="minor"/>
      </rPr>
      <t>PAT-OI &lt; DP</t>
    </r>
  </si>
  <si>
    <t>OR Fall /Rise In R&amp;S= NP Last Y  + R&amp;S Last Y - DP CY</t>
  </si>
  <si>
    <t>P/Sales</t>
  </si>
  <si>
    <t>EPA1/Sales(10%)</t>
  </si>
  <si>
    <t>Quarterly Sales Growth</t>
  </si>
  <si>
    <t>Quarterly Profit Growth</t>
  </si>
  <si>
    <t>Quarterly Expenses Growth</t>
  </si>
  <si>
    <t>Incremental WC</t>
  </si>
  <si>
    <t>Incremental Sale</t>
  </si>
  <si>
    <t>Incremental FC investment Rate</t>
  </si>
  <si>
    <t>Incremental FC</t>
  </si>
  <si>
    <t>Incremental WC investment Rate</t>
  </si>
  <si>
    <t>QoQ</t>
  </si>
  <si>
    <t>FCF/Sales</t>
  </si>
  <si>
    <t>FCF/Profit</t>
  </si>
  <si>
    <t>OCF/Sales</t>
  </si>
  <si>
    <t>OCF/Profit</t>
  </si>
  <si>
    <t>OPM (Excluding Other Income)</t>
  </si>
  <si>
    <t>OE with 3 Year Avg (PAT DEPRI CAPEX )/Sales</t>
  </si>
  <si>
    <t>OE with 3 Yr  Maintenace Capex/sales</t>
  </si>
  <si>
    <t>OE with 3 Year Avg Capex/Sales</t>
  </si>
  <si>
    <t>OE 5Yr Maintenace Capex</t>
  </si>
  <si>
    <t>Retained Earning(PAT-Div)/Sales</t>
  </si>
  <si>
    <t>EPA1/Sales(CoC 12%)</t>
  </si>
  <si>
    <t>EPA3/Sales  (CoC 12%)</t>
  </si>
  <si>
    <t>EPA3/Sales  (CoC 10%)</t>
  </si>
  <si>
    <t>Defensive earnings1(Net Profit - Change in IC 1)</t>
  </si>
  <si>
    <t>Defensive earnings2(Net Profit - Change in IC 2)</t>
  </si>
  <si>
    <t>Defensive earnings3(Net Profit - Change in IC 3)</t>
  </si>
  <si>
    <t>Defensive earnings4(Net Profit - Change in IC 4)</t>
  </si>
</sst>
</file>

<file path=xl/styles.xml><?xml version="1.0" encoding="utf-8"?>
<styleSheet xmlns="http://schemas.openxmlformats.org/spreadsheetml/2006/main">
  <numFmts count="6"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0.0"/>
    <numFmt numFmtId="167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Calibri"/>
      <family val="2"/>
      <charset val="1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rgb="FFFFCC99"/>
      </patternFill>
    </fill>
    <fill>
      <patternFill patternType="solid">
        <fgColor theme="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9" borderId="2" applyNumberFormat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</cellStyleXfs>
  <cellXfs count="212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10" fontId="0" fillId="0" borderId="0" xfId="6" applyNumberFormat="1" applyFont="1" applyBorder="1"/>
    <xf numFmtId="2" fontId="0" fillId="0" borderId="0" xfId="0" applyNumberFormat="1" applyBorder="1"/>
    <xf numFmtId="43" fontId="3" fillId="0" borderId="0" xfId="1" applyFont="1" applyFill="1" applyBorder="1"/>
    <xf numFmtId="10" fontId="0" fillId="0" borderId="0" xfId="6" applyNumberFormat="1" applyFont="1" applyFill="1" applyBorder="1"/>
    <xf numFmtId="0" fontId="0" fillId="0" borderId="1" xfId="0" applyBorder="1"/>
    <xf numFmtId="10" fontId="0" fillId="0" borderId="1" xfId="6" applyNumberFormat="1" applyFont="1" applyBorder="1"/>
    <xf numFmtId="43" fontId="1" fillId="0" borderId="1" xfId="1" applyFont="1" applyBorder="1"/>
    <xf numFmtId="0" fontId="0" fillId="0" borderId="1" xfId="0" applyBorder="1" applyAlignment="1">
      <alignment horizontal="left"/>
    </xf>
    <xf numFmtId="10" fontId="0" fillId="6" borderId="1" xfId="6" applyNumberFormat="1" applyFont="1" applyFill="1" applyBorder="1"/>
    <xf numFmtId="43" fontId="0" fillId="6" borderId="1" xfId="1" applyFont="1" applyFill="1" applyBorder="1"/>
    <xf numFmtId="2" fontId="0" fillId="0" borderId="1" xfId="0" applyNumberFormat="1" applyBorder="1"/>
    <xf numFmtId="2" fontId="0" fillId="0" borderId="1" xfId="7" applyNumberFormat="1" applyFont="1" applyBorder="1"/>
    <xf numFmtId="0" fontId="8" fillId="0" borderId="1" xfId="0" applyFont="1" applyBorder="1" applyAlignment="1">
      <alignment horizontal="right"/>
    </xf>
    <xf numFmtId="10" fontId="8" fillId="0" borderId="1" xfId="6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0" fillId="0" borderId="1" xfId="6" applyNumberFormat="1" applyFont="1" applyBorder="1"/>
    <xf numFmtId="10" fontId="0" fillId="0" borderId="1" xfId="6" applyNumberFormat="1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3" fontId="0" fillId="0" borderId="0" xfId="0" applyNumberFormat="1" applyFill="1" applyBorder="1"/>
    <xf numFmtId="2" fontId="0" fillId="0" borderId="0" xfId="6" applyNumberFormat="1" applyFont="1" applyFill="1" applyBorder="1"/>
    <xf numFmtId="9" fontId="0" fillId="0" borderId="0" xfId="6" applyFont="1" applyFill="1" applyBorder="1"/>
    <xf numFmtId="167" fontId="0" fillId="0" borderId="0" xfId="6" applyNumberFormat="1" applyFont="1" applyFill="1" applyBorder="1"/>
    <xf numFmtId="2" fontId="0" fillId="0" borderId="0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2" fontId="0" fillId="0" borderId="1" xfId="1" applyNumberFormat="1" applyFont="1" applyFill="1" applyBorder="1"/>
    <xf numFmtId="43" fontId="0" fillId="0" borderId="1" xfId="1" applyFont="1" applyFill="1" applyBorder="1"/>
    <xf numFmtId="2" fontId="0" fillId="0" borderId="1" xfId="6" applyNumberFormat="1" applyFont="1" applyFill="1" applyBorder="1"/>
    <xf numFmtId="2" fontId="0" fillId="0" borderId="1" xfId="6" applyNumberFormat="1" applyFont="1" applyFill="1" applyBorder="1" applyAlignment="1">
      <alignment horizontal="right"/>
    </xf>
    <xf numFmtId="2" fontId="0" fillId="0" borderId="0" xfId="6" applyNumberFormat="1" applyFont="1" applyFill="1" applyBorder="1" applyAlignment="1">
      <alignment horizontal="right"/>
    </xf>
    <xf numFmtId="10" fontId="0" fillId="0" borderId="1" xfId="6" applyNumberFormat="1" applyFont="1" applyFill="1" applyBorder="1" applyAlignment="1">
      <alignment horizontal="right"/>
    </xf>
    <xf numFmtId="10" fontId="0" fillId="0" borderId="0" xfId="6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166" fontId="0" fillId="0" borderId="1" xfId="0" applyNumberFormat="1" applyFill="1" applyBorder="1" applyAlignment="1">
      <alignment horizontal="left" vertical="top"/>
    </xf>
    <xf numFmtId="10" fontId="1" fillId="0" borderId="0" xfId="6" applyNumberFormat="1" applyFont="1" applyBorder="1"/>
    <xf numFmtId="10" fontId="7" fillId="7" borderId="0" xfId="6" applyNumberFormat="1" applyFont="1" applyFill="1" applyBorder="1"/>
    <xf numFmtId="10" fontId="3" fillId="0" borderId="0" xfId="6" applyNumberFormat="1" applyFont="1" applyBorder="1"/>
    <xf numFmtId="43" fontId="11" fillId="7" borderId="1" xfId="1" applyFont="1" applyFill="1" applyBorder="1"/>
    <xf numFmtId="0" fontId="0" fillId="0" borderId="1" xfId="0" applyFill="1" applyBorder="1" applyAlignment="1">
      <alignment horizontal="left"/>
    </xf>
    <xf numFmtId="0" fontId="14" fillId="0" borderId="0" xfId="0" applyFont="1" applyBorder="1"/>
    <xf numFmtId="43" fontId="1" fillId="6" borderId="1" xfId="1" applyFont="1" applyFill="1" applyBorder="1"/>
    <xf numFmtId="10" fontId="1" fillId="6" borderId="1" xfId="6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10" fontId="1" fillId="0" borderId="0" xfId="6" applyNumberFormat="1" applyFont="1" applyFill="1" applyBorder="1"/>
    <xf numFmtId="2" fontId="0" fillId="0" borderId="1" xfId="0" applyNumberFormat="1" applyFont="1" applyBorder="1"/>
    <xf numFmtId="43" fontId="0" fillId="0" borderId="1" xfId="0" applyNumberFormat="1" applyFont="1" applyBorder="1"/>
    <xf numFmtId="10" fontId="0" fillId="0" borderId="1" xfId="0" applyNumberFormat="1" applyFill="1" applyBorder="1"/>
    <xf numFmtId="43" fontId="0" fillId="0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/>
    <xf numFmtId="1" fontId="3" fillId="0" borderId="1" xfId="0" applyNumberFormat="1" applyFont="1" applyBorder="1" applyAlignment="1" applyProtection="1">
      <alignment wrapText="1"/>
      <protection hidden="1"/>
    </xf>
    <xf numFmtId="2" fontId="3" fillId="0" borderId="1" xfId="0" applyNumberFormat="1" applyFont="1" applyBorder="1" applyAlignment="1" applyProtection="1">
      <alignment wrapText="1"/>
      <protection hidden="1"/>
    </xf>
    <xf numFmtId="1" fontId="3" fillId="0" borderId="0" xfId="0" applyNumberFormat="1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" fontId="3" fillId="0" borderId="6" xfId="0" applyNumberFormat="1" applyFont="1" applyBorder="1" applyAlignment="1" applyProtection="1">
      <alignment wrapText="1"/>
      <protection hidden="1"/>
    </xf>
    <xf numFmtId="0" fontId="1" fillId="6" borderId="1" xfId="9" applyFont="1" applyFill="1" applyBorder="1" applyAlignment="1">
      <alignment wrapText="1"/>
    </xf>
    <xf numFmtId="0" fontId="1" fillId="0" borderId="1" xfId="8" applyFont="1" applyFill="1" applyBorder="1" applyAlignment="1">
      <alignment wrapText="1"/>
    </xf>
    <xf numFmtId="0" fontId="1" fillId="0" borderId="1" xfId="8" applyFont="1" applyFill="1" applyBorder="1" applyAlignment="1" applyProtection="1">
      <alignment wrapText="1"/>
      <protection hidden="1"/>
    </xf>
    <xf numFmtId="9" fontId="3" fillId="11" borderId="1" xfId="8" applyNumberFormat="1" applyFont="1" applyFill="1" applyBorder="1" applyAlignment="1" applyProtection="1">
      <alignment wrapText="1"/>
      <protection locked="0"/>
    </xf>
    <xf numFmtId="2" fontId="3" fillId="11" borderId="1" xfId="8" applyNumberFormat="1" applyFont="1" applyFill="1" applyBorder="1" applyAlignment="1" applyProtection="1">
      <alignment wrapText="1"/>
      <protection locked="0"/>
    </xf>
    <xf numFmtId="43" fontId="3" fillId="11" borderId="1" xfId="8" applyNumberFormat="1" applyFont="1" applyFill="1" applyBorder="1" applyAlignment="1" applyProtection="1">
      <alignment wrapText="1"/>
      <protection hidden="1"/>
    </xf>
    <xf numFmtId="0" fontId="3" fillId="11" borderId="1" xfId="8" applyFont="1" applyFill="1" applyBorder="1" applyAlignment="1" applyProtection="1">
      <alignment wrapText="1"/>
      <protection hidden="1"/>
    </xf>
    <xf numFmtId="0" fontId="5" fillId="12" borderId="1" xfId="10" applyBorder="1" applyAlignment="1" applyProtection="1">
      <alignment horizontal="center"/>
      <protection hidden="1"/>
    </xf>
    <xf numFmtId="15" fontId="5" fillId="12" borderId="1" xfId="10" applyNumberFormat="1" applyBorder="1" applyAlignment="1" applyProtection="1">
      <alignment horizontal="center"/>
      <protection hidden="1"/>
    </xf>
    <xf numFmtId="0" fontId="16" fillId="13" borderId="1" xfId="0" applyFont="1" applyFill="1" applyBorder="1" applyAlignment="1" applyProtection="1">
      <alignment wrapText="1"/>
      <protection hidden="1"/>
    </xf>
    <xf numFmtId="1" fontId="15" fillId="9" borderId="2" xfId="8" applyNumberFormat="1" applyProtection="1">
      <protection locked="0"/>
    </xf>
    <xf numFmtId="3" fontId="16" fillId="0" borderId="1" xfId="0" applyNumberFormat="1" applyFont="1" applyBorder="1" applyProtection="1">
      <protection hidden="1"/>
    </xf>
    <xf numFmtId="10" fontId="15" fillId="9" borderId="2" xfId="8" applyNumberFormat="1" applyProtection="1">
      <protection locked="0"/>
    </xf>
    <xf numFmtId="0" fontId="16" fillId="0" borderId="1" xfId="0" applyFont="1" applyBorder="1" applyProtection="1">
      <protection hidden="1"/>
    </xf>
    <xf numFmtId="0" fontId="17" fillId="6" borderId="1" xfId="0" applyFont="1" applyFill="1" applyBorder="1" applyProtection="1">
      <protection hidden="1"/>
    </xf>
    <xf numFmtId="0" fontId="16" fillId="0" borderId="0" xfId="0" applyFont="1" applyProtection="1">
      <protection hidden="1"/>
    </xf>
    <xf numFmtId="43" fontId="16" fillId="0" borderId="1" xfId="0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0" fontId="16" fillId="0" borderId="1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Alignment="1">
      <alignment horizontal="left"/>
    </xf>
    <xf numFmtId="3" fontId="16" fillId="0" borderId="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2" fontId="16" fillId="0" borderId="0" xfId="0" applyNumberFormat="1" applyFont="1" applyFill="1" applyBorder="1" applyProtection="1">
      <protection hidden="1"/>
    </xf>
    <xf numFmtId="0" fontId="0" fillId="6" borderId="1" xfId="0" applyFont="1" applyFill="1" applyBorder="1"/>
    <xf numFmtId="43" fontId="18" fillId="7" borderId="1" xfId="1" applyFont="1" applyFill="1" applyBorder="1"/>
    <xf numFmtId="0" fontId="11" fillId="7" borderId="1" xfId="0" applyFont="1" applyFill="1" applyBorder="1"/>
    <xf numFmtId="0" fontId="19" fillId="8" borderId="1" xfId="0" applyFont="1" applyFill="1" applyBorder="1" applyAlignment="1">
      <alignment horizontal="left" vertical="top"/>
    </xf>
    <xf numFmtId="0" fontId="3" fillId="0" borderId="7" xfId="9" applyFont="1" applyFill="1" applyBorder="1" applyAlignment="1" applyProtection="1">
      <protection hidden="1"/>
    </xf>
    <xf numFmtId="0" fontId="11" fillId="7" borderId="7" xfId="9" applyFont="1" applyFill="1" applyBorder="1" applyAlignment="1" applyProtection="1">
      <protection hidden="1"/>
    </xf>
    <xf numFmtId="0" fontId="11" fillId="7" borderId="0" xfId="0" applyFont="1" applyFill="1" applyBorder="1"/>
    <xf numFmtId="1" fontId="5" fillId="12" borderId="1" xfId="10" applyNumberFormat="1" applyFont="1" applyBorder="1" applyAlignment="1" applyProtection="1">
      <alignment horizontal="center"/>
      <protection hidden="1"/>
    </xf>
    <xf numFmtId="43" fontId="3" fillId="0" borderId="1" xfId="1" applyNumberFormat="1" applyFont="1" applyBorder="1"/>
    <xf numFmtId="2" fontId="0" fillId="6" borderId="1" xfId="0" applyNumberFormat="1" applyFont="1" applyFill="1" applyBorder="1"/>
    <xf numFmtId="3" fontId="0" fillId="0" borderId="1" xfId="0" applyNumberFormat="1" applyFont="1" applyBorder="1" applyProtection="1">
      <protection hidden="1"/>
    </xf>
    <xf numFmtId="10" fontId="0" fillId="0" borderId="1" xfId="0" applyNumberFormat="1" applyFont="1" applyBorder="1" applyProtection="1">
      <protection hidden="1"/>
    </xf>
    <xf numFmtId="4" fontId="0" fillId="0" borderId="1" xfId="0" applyNumberFormat="1" applyFont="1" applyBorder="1" applyProtection="1">
      <protection hidden="1"/>
    </xf>
    <xf numFmtId="0" fontId="0" fillId="0" borderId="1" xfId="0" applyFont="1" applyBorder="1" applyProtection="1">
      <protection hidden="1"/>
    </xf>
    <xf numFmtId="1" fontId="0" fillId="0" borderId="1" xfId="0" applyNumberFormat="1" applyFont="1" applyBorder="1" applyProtection="1">
      <protection hidden="1"/>
    </xf>
    <xf numFmtId="0" fontId="17" fillId="6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left" vertical="top"/>
    </xf>
    <xf numFmtId="43" fontId="8" fillId="0" borderId="1" xfId="0" applyNumberFormat="1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left" vertical="top"/>
    </xf>
    <xf numFmtId="43" fontId="3" fillId="0" borderId="1" xfId="1" applyFont="1" applyFill="1" applyBorder="1"/>
    <xf numFmtId="10" fontId="0" fillId="0" borderId="1" xfId="6" applyNumberFormat="1" applyFont="1" applyFill="1" applyBorder="1" applyAlignment="1">
      <alignment horizontal="left"/>
    </xf>
    <xf numFmtId="43" fontId="11" fillId="0" borderId="1" xfId="1" applyFont="1" applyFill="1" applyBorder="1"/>
    <xf numFmtId="43" fontId="1" fillId="0" borderId="1" xfId="1" applyFont="1" applyFill="1" applyBorder="1"/>
    <xf numFmtId="10" fontId="0" fillId="0" borderId="0" xfId="0" applyNumberFormat="1" applyFill="1" applyBorder="1"/>
    <xf numFmtId="10" fontId="1" fillId="0" borderId="1" xfId="6" applyNumberFormat="1" applyFont="1" applyFill="1" applyBorder="1"/>
    <xf numFmtId="2" fontId="0" fillId="0" borderId="1" xfId="0" applyNumberFormat="1" applyFill="1" applyBorder="1"/>
    <xf numFmtId="43" fontId="0" fillId="0" borderId="1" xfId="0" applyNumberFormat="1" applyFont="1" applyFill="1" applyBorder="1"/>
    <xf numFmtId="43" fontId="0" fillId="0" borderId="1" xfId="0" applyNumberFormat="1" applyFill="1" applyBorder="1"/>
    <xf numFmtId="2" fontId="0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10" fontId="13" fillId="0" borderId="1" xfId="6" applyNumberFormat="1" applyFont="1" applyFill="1" applyBorder="1" applyAlignment="1">
      <alignment horizontal="right"/>
    </xf>
    <xf numFmtId="43" fontId="0" fillId="0" borderId="1" xfId="6" applyNumberFormat="1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2" fontId="0" fillId="0" borderId="1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43" fontId="0" fillId="0" borderId="0" xfId="1" applyFont="1" applyFill="1" applyBorder="1"/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2" fontId="11" fillId="0" borderId="1" xfId="6" applyNumberFormat="1" applyFont="1" applyFill="1" applyBorder="1" applyAlignment="1">
      <alignment horizontal="left"/>
    </xf>
    <xf numFmtId="43" fontId="0" fillId="0" borderId="1" xfId="1" applyNumberFormat="1" applyFont="1" applyFill="1" applyBorder="1"/>
    <xf numFmtId="43" fontId="1" fillId="0" borderId="1" xfId="0" applyNumberFormat="1" applyFont="1" applyFill="1" applyBorder="1"/>
    <xf numFmtId="9" fontId="0" fillId="0" borderId="1" xfId="6" applyFont="1" applyFill="1" applyBorder="1"/>
    <xf numFmtId="167" fontId="0" fillId="0" borderId="1" xfId="6" applyNumberFormat="1" applyFont="1" applyFill="1" applyBorder="1"/>
    <xf numFmtId="165" fontId="2" fillId="0" borderId="1" xfId="1" applyNumberFormat="1" applyFont="1" applyFill="1" applyBorder="1"/>
    <xf numFmtId="0" fontId="13" fillId="0" borderId="1" xfId="0" applyFont="1" applyFill="1" applyBorder="1" applyAlignment="1">
      <alignment horizontal="right"/>
    </xf>
    <xf numFmtId="43" fontId="1" fillId="0" borderId="1" xfId="1" applyNumberFormat="1" applyFont="1" applyFill="1" applyBorder="1"/>
    <xf numFmtId="14" fontId="1" fillId="0" borderId="1" xfId="0" applyNumberFormat="1" applyFont="1" applyFill="1" applyBorder="1"/>
    <xf numFmtId="10" fontId="20" fillId="0" borderId="0" xfId="6" applyNumberFormat="1" applyFont="1" applyFill="1" applyBorder="1"/>
    <xf numFmtId="14" fontId="1" fillId="0" borderId="0" xfId="0" applyNumberFormat="1" applyFont="1" applyFill="1" applyBorder="1"/>
    <xf numFmtId="9" fontId="1" fillId="0" borderId="1" xfId="6" applyFont="1" applyFill="1" applyBorder="1"/>
    <xf numFmtId="43" fontId="18" fillId="0" borderId="1" xfId="1" applyFont="1" applyFill="1" applyBorder="1"/>
    <xf numFmtId="2" fontId="0" fillId="0" borderId="1" xfId="7" applyNumberFormat="1" applyFont="1" applyFill="1" applyBorder="1"/>
    <xf numFmtId="0" fontId="12" fillId="0" borderId="1" xfId="0" applyFont="1" applyFill="1" applyBorder="1" applyAlignment="1">
      <alignment horizontal="right"/>
    </xf>
    <xf numFmtId="43" fontId="1" fillId="0" borderId="0" xfId="0" applyNumberFormat="1" applyFont="1" applyFill="1" applyBorder="1"/>
    <xf numFmtId="2" fontId="1" fillId="0" borderId="1" xfId="0" applyNumberFormat="1" applyFont="1" applyFill="1" applyBorder="1"/>
    <xf numFmtId="10" fontId="8" fillId="0" borderId="1" xfId="6" applyNumberFormat="1" applyFont="1" applyFill="1" applyBorder="1" applyAlignment="1">
      <alignment horizontal="right"/>
    </xf>
    <xf numFmtId="166" fontId="0" fillId="0" borderId="1" xfId="0" applyNumberFormat="1" applyFill="1" applyBorder="1"/>
    <xf numFmtId="43" fontId="11" fillId="0" borderId="0" xfId="1" applyFont="1" applyFill="1" applyBorder="1"/>
    <xf numFmtId="10" fontId="0" fillId="0" borderId="0" xfId="6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0" fillId="0" borderId="0" xfId="0" applyNumberFormat="1" applyFill="1" applyBorder="1" applyAlignment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right"/>
    </xf>
    <xf numFmtId="14" fontId="0" fillId="0" borderId="0" xfId="1" applyNumberFormat="1" applyFont="1" applyFill="1" applyBorder="1"/>
    <xf numFmtId="14" fontId="0" fillId="0" borderId="0" xfId="0" applyNumberFormat="1" applyFill="1" applyBorder="1"/>
    <xf numFmtId="0" fontId="0" fillId="0" borderId="1" xfId="0" applyFont="1" applyFill="1" applyBorder="1"/>
    <xf numFmtId="9" fontId="0" fillId="0" borderId="1" xfId="0" applyNumberFormat="1" applyFill="1" applyBorder="1"/>
    <xf numFmtId="14" fontId="1" fillId="0" borderId="1" xfId="1" applyNumberFormat="1" applyFont="1" applyFill="1" applyBorder="1"/>
    <xf numFmtId="14" fontId="1" fillId="0" borderId="0" xfId="1" applyNumberFormat="1" applyFont="1" applyFill="1" applyBorder="1"/>
    <xf numFmtId="14" fontId="1" fillId="7" borderId="1" xfId="1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0" fontId="3" fillId="0" borderId="1" xfId="6" applyNumberFormat="1" applyFont="1" applyFill="1" applyBorder="1"/>
    <xf numFmtId="43" fontId="1" fillId="0" borderId="1" xfId="1" applyFont="1" applyFill="1" applyBorder="1" applyAlignment="1">
      <alignment wrapText="1"/>
    </xf>
    <xf numFmtId="10" fontId="1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wrapText="1"/>
    </xf>
    <xf numFmtId="10" fontId="1" fillId="0" borderId="1" xfId="6" applyNumberFormat="1" applyFont="1" applyFill="1" applyBorder="1" applyAlignment="1">
      <alignment horizontal="left"/>
    </xf>
    <xf numFmtId="9" fontId="0" fillId="0" borderId="0" xfId="0" applyNumberFormat="1" applyFill="1" applyBorder="1"/>
    <xf numFmtId="10" fontId="1" fillId="6" borderId="1" xfId="6" applyNumberFormat="1" applyFont="1" applyFill="1" applyBorder="1" applyAlignment="1">
      <alignment wrapText="1"/>
    </xf>
    <xf numFmtId="10" fontId="3" fillId="0" borderId="1" xfId="6" applyNumberFormat="1" applyFont="1" applyBorder="1" applyAlignment="1" applyProtection="1">
      <alignment wrapText="1"/>
      <protection hidden="1"/>
    </xf>
    <xf numFmtId="10" fontId="3" fillId="0" borderId="6" xfId="6" applyNumberFormat="1" applyFont="1" applyBorder="1" applyAlignment="1" applyProtection="1">
      <alignment wrapText="1"/>
      <protection hidden="1"/>
    </xf>
    <xf numFmtId="10" fontId="3" fillId="0" borderId="7" xfId="6" applyNumberFormat="1" applyFont="1" applyFill="1" applyBorder="1" applyAlignment="1" applyProtection="1">
      <protection hidden="1"/>
    </xf>
    <xf numFmtId="10" fontId="5" fillId="12" borderId="1" xfId="6" applyNumberFormat="1" applyFont="1" applyFill="1" applyBorder="1" applyAlignment="1" applyProtection="1">
      <alignment horizontal="center"/>
      <protection hidden="1"/>
    </xf>
    <xf numFmtId="10" fontId="0" fillId="0" borderId="1" xfId="6" applyNumberFormat="1" applyFont="1" applyBorder="1" applyProtection="1">
      <protection hidden="1"/>
    </xf>
    <xf numFmtId="10" fontId="3" fillId="0" borderId="1" xfId="6" applyNumberFormat="1" applyFont="1" applyBorder="1"/>
    <xf numFmtId="10" fontId="16" fillId="0" borderId="0" xfId="6" applyNumberFormat="1" applyFont="1" applyFill="1" applyBorder="1" applyProtection="1">
      <protection hidden="1"/>
    </xf>
    <xf numFmtId="2" fontId="0" fillId="0" borderId="1" xfId="6" applyNumberFormat="1" applyFont="1" applyFill="1" applyBorder="1" applyAlignment="1">
      <alignment horizontal="left"/>
    </xf>
    <xf numFmtId="0" fontId="1" fillId="6" borderId="1" xfId="9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center" wrapText="1"/>
    </xf>
    <xf numFmtId="0" fontId="3" fillId="0" borderId="3" xfId="8" applyFont="1" applyFill="1" applyBorder="1" applyAlignment="1">
      <alignment horizontal="center" wrapText="1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43" fontId="1" fillId="0" borderId="1" xfId="6" applyNumberFormat="1" applyFont="1" applyFill="1" applyBorder="1" applyAlignment="1">
      <alignment horizontal="left"/>
    </xf>
  </cellXfs>
  <cellStyles count="11">
    <cellStyle name="60% - Accent1" xfId="3" builtinId="32"/>
    <cellStyle name="60% - Accent3" xfId="4" builtinId="40"/>
    <cellStyle name="Accent3" xfId="10" builtinId="37"/>
    <cellStyle name="Accent4" xfId="9" builtinId="41"/>
    <cellStyle name="Accent6" xfId="5" builtinId="49"/>
    <cellStyle name="Comma" xfId="1" builtinId="3"/>
    <cellStyle name="Currency" xfId="7" builtinId="4"/>
    <cellStyle name="Hyperlink" xfId="2" builtinId="8"/>
    <cellStyle name="Input" xfId="8" builtinId="20"/>
    <cellStyle name="Normal" xfId="0" builtinId="0"/>
    <cellStyle name="Percent" xfId="6" builtinId="5"/>
  </cellStyles>
  <dxfs count="32">
    <dxf>
      <font>
        <b/>
        <i val="0"/>
        <color theme="0"/>
      </font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Customization!$A$373</c:f>
              <c:strCache>
                <c:ptCount val="1"/>
                <c:pt idx="0">
                  <c:v>Cummulative Increase in EPS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Customization!$D$373:$M$373</c:f>
            </c:numRef>
          </c:val>
        </c:ser>
        <c:ser>
          <c:idx val="1"/>
          <c:order val="1"/>
          <c:tx>
            <c:strRef>
              <c:f>Customization!$A$375</c:f>
              <c:strCache>
                <c:ptCount val="1"/>
                <c:pt idx="0">
                  <c:v>Cummulative Increase in Price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Customization!$D$375:$M$375</c:f>
            </c:numRef>
          </c:val>
        </c:ser>
        <c:ser>
          <c:idx val="2"/>
          <c:order val="2"/>
          <c:tx>
            <c:strRef>
              <c:f>Customization!$A$374</c:f>
              <c:strCache>
                <c:ptCount val="1"/>
                <c:pt idx="0">
                  <c:v>Cummulative Increase in PE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Customization!$E$374:$M$374</c:f>
            </c:numRef>
          </c:val>
        </c:ser>
        <c:ser>
          <c:idx val="3"/>
          <c:order val="3"/>
          <c:tx>
            <c:strRef>
              <c:f>Customization!$A$376</c:f>
              <c:strCache>
                <c:ptCount val="1"/>
                <c:pt idx="0">
                  <c:v>Cummulative Increase in Sales</c:v>
                </c:pt>
              </c:strCache>
            </c:strRef>
          </c:tx>
          <c:val>
            <c:numRef>
              <c:f>Customization!$D$376:$M$376</c:f>
            </c:numRef>
          </c:val>
        </c:ser>
        <c:ser>
          <c:idx val="4"/>
          <c:order val="4"/>
          <c:tx>
            <c:strRef>
              <c:f>Customization!$A$378</c:f>
              <c:strCache>
                <c:ptCount val="1"/>
                <c:pt idx="0">
                  <c:v>Cummulative Increase in Operating Cashflow</c:v>
                </c:pt>
              </c:strCache>
            </c:strRef>
          </c:tx>
          <c:val>
            <c:numRef>
              <c:f>Customization!$D$378:$K$378</c:f>
            </c:numRef>
          </c:val>
        </c:ser>
        <c:ser>
          <c:idx val="5"/>
          <c:order val="5"/>
          <c:tx>
            <c:strRef>
              <c:f>Customization!$A$379</c:f>
              <c:strCache>
                <c:ptCount val="1"/>
                <c:pt idx="0">
                  <c:v>Cumulative increase in Invested Capital 1</c:v>
                </c:pt>
              </c:strCache>
            </c:strRef>
          </c:tx>
          <c:val>
            <c:numRef>
              <c:f>Customization!$D$379:$K$379</c:f>
            </c:numRef>
          </c:val>
        </c:ser>
        <c:ser>
          <c:idx val="6"/>
          <c:order val="6"/>
          <c:tx>
            <c:strRef>
              <c:f>Customization!$A$380</c:f>
              <c:strCache>
                <c:ptCount val="1"/>
                <c:pt idx="0">
                  <c:v>Cummulative Increase in Book Value</c:v>
                </c:pt>
              </c:strCache>
            </c:strRef>
          </c:tx>
          <c:val>
            <c:numRef>
              <c:f>Customization!$D$380:$K$380</c:f>
            </c:numRef>
          </c:val>
        </c:ser>
        <c:ser>
          <c:idx val="7"/>
          <c:order val="7"/>
          <c:tx>
            <c:strRef>
              <c:f>Customization!$A$381</c:f>
              <c:strCache>
                <c:ptCount val="1"/>
                <c:pt idx="0">
                  <c:v>Cummulative Increase in EBIT</c:v>
                </c:pt>
              </c:strCache>
            </c:strRef>
          </c:tx>
          <c:val>
            <c:numRef>
              <c:f>Customization!$D$381:$K$381</c:f>
            </c:numRef>
          </c:val>
        </c:ser>
        <c:ser>
          <c:idx val="8"/>
          <c:order val="8"/>
          <c:tx>
            <c:strRef>
              <c:f>Customization!$A$382</c:f>
              <c:strCache>
                <c:ptCount val="1"/>
                <c:pt idx="0">
                  <c:v>Cummulative Increase in EBITDA / OP</c:v>
                </c:pt>
              </c:strCache>
            </c:strRef>
          </c:tx>
          <c:val>
            <c:numRef>
              <c:f>Customization!$D$382:$K$382</c:f>
            </c:numRef>
          </c:val>
        </c:ser>
        <c:marker val="1"/>
        <c:axId val="68842240"/>
        <c:axId val="68844544"/>
      </c:lineChart>
      <c:catAx>
        <c:axId val="68842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8844544"/>
        <c:crosses val="autoZero"/>
        <c:auto val="1"/>
        <c:lblAlgn val="ctr"/>
        <c:lblOffset val="100"/>
      </c:catAx>
      <c:valAx>
        <c:axId val="68844544"/>
        <c:scaling>
          <c:orientation val="minMax"/>
        </c:scaling>
        <c:axPos val="l"/>
        <c:majorGridlines/>
        <c:minorGridlines/>
        <c:numFmt formatCode="0.0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88422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15</xdr:col>
      <xdr:colOff>434340</xdr:colOff>
      <xdr:row>30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20" headerRowCount="0" totalsRowShown="0" headerRowDxfId="31">
  <tableColumns count="14">
    <tableColumn id="1" name="Column1" headerRowDxfId="30" dataDxfId="29"/>
    <tableColumn id="2" name="Column2" headerRowDxfId="28"/>
    <tableColumn id="3" name="Column3" headerRowDxfId="27"/>
    <tableColumn id="4" name="Column4" headerRowDxfId="26"/>
    <tableColumn id="5" name="Column5" headerRowDxfId="25"/>
    <tableColumn id="6" name="Column6" headerRowDxfId="24"/>
    <tableColumn id="7" name="Column7" headerRowDxfId="23"/>
    <tableColumn id="8" name="Column8" headerRowDxfId="22"/>
    <tableColumn id="9" name="Column9" headerRowDxfId="21"/>
    <tableColumn id="10" name="Column10" headerRowDxfId="20"/>
    <tableColumn id="11" name="Column11" headerRowDxfId="19"/>
    <tableColumn id="12" name="Column12" headerRowDxfId="18"/>
    <tableColumn id="13" name="Column13" headerRowDxfId="17" dataDxfId="16"/>
    <tableColumn id="14" name="Column14" headerRowDxfId="15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3">
  <tableColumns count="11">
    <tableColumn id="1" name="Column1" headerRowDxfId="12"/>
    <tableColumn id="2" name="Column2" headerRowDxfId="11"/>
    <tableColumn id="3" name="Column3" headerRowDxfId="10"/>
    <tableColumn id="4" name="Column4" headerRowDxfId="9"/>
    <tableColumn id="5" name="Column5" headerRowDxfId="8"/>
    <tableColumn id="6" name="Column6" headerRowDxfId="7"/>
    <tableColumn id="7" name="Column7" headerRowDxfId="6"/>
    <tableColumn id="8" name="Column8" headerRowDxfId="5"/>
    <tableColumn id="9" name="Column9" headerRowDxfId="4"/>
    <tableColumn id="10" name="Column10" headerRowDxfId="3"/>
    <tableColumn id="11" name="Column11" headerRowDxfId="2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zoomScaleSheetLayoutView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A10" sqref="A10:XFD10"/>
    </sheetView>
  </sheetViews>
  <sheetFormatPr defaultColWidth="9.109375" defaultRowHeight="14.4"/>
  <cols>
    <col min="1" max="1" width="20.6640625" style="6" customWidth="1"/>
    <col min="2" max="6" width="13.5546875" style="6" customWidth="1"/>
    <col min="7" max="7" width="14.88671875" style="6" bestFit="1" customWidth="1"/>
    <col min="8" max="11" width="13.5546875" style="6" customWidth="1"/>
    <col min="12" max="12" width="13.33203125" style="6" customWidth="1"/>
    <col min="13" max="14" width="12.109375" style="6" customWidth="1"/>
    <col min="15" max="16384" width="9.109375" style="6"/>
  </cols>
  <sheetData>
    <row r="1" spans="1:14" s="8" customFormat="1">
      <c r="A1" s="8" t="str">
        <f>'Data Sheet'!B1</f>
        <v>COLGATE-PALMOLIVE (INDIA) LTD</v>
      </c>
      <c r="H1" t="str">
        <f>UPDATE</f>
        <v>A NEW VERSION OF THE WORKSHEET IS AVAILABLE</v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39172</v>
      </c>
      <c r="C3" s="16">
        <f>'Data Sheet'!C16</f>
        <v>39538</v>
      </c>
      <c r="D3" s="16">
        <f>'Data Sheet'!D16</f>
        <v>39903</v>
      </c>
      <c r="E3" s="16">
        <f>'Data Sheet'!E16</f>
        <v>40268</v>
      </c>
      <c r="F3" s="16">
        <f>'Data Sheet'!F16</f>
        <v>40633</v>
      </c>
      <c r="G3" s="16">
        <f>'Data Sheet'!G16</f>
        <v>40999</v>
      </c>
      <c r="H3" s="16">
        <f>'Data Sheet'!H16</f>
        <v>41364</v>
      </c>
      <c r="I3" s="16">
        <f>'Data Sheet'!I16</f>
        <v>41729</v>
      </c>
      <c r="J3" s="16">
        <f>'Data Sheet'!J16</f>
        <v>42094</v>
      </c>
      <c r="K3" s="16">
        <f>'Data Sheet'!K16</f>
        <v>42460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1295.1400000000001</v>
      </c>
      <c r="C4" s="1">
        <f>'Data Sheet'!C17</f>
        <v>1473.38</v>
      </c>
      <c r="D4" s="1">
        <f>'Data Sheet'!D17</f>
        <v>1694.81</v>
      </c>
      <c r="E4" s="1">
        <f>'Data Sheet'!E17</f>
        <v>1962.46</v>
      </c>
      <c r="F4" s="1">
        <f>'Data Sheet'!F17</f>
        <v>2286.12</v>
      </c>
      <c r="G4" s="1">
        <f>'Data Sheet'!G17</f>
        <v>2693.23</v>
      </c>
      <c r="H4" s="1">
        <f>'Data Sheet'!H17</f>
        <v>3163.81</v>
      </c>
      <c r="I4" s="1">
        <f>'Data Sheet'!I17</f>
        <v>3578.81</v>
      </c>
      <c r="J4" s="1">
        <f>'Data Sheet'!J17</f>
        <v>3981.94</v>
      </c>
      <c r="K4" s="1">
        <f>'Data Sheet'!K17</f>
        <v>4162.29</v>
      </c>
      <c r="L4" s="1">
        <f>SUM(Quarters!H4:K4)</f>
        <v>4043.12</v>
      </c>
      <c r="M4" s="1">
        <f>$K4+M23*K4</f>
        <v>4560.7855219073117</v>
      </c>
      <c r="N4" s="1">
        <f>$K4+N23*L4</f>
        <v>4345.4109641531513</v>
      </c>
    </row>
    <row r="5" spans="1:14">
      <c r="A5" s="6" t="s">
        <v>7</v>
      </c>
      <c r="B5" s="1">
        <f>SUM('Data Sheet'!B18,'Data Sheet'!B20:B24,-1*'Data Sheet'!B19)</f>
        <v>1144.29</v>
      </c>
      <c r="C5" s="1">
        <f>SUM('Data Sheet'!C18,'Data Sheet'!C20:C24,-1*'Data Sheet'!C19)</f>
        <v>1244.83</v>
      </c>
      <c r="D5" s="1">
        <f>SUM('Data Sheet'!D18,'Data Sheet'!D20:D24,-1*'Data Sheet'!D19)</f>
        <v>1433.21</v>
      </c>
      <c r="E5" s="1">
        <f>SUM('Data Sheet'!E18,'Data Sheet'!E20:E24,-1*'Data Sheet'!E19)</f>
        <v>1537.05</v>
      </c>
      <c r="F5" s="1">
        <f>SUM('Data Sheet'!F18,'Data Sheet'!F20:F24,-1*'Data Sheet'!F19)</f>
        <v>1771.5600000000002</v>
      </c>
      <c r="G5" s="1">
        <f>SUM('Data Sheet'!G18,'Data Sheet'!G20:G24,-1*'Data Sheet'!G19)</f>
        <v>2114.7099999999996</v>
      </c>
      <c r="H5" s="1">
        <f>SUM('Data Sheet'!H18,'Data Sheet'!H20:H24,-1*'Data Sheet'!H19)</f>
        <v>2507</v>
      </c>
      <c r="I5" s="1">
        <f>SUM('Data Sheet'!I18,'Data Sheet'!I20:I24,-1*'Data Sheet'!I19)</f>
        <v>2914.8</v>
      </c>
      <c r="J5" s="1">
        <f>SUM('Data Sheet'!J18,'Data Sheet'!J20:J24,-1*'Data Sheet'!J19)</f>
        <v>3159.7</v>
      </c>
      <c r="K5" s="1">
        <f>SUM('Data Sheet'!K18,'Data Sheet'!K20:K24,-1*'Data Sheet'!K19)</f>
        <v>3262.33</v>
      </c>
      <c r="L5" s="9">
        <f>SUM(Quarters!H5:K5)</f>
        <v>3101.37</v>
      </c>
      <c r="M5" s="9">
        <f t="shared" ref="M5:N5" si="0">M4-M6</f>
        <v>3498.4574769182414</v>
      </c>
      <c r="N5" s="9">
        <f t="shared" si="0"/>
        <v>3485.5656654474842</v>
      </c>
    </row>
    <row r="6" spans="1:14" s="8" customFormat="1">
      <c r="A6" s="8" t="s">
        <v>8</v>
      </c>
      <c r="B6" s="1">
        <f>B4-B5</f>
        <v>150.85000000000014</v>
      </c>
      <c r="C6" s="1">
        <f t="shared" ref="C6:K6" si="1">C4-C5</f>
        <v>228.55000000000018</v>
      </c>
      <c r="D6" s="1">
        <f t="shared" si="1"/>
        <v>261.59999999999991</v>
      </c>
      <c r="E6" s="1">
        <f t="shared" si="1"/>
        <v>425.41000000000008</v>
      </c>
      <c r="F6" s="1">
        <f t="shared" si="1"/>
        <v>514.55999999999972</v>
      </c>
      <c r="G6" s="1">
        <f t="shared" si="1"/>
        <v>578.52000000000044</v>
      </c>
      <c r="H6" s="1">
        <f t="shared" si="1"/>
        <v>656.81</v>
      </c>
      <c r="I6" s="1">
        <f t="shared" si="1"/>
        <v>664.00999999999976</v>
      </c>
      <c r="J6" s="1">
        <f t="shared" si="1"/>
        <v>822.24000000000024</v>
      </c>
      <c r="K6" s="1">
        <f t="shared" si="1"/>
        <v>899.96</v>
      </c>
      <c r="L6" s="1">
        <f>SUM(Quarters!H6:K6)</f>
        <v>941.74999999999989</v>
      </c>
      <c r="M6" s="1">
        <f>M4*M24</f>
        <v>1062.3280449890703</v>
      </c>
      <c r="N6" s="1">
        <f>N4*N24</f>
        <v>859.84529870566735</v>
      </c>
    </row>
    <row r="7" spans="1:14">
      <c r="A7" s="6" t="s">
        <v>9</v>
      </c>
      <c r="B7" s="9">
        <f>'Data Sheet'!B25</f>
        <v>67</v>
      </c>
      <c r="C7" s="9">
        <f>'Data Sheet'!C25</f>
        <v>84.78</v>
      </c>
      <c r="D7" s="9">
        <f>'Data Sheet'!D25</f>
        <v>107.76</v>
      </c>
      <c r="E7" s="9">
        <f>'Data Sheet'!E25</f>
        <v>98.46</v>
      </c>
      <c r="F7" s="9">
        <f>'Data Sheet'!F25</f>
        <v>41.24</v>
      </c>
      <c r="G7" s="9">
        <f>'Data Sheet'!G25</f>
        <v>50.69</v>
      </c>
      <c r="H7" s="9">
        <f>'Data Sheet'!H25</f>
        <v>49.92</v>
      </c>
      <c r="I7" s="9">
        <f>'Data Sheet'!I25</f>
        <v>114.7</v>
      </c>
      <c r="J7" s="9">
        <f>'Data Sheet'!J25</f>
        <v>33.17</v>
      </c>
      <c r="K7" s="9">
        <f>'Data Sheet'!K25</f>
        <v>39.61</v>
      </c>
      <c r="L7" s="9">
        <f>SUM(Quarters!H7:K7)</f>
        <v>43.19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15.26</v>
      </c>
      <c r="C8" s="9">
        <f>'Data Sheet'!C26</f>
        <v>19.84</v>
      </c>
      <c r="D8" s="9">
        <f>'Data Sheet'!D26</f>
        <v>22.95</v>
      </c>
      <c r="E8" s="9">
        <f>'Data Sheet'!E26</f>
        <v>37.57</v>
      </c>
      <c r="F8" s="9">
        <f>'Data Sheet'!F26</f>
        <v>34.25</v>
      </c>
      <c r="G8" s="9">
        <f>'Data Sheet'!G26</f>
        <v>39.31</v>
      </c>
      <c r="H8" s="9">
        <f>'Data Sheet'!H26</f>
        <v>43.7</v>
      </c>
      <c r="I8" s="9">
        <f>'Data Sheet'!I26</f>
        <v>50.75</v>
      </c>
      <c r="J8" s="9">
        <f>'Data Sheet'!J26</f>
        <v>75.02</v>
      </c>
      <c r="K8" s="9">
        <f>'Data Sheet'!K26</f>
        <v>111.41</v>
      </c>
      <c r="L8" s="9">
        <f>SUM(Quarters!H8:K8)</f>
        <v>128.84</v>
      </c>
      <c r="M8" s="9">
        <f>+$L8</f>
        <v>128.84</v>
      </c>
      <c r="N8" s="9">
        <f>+$L8</f>
        <v>128.84</v>
      </c>
    </row>
    <row r="9" spans="1:14">
      <c r="A9" s="6" t="s">
        <v>11</v>
      </c>
      <c r="B9" s="9">
        <f>'Data Sheet'!B27</f>
        <v>0.98</v>
      </c>
      <c r="C9" s="9">
        <f>'Data Sheet'!C27</f>
        <v>1.44</v>
      </c>
      <c r="D9" s="9">
        <f>'Data Sheet'!D27</f>
        <v>1.1000000000000001</v>
      </c>
      <c r="E9" s="9">
        <f>'Data Sheet'!E27</f>
        <v>1.5</v>
      </c>
      <c r="F9" s="9">
        <f>'Data Sheet'!F27</f>
        <v>1.61</v>
      </c>
      <c r="G9" s="9">
        <f>'Data Sheet'!G27</f>
        <v>1.51</v>
      </c>
      <c r="H9" s="9">
        <f>'Data Sheet'!H27</f>
        <v>0</v>
      </c>
      <c r="I9" s="9">
        <f>'Data Sheet'!I27</f>
        <v>0</v>
      </c>
      <c r="J9" s="9">
        <f>'Data Sheet'!J27</f>
        <v>0</v>
      </c>
      <c r="K9" s="9">
        <f>'Data Sheet'!K27</f>
        <v>0</v>
      </c>
      <c r="L9" s="9">
        <f>SUM(Quarters!H9:K9)</f>
        <v>0</v>
      </c>
      <c r="M9" s="9">
        <f>+$L9</f>
        <v>0</v>
      </c>
      <c r="N9" s="9">
        <f>+$L9</f>
        <v>0</v>
      </c>
    </row>
    <row r="10" spans="1:14">
      <c r="A10" s="6" t="s">
        <v>12</v>
      </c>
      <c r="B10" s="9">
        <f>'Data Sheet'!B28</f>
        <v>201.61</v>
      </c>
      <c r="C10" s="9">
        <f>'Data Sheet'!C28</f>
        <v>292.05</v>
      </c>
      <c r="D10" s="9">
        <f>'Data Sheet'!D28</f>
        <v>345.31</v>
      </c>
      <c r="E10" s="9">
        <f>'Data Sheet'!E28</f>
        <v>484.8</v>
      </c>
      <c r="F10" s="9">
        <f>'Data Sheet'!F28</f>
        <v>519.94000000000005</v>
      </c>
      <c r="G10" s="9">
        <f>'Data Sheet'!G28</f>
        <v>588.39</v>
      </c>
      <c r="H10" s="9">
        <f>'Data Sheet'!H28</f>
        <v>663.03</v>
      </c>
      <c r="I10" s="9">
        <f>'Data Sheet'!I28</f>
        <v>727.96</v>
      </c>
      <c r="J10" s="9">
        <f>'Data Sheet'!J28</f>
        <v>780.39</v>
      </c>
      <c r="K10" s="9">
        <f>'Data Sheet'!K28</f>
        <v>828.15</v>
      </c>
      <c r="L10" s="9">
        <f>SUM(Quarters!H10:K10)</f>
        <v>856.1</v>
      </c>
      <c r="M10" s="9">
        <f>M6+M7-SUM(M8:M9)</f>
        <v>933.48804498907032</v>
      </c>
      <c r="N10" s="9">
        <f>N6+N7-SUM(N8:N9)</f>
        <v>731.00529870566731</v>
      </c>
    </row>
    <row r="11" spans="1:14">
      <c r="A11" s="6" t="s">
        <v>13</v>
      </c>
      <c r="B11" s="9">
        <f>'Data Sheet'!B29</f>
        <v>41.44</v>
      </c>
      <c r="C11" s="9">
        <f>'Data Sheet'!C29</f>
        <v>60.34</v>
      </c>
      <c r="D11" s="9">
        <f>'Data Sheet'!D29</f>
        <v>55.09</v>
      </c>
      <c r="E11" s="9">
        <f>'Data Sheet'!E29</f>
        <v>61.54</v>
      </c>
      <c r="F11" s="9">
        <f>'Data Sheet'!F29</f>
        <v>117.36</v>
      </c>
      <c r="G11" s="9">
        <f>'Data Sheet'!G29</f>
        <v>141.91999999999999</v>
      </c>
      <c r="H11" s="9">
        <f>'Data Sheet'!H29</f>
        <v>166.27</v>
      </c>
      <c r="I11" s="9">
        <f>'Data Sheet'!I29</f>
        <v>188.09</v>
      </c>
      <c r="J11" s="9">
        <f>'Data Sheet'!J29</f>
        <v>221.41</v>
      </c>
      <c r="K11" s="9">
        <f>'Data Sheet'!K29</f>
        <v>251.64</v>
      </c>
      <c r="L11" s="9">
        <f>SUM(Quarters!H11:K11)</f>
        <v>275.36</v>
      </c>
      <c r="M11" s="10">
        <f>IF($L10&gt;0,$L11/$L10,0)</f>
        <v>0.32164466767900945</v>
      </c>
      <c r="N11" s="10">
        <f>IF($L10&gt;0,$L11/$L10,0)</f>
        <v>0.32164466767900945</v>
      </c>
    </row>
    <row r="12" spans="1:14" s="8" customFormat="1">
      <c r="A12" s="8" t="s">
        <v>14</v>
      </c>
      <c r="B12" s="1">
        <f>'Data Sheet'!B30</f>
        <v>160.16999999999999</v>
      </c>
      <c r="C12" s="1">
        <f>'Data Sheet'!C30</f>
        <v>231.71</v>
      </c>
      <c r="D12" s="1">
        <f>'Data Sheet'!D30</f>
        <v>290.22000000000003</v>
      </c>
      <c r="E12" s="1">
        <f>'Data Sheet'!E30</f>
        <v>423.26</v>
      </c>
      <c r="F12" s="1">
        <f>'Data Sheet'!F30</f>
        <v>402.58</v>
      </c>
      <c r="G12" s="1">
        <f>'Data Sheet'!G30</f>
        <v>446.47</v>
      </c>
      <c r="H12" s="1">
        <f>'Data Sheet'!H30</f>
        <v>496.75</v>
      </c>
      <c r="I12" s="1">
        <f>'Data Sheet'!I30</f>
        <v>539.87</v>
      </c>
      <c r="J12" s="1">
        <f>'Data Sheet'!J30</f>
        <v>558.98</v>
      </c>
      <c r="K12" s="1">
        <f>'Data Sheet'!K30</f>
        <v>576.51</v>
      </c>
      <c r="L12" s="1">
        <f>SUM(Quarters!H12:K12)</f>
        <v>580.74</v>
      </c>
      <c r="M12" s="1">
        <f>M10-M11*M10</f>
        <v>633.23659297623249</v>
      </c>
      <c r="N12" s="1">
        <f>N10-N11*N10</f>
        <v>495.88134233188794</v>
      </c>
    </row>
    <row r="13" spans="1:14">
      <c r="A13" s="11" t="s">
        <v>48</v>
      </c>
      <c r="B13" s="9">
        <f>IF('Data Sheet'!B93&gt;0,B12/'Data Sheet'!B93,0)</f>
        <v>1.0707116311083613</v>
      </c>
      <c r="C13" s="9">
        <f>IF('Data Sheet'!C93&gt;0,C12/'Data Sheet'!C93,0)</f>
        <v>8.5191999515680301</v>
      </c>
      <c r="D13" s="9">
        <f>IF('Data Sheet'!D93&gt;0,D12/'Data Sheet'!D93,0)</f>
        <v>10.670416511777972</v>
      </c>
      <c r="E13" s="9">
        <f>IF('Data Sheet'!E93&gt;0,E12/'Data Sheet'!E93,0)</f>
        <v>15.56185132925072</v>
      </c>
      <c r="F13" s="9">
        <f>IF('Data Sheet'!F93&gt;0,F12/'Data Sheet'!F93,0)</f>
        <v>14.801517053654385</v>
      </c>
      <c r="G13" s="9">
        <f>IF('Data Sheet'!G93&gt;0,G12/'Data Sheet'!G93,0)</f>
        <v>16.415205223670011</v>
      </c>
      <c r="H13" s="9">
        <f>IF('Data Sheet'!H93&gt;0,H12/'Data Sheet'!H93,0)</f>
        <v>18.263832272847175</v>
      </c>
      <c r="I13" s="9">
        <f>IF('Data Sheet'!I93&gt;0,I12/'Data Sheet'!I93,0)</f>
        <v>19.849210124090597</v>
      </c>
      <c r="J13" s="9">
        <f>IF('Data Sheet'!J93&gt;0,J12/'Data Sheet'!J93,0)</f>
        <v>20.551820762709841</v>
      </c>
      <c r="K13" s="9">
        <f>IF('Data Sheet'!K93&gt;0,K12/'Data Sheet'!K93,0)</f>
        <v>21.196340097874433</v>
      </c>
      <c r="L13" s="9">
        <f>IF('Data Sheet'!$B6&gt;0,'Profit &amp; Loss'!L12/'Data Sheet'!$B6,0)</f>
        <v>21.351864060260588</v>
      </c>
      <c r="M13" s="9">
        <f>IF('Data Sheet'!$B6&gt;0,'Profit &amp; Loss'!M12/'Data Sheet'!$B6,0)</f>
        <v>23.281987896840377</v>
      </c>
      <c r="N13" s="9">
        <f>IF('Data Sheet'!$B6&gt;0,'Profit &amp; Loss'!N12/'Data Sheet'!$B6,0)</f>
        <v>18.231895532406956</v>
      </c>
    </row>
    <row r="14" spans="1:14">
      <c r="A14" s="6" t="s">
        <v>16</v>
      </c>
      <c r="B14" s="9">
        <f>IF(B15&gt;0,B15/B13,"")</f>
        <v>161.07044603734784</v>
      </c>
      <c r="C14" s="9">
        <f t="shared" ref="C14:K14" si="2">IF(C15&gt;0,C15/C13,"")</f>
        <v>24.291013378775194</v>
      </c>
      <c r="D14" s="9">
        <f t="shared" si="2"/>
        <v>21.607403960802149</v>
      </c>
      <c r="E14" s="9">
        <f t="shared" si="2"/>
        <v>23.214461593072816</v>
      </c>
      <c r="F14" s="9">
        <f t="shared" si="2"/>
        <v>29.521973890650308</v>
      </c>
      <c r="G14" s="9">
        <f t="shared" si="2"/>
        <v>34.433319126888705</v>
      </c>
      <c r="H14" s="9">
        <f t="shared" si="2"/>
        <v>36.951171578778059</v>
      </c>
      <c r="I14" s="9">
        <f t="shared" si="2"/>
        <v>35.637690143723489</v>
      </c>
      <c r="J14" s="9">
        <f t="shared" si="2"/>
        <v>50.033036579695164</v>
      </c>
      <c r="K14" s="9">
        <f t="shared" si="2"/>
        <v>39.51106635074153</v>
      </c>
      <c r="L14" s="9">
        <f t="shared" ref="L14" si="3">IF(L13&gt;0,L15/L13,0)</f>
        <v>47.553225195440298</v>
      </c>
      <c r="M14" s="9">
        <f>M25</f>
        <v>47.553225195440298</v>
      </c>
      <c r="N14" s="9">
        <f>N25</f>
        <v>37.106993057373792</v>
      </c>
    </row>
    <row r="15" spans="1:14" s="8" customFormat="1">
      <c r="A15" s="8" t="s">
        <v>49</v>
      </c>
      <c r="B15" s="1">
        <f>'Data Sheet'!B90</f>
        <v>172.46</v>
      </c>
      <c r="C15" s="1">
        <f>'Data Sheet'!C90</f>
        <v>206.94</v>
      </c>
      <c r="D15" s="1">
        <f>'Data Sheet'!D90</f>
        <v>230.56</v>
      </c>
      <c r="E15" s="1">
        <f>'Data Sheet'!E90</f>
        <v>361.26</v>
      </c>
      <c r="F15" s="1">
        <f>'Data Sheet'!F90</f>
        <v>436.97</v>
      </c>
      <c r="G15" s="1">
        <f>'Data Sheet'!G90</f>
        <v>565.23</v>
      </c>
      <c r="H15" s="1">
        <f>'Data Sheet'!H90</f>
        <v>674.87</v>
      </c>
      <c r="I15" s="1">
        <f>'Data Sheet'!I90</f>
        <v>707.38</v>
      </c>
      <c r="J15" s="1">
        <f>'Data Sheet'!J90</f>
        <v>1028.27</v>
      </c>
      <c r="K15" s="1">
        <f>'Data Sheet'!K90</f>
        <v>837.49</v>
      </c>
      <c r="L15" s="1">
        <f>'Data Sheet'!B8</f>
        <v>1015.35</v>
      </c>
      <c r="M15" s="12">
        <f>M13*M14</f>
        <v>1107.1336134559658</v>
      </c>
      <c r="N15" s="13">
        <f>N13*N14</f>
        <v>676.53082094378919</v>
      </c>
    </row>
    <row r="17" spans="1:14" s="8" customFormat="1">
      <c r="A17" s="8" t="s">
        <v>15</v>
      </c>
    </row>
    <row r="18" spans="1:14">
      <c r="A18" s="6" t="s">
        <v>17</v>
      </c>
      <c r="B18" s="7">
        <f>IF('Data Sheet'!B30&gt;0, 'Data Sheet'!B31/'Data Sheet'!B30, 0)</f>
        <v>0.80664294187425856</v>
      </c>
      <c r="C18" s="7">
        <f>IF('Data Sheet'!C30&gt;0, 'Data Sheet'!C31/'Data Sheet'!C30, 0)</f>
        <v>0.7629795865521557</v>
      </c>
      <c r="D18" s="7">
        <f>IF('Data Sheet'!D30&gt;0, 'Data Sheet'!D31/'Data Sheet'!D30, 0)</f>
        <v>0.70288057335814202</v>
      </c>
      <c r="E18" s="7">
        <f>IF('Data Sheet'!E30&gt;0, 'Data Sheet'!E31/'Data Sheet'!E30, 0)</f>
        <v>0.64258375466616269</v>
      </c>
      <c r="F18" s="7">
        <f>IF('Data Sheet'!F30&gt;0, 'Data Sheet'!F31/'Data Sheet'!F30, 0)</f>
        <v>0.74315663967410206</v>
      </c>
      <c r="G18" s="7">
        <f>IF('Data Sheet'!G30&gt;0, 'Data Sheet'!G31/'Data Sheet'!G30, 0)</f>
        <v>0.761484534235223</v>
      </c>
      <c r="H18" s="7">
        <f>IF('Data Sheet'!H30&gt;0, 'Data Sheet'!H31/'Data Sheet'!H30, 0)</f>
        <v>0.76654252642174125</v>
      </c>
      <c r="I18" s="7">
        <f>IF('Data Sheet'!I30&gt;0, 'Data Sheet'!I31/'Data Sheet'!I30, 0)</f>
        <v>0.68012669716783669</v>
      </c>
      <c r="J18" s="7">
        <f>IF('Data Sheet'!J30&gt;0, 'Data Sheet'!J31/'Data Sheet'!J30, 0)</f>
        <v>0.58388493327131563</v>
      </c>
      <c r="K18" s="7">
        <f>IF('Data Sheet'!K30&gt;0, 'Data Sheet'!K31/'Data Sheet'!K30, 0)</f>
        <v>0.47178713292050445</v>
      </c>
    </row>
    <row r="19" spans="1:14">
      <c r="A19" s="6" t="s">
        <v>18</v>
      </c>
      <c r="B19" s="7">
        <f t="shared" ref="B19:L19" si="4">IF(B6&gt;0,B6/B4,0)</f>
        <v>0.11647389471408506</v>
      </c>
      <c r="C19" s="7">
        <f t="shared" ref="C19:K19" si="5">IF(C6&gt;0,C6/C4,0)</f>
        <v>0.15511952110114172</v>
      </c>
      <c r="D19" s="7">
        <f t="shared" si="5"/>
        <v>0.15435358535765067</v>
      </c>
      <c r="E19" s="7">
        <f t="shared" si="5"/>
        <v>0.21677384507200151</v>
      </c>
      <c r="F19" s="7">
        <f t="shared" si="5"/>
        <v>0.22508004829142816</v>
      </c>
      <c r="G19" s="7">
        <f t="shared" si="5"/>
        <v>0.2148052709943081</v>
      </c>
      <c r="H19" s="7">
        <f t="shared" si="5"/>
        <v>0.20760096213110141</v>
      </c>
      <c r="I19" s="7">
        <f t="shared" si="5"/>
        <v>0.18553932731829847</v>
      </c>
      <c r="J19" s="7">
        <f t="shared" si="5"/>
        <v>0.2064923127922571</v>
      </c>
      <c r="K19" s="7">
        <f t="shared" si="5"/>
        <v>0.21621751487762747</v>
      </c>
      <c r="L19" s="7">
        <f t="shared" si="4"/>
        <v>0.23292655177189892</v>
      </c>
    </row>
    <row r="20" spans="1:14">
      <c r="A20" s="7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0"/>
      <c r="N20" s="70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0.13850533166771517</v>
      </c>
      <c r="I23" s="7">
        <f>IF(D4=0,"",POWER($K4/D4,1/7)-1)</f>
        <v>0.13695813643892585</v>
      </c>
      <c r="J23" s="7">
        <f>IF(F4=0,"",POWER($K4/F4,1/5)-1)</f>
        <v>0.12731857373009481</v>
      </c>
      <c r="K23" s="7">
        <f>IF(H4=0,"",POWER($K4/H4, 1/3)-1)</f>
        <v>9.5739490018069695E-2</v>
      </c>
      <c r="L23" s="7">
        <f>IF(ISERROR(MAX(IF(J4=0,"",(K4-J4)/J4),IF(K4=0,"",(L4-K4)/K4))),"",MAX(IF(J4=0,"",(K4-J4)/J4),IF(K4=0,"",(L4-K4)/K4)))</f>
        <v>4.5291993349975114E-2</v>
      </c>
      <c r="M23" s="22">
        <f>MAX(K23:L23)</f>
        <v>9.5739490018069695E-2</v>
      </c>
      <c r="N23" s="22">
        <f>MIN(H23:L23)</f>
        <v>4.5291993349975114E-2</v>
      </c>
    </row>
    <row r="24" spans="1:14">
      <c r="G24" s="6" t="s">
        <v>18</v>
      </c>
      <c r="H24" s="7">
        <f>IF(SUM(B4:$K$4)=0,"",SUMPRODUCT(B19:$K$19,B4:$K$4)/SUM(B4:$K$4))</f>
        <v>0.19787433358981202</v>
      </c>
      <c r="I24" s="7">
        <f>IF(SUM(E4:$K$4)=0,"",SUMPRODUCT(E19:$K$19,E4:$K$4)/SUM(E4:$K$4))</f>
        <v>0.20896885104262011</v>
      </c>
      <c r="J24" s="7">
        <f>IF(SUM(G4:$K$4)=0,"",SUMPRODUCT(G19:$K$19,G4:$K$4)/SUM(G4:$K$4))</f>
        <v>0.2060024755291216</v>
      </c>
      <c r="K24" s="7">
        <f>IF(SUM(I4:$K$4)=0, "", SUMPRODUCT(I19:$K$19,I4:$K$4)/SUM(I4:$K$4))</f>
        <v>0.20354873821124894</v>
      </c>
      <c r="L24" s="7">
        <f>L19</f>
        <v>0.23292655177189892</v>
      </c>
      <c r="M24" s="22">
        <f>MAX(K24:L24)</f>
        <v>0.23292655177189892</v>
      </c>
      <c r="N24" s="22">
        <f>MIN(H24:L24)</f>
        <v>0.19787433358981202</v>
      </c>
    </row>
    <row r="25" spans="1:14">
      <c r="G25" s="6" t="s">
        <v>23</v>
      </c>
      <c r="H25" s="9">
        <f>IF(ISERROR(AVERAGEIF(B14:$L14,"&gt;0")),"",AVERAGEIF(B14:$L14,"&gt;0"))</f>
        <v>45.802255257810501</v>
      </c>
      <c r="I25" s="9">
        <f>IF(ISERROR(AVERAGEIF(E14:$L14,"&gt;0")),"",AVERAGEIF(E14:$L14,"&gt;0"))</f>
        <v>37.106993057373792</v>
      </c>
      <c r="J25" s="9">
        <f>IF(ISERROR(AVERAGEIF(G14:$L14,"&gt;0")),"",AVERAGEIF(G14:$L14,"&gt;0"))</f>
        <v>40.686584829211206</v>
      </c>
      <c r="K25" s="9">
        <f>IF(ISERROR(AVERAGEIF(I14:$L14,"&gt;0")),"",AVERAGEIF(I14:$L14,"&gt;0"))</f>
        <v>43.183754567400122</v>
      </c>
      <c r="L25" s="9">
        <f>L14</f>
        <v>47.553225195440298</v>
      </c>
      <c r="M25" s="1">
        <f>MAX(K25:L25)</f>
        <v>47.553225195440298</v>
      </c>
      <c r="N25" s="1">
        <f>MIN(H25:L25)</f>
        <v>37.106993057373792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2"/>
  <sheetViews>
    <sheetView workbookViewId="0">
      <selection activeCell="C27" sqref="C27"/>
    </sheetView>
  </sheetViews>
  <sheetFormatPr defaultColWidth="9.109375" defaultRowHeight="14.4"/>
  <cols>
    <col min="1" max="1" width="20.6640625" style="6" customWidth="1"/>
    <col min="2" max="11" width="13.5546875" style="6" bestFit="1" customWidth="1"/>
    <col min="12" max="16384" width="9.109375" style="6"/>
  </cols>
  <sheetData>
    <row r="1" spans="1:11" s="8" customFormat="1">
      <c r="A1" s="8" t="str">
        <f>'Profit &amp; Loss'!A1</f>
        <v>COLGATE-PALMOLIVE (INDIA) LTD</v>
      </c>
      <c r="E1" t="str">
        <f>UPDATE</f>
        <v>A NEW VERSION OF THE WORKSHEET IS AVAILABLE</v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41912</v>
      </c>
      <c r="C3" s="16">
        <f>'Data Sheet'!C41</f>
        <v>42004</v>
      </c>
      <c r="D3" s="16">
        <f>'Data Sheet'!D41</f>
        <v>42094</v>
      </c>
      <c r="E3" s="16">
        <f>'Data Sheet'!E41</f>
        <v>42185</v>
      </c>
      <c r="F3" s="16">
        <f>'Data Sheet'!F41</f>
        <v>42277</v>
      </c>
      <c r="G3" s="16">
        <f>'Data Sheet'!G41</f>
        <v>42369</v>
      </c>
      <c r="H3" s="16">
        <f>'Data Sheet'!H41</f>
        <v>42460</v>
      </c>
      <c r="I3" s="16">
        <f>'Data Sheet'!I41</f>
        <v>42551</v>
      </c>
      <c r="J3" s="16">
        <f>'Data Sheet'!J41</f>
        <v>42643</v>
      </c>
      <c r="K3" s="16">
        <f>'Data Sheet'!K41</f>
        <v>42735</v>
      </c>
    </row>
    <row r="4" spans="1:11" s="8" customFormat="1">
      <c r="A4" s="8" t="s">
        <v>6</v>
      </c>
      <c r="B4" s="1">
        <f>'Data Sheet'!B42</f>
        <v>1000.52</v>
      </c>
      <c r="C4" s="1">
        <f>'Data Sheet'!C42</f>
        <v>996.01</v>
      </c>
      <c r="D4" s="1">
        <f>'Data Sheet'!D42</f>
        <v>1028.51</v>
      </c>
      <c r="E4" s="1">
        <f>'Data Sheet'!E42</f>
        <v>930.94</v>
      </c>
      <c r="F4" s="1">
        <f>'Data Sheet'!F42</f>
        <v>964.82</v>
      </c>
      <c r="G4" s="1">
        <f>'Data Sheet'!G42</f>
        <v>956.84</v>
      </c>
      <c r="H4" s="1">
        <f>'Data Sheet'!H42</f>
        <v>1098.82</v>
      </c>
      <c r="I4" s="1">
        <f>'Data Sheet'!I42</f>
        <v>1013.14</v>
      </c>
      <c r="J4" s="1">
        <f>'Data Sheet'!J42</f>
        <v>1056.58</v>
      </c>
      <c r="K4" s="1">
        <f>'Data Sheet'!K42</f>
        <v>874.58</v>
      </c>
    </row>
    <row r="5" spans="1:11">
      <c r="A5" s="6" t="s">
        <v>7</v>
      </c>
      <c r="B5" s="1">
        <f>'Data Sheet'!B43</f>
        <v>814.01</v>
      </c>
      <c r="C5" s="1">
        <f>'Data Sheet'!C43</f>
        <v>801.41</v>
      </c>
      <c r="D5" s="1">
        <f>'Data Sheet'!D43</f>
        <v>781.04</v>
      </c>
      <c r="E5" s="1">
        <f>'Data Sheet'!E43</f>
        <v>758.47</v>
      </c>
      <c r="F5" s="1">
        <f>'Data Sheet'!F43</f>
        <v>710.56</v>
      </c>
      <c r="G5" s="1">
        <f>'Data Sheet'!G43</f>
        <v>718.14</v>
      </c>
      <c r="H5" s="1">
        <f>'Data Sheet'!H43</f>
        <v>857.62</v>
      </c>
      <c r="I5" s="1">
        <f>'Data Sheet'!I43</f>
        <v>801.41</v>
      </c>
      <c r="J5" s="1">
        <f>'Data Sheet'!J43</f>
        <v>781.82</v>
      </c>
      <c r="K5" s="1">
        <f>'Data Sheet'!K43</f>
        <v>660.52</v>
      </c>
    </row>
    <row r="6" spans="1:11" s="8" customFormat="1">
      <c r="A6" s="8" t="s">
        <v>8</v>
      </c>
      <c r="B6" s="1">
        <f>B4-B5</f>
        <v>186.51</v>
      </c>
      <c r="C6" s="1">
        <f t="shared" ref="C6:K6" si="0">C4-C5</f>
        <v>194.60000000000002</v>
      </c>
      <c r="D6" s="1">
        <f t="shared" si="0"/>
        <v>247.47000000000003</v>
      </c>
      <c r="E6" s="1">
        <f t="shared" si="0"/>
        <v>172.47000000000003</v>
      </c>
      <c r="F6" s="1">
        <f t="shared" si="0"/>
        <v>254.2600000000001</v>
      </c>
      <c r="G6" s="1">
        <f t="shared" si="0"/>
        <v>238.70000000000005</v>
      </c>
      <c r="H6" s="1">
        <f t="shared" si="0"/>
        <v>241.19999999999993</v>
      </c>
      <c r="I6" s="1">
        <f t="shared" si="0"/>
        <v>211.73000000000002</v>
      </c>
      <c r="J6" s="1">
        <f t="shared" si="0"/>
        <v>274.75999999999988</v>
      </c>
      <c r="K6" s="1">
        <f t="shared" si="0"/>
        <v>214.06000000000006</v>
      </c>
    </row>
    <row r="7" spans="1:11">
      <c r="A7" s="6" t="s">
        <v>9</v>
      </c>
      <c r="B7" s="9">
        <f>'Data Sheet'!B44</f>
        <v>9.92</v>
      </c>
      <c r="C7" s="9">
        <f>'Data Sheet'!C44</f>
        <v>9.66</v>
      </c>
      <c r="D7" s="9">
        <f>'Data Sheet'!D44</f>
        <v>7.14</v>
      </c>
      <c r="E7" s="9">
        <f>'Data Sheet'!E44</f>
        <v>8.09</v>
      </c>
      <c r="F7" s="9">
        <f>'Data Sheet'!F44</f>
        <v>10.7</v>
      </c>
      <c r="G7" s="9">
        <f>'Data Sheet'!G44</f>
        <v>9.77</v>
      </c>
      <c r="H7" s="9">
        <f>'Data Sheet'!H44</f>
        <v>11.39</v>
      </c>
      <c r="I7" s="9">
        <f>'Data Sheet'!I44</f>
        <v>9.6199999999999992</v>
      </c>
      <c r="J7" s="9">
        <f>'Data Sheet'!J44</f>
        <v>11.28</v>
      </c>
      <c r="K7" s="9">
        <f>'Data Sheet'!K44</f>
        <v>10.9</v>
      </c>
    </row>
    <row r="8" spans="1:11">
      <c r="A8" s="6" t="s">
        <v>10</v>
      </c>
      <c r="B8" s="9">
        <f>'Data Sheet'!B45</f>
        <v>17.73</v>
      </c>
      <c r="C8" s="9">
        <f>'Data Sheet'!C45</f>
        <v>20.28</v>
      </c>
      <c r="D8" s="9">
        <f>'Data Sheet'!D45</f>
        <v>20.46</v>
      </c>
      <c r="E8" s="9">
        <f>'Data Sheet'!E45</f>
        <v>25.27</v>
      </c>
      <c r="F8" s="9">
        <f>'Data Sheet'!F45</f>
        <v>26.92</v>
      </c>
      <c r="G8" s="9">
        <f>'Data Sheet'!G45</f>
        <v>29.49</v>
      </c>
      <c r="H8" s="9">
        <f>'Data Sheet'!H45</f>
        <v>29.73</v>
      </c>
      <c r="I8" s="9">
        <f>'Data Sheet'!I45</f>
        <v>31.64</v>
      </c>
      <c r="J8" s="9">
        <f>'Data Sheet'!J45</f>
        <v>33.299999999999997</v>
      </c>
      <c r="K8" s="9">
        <f>'Data Sheet'!K45</f>
        <v>34.17</v>
      </c>
    </row>
    <row r="9" spans="1:11">
      <c r="A9" s="6" t="s">
        <v>11</v>
      </c>
      <c r="B9" s="9">
        <f>'Data Sheet'!B46</f>
        <v>0</v>
      </c>
      <c r="C9" s="9">
        <f>'Data Sheet'!C46</f>
        <v>0</v>
      </c>
      <c r="D9" s="9">
        <f>'Data Sheet'!D46</f>
        <v>0</v>
      </c>
      <c r="E9" s="9">
        <f>'Data Sheet'!E46</f>
        <v>0</v>
      </c>
      <c r="F9" s="9">
        <f>'Data Sheet'!F46</f>
        <v>0</v>
      </c>
      <c r="G9" s="9">
        <f>'Data Sheet'!G46</f>
        <v>0</v>
      </c>
      <c r="H9" s="9">
        <f>'Data Sheet'!H46</f>
        <v>0</v>
      </c>
      <c r="I9" s="9">
        <f>'Data Sheet'!I46</f>
        <v>0</v>
      </c>
      <c r="J9" s="9">
        <f>'Data Sheet'!J46</f>
        <v>0</v>
      </c>
      <c r="K9" s="9">
        <f>'Data Sheet'!K46</f>
        <v>0</v>
      </c>
    </row>
    <row r="10" spans="1:11">
      <c r="A10" s="6" t="s">
        <v>12</v>
      </c>
      <c r="B10" s="9">
        <f>'Data Sheet'!B47</f>
        <v>178.7</v>
      </c>
      <c r="C10" s="9">
        <f>'Data Sheet'!C47</f>
        <v>183.98</v>
      </c>
      <c r="D10" s="9">
        <f>'Data Sheet'!D47</f>
        <v>234.15</v>
      </c>
      <c r="E10" s="9">
        <f>'Data Sheet'!E47</f>
        <v>155.29</v>
      </c>
      <c r="F10" s="9">
        <f>'Data Sheet'!F47</f>
        <v>238.04</v>
      </c>
      <c r="G10" s="9">
        <f>'Data Sheet'!G47</f>
        <v>218.98</v>
      </c>
      <c r="H10" s="9">
        <f>'Data Sheet'!H47</f>
        <v>222.86</v>
      </c>
      <c r="I10" s="9">
        <f>'Data Sheet'!I47</f>
        <v>189.71</v>
      </c>
      <c r="J10" s="9">
        <f>'Data Sheet'!J47</f>
        <v>252.74</v>
      </c>
      <c r="K10" s="9">
        <f>'Data Sheet'!K47</f>
        <v>190.79</v>
      </c>
    </row>
    <row r="11" spans="1:11">
      <c r="A11" s="6" t="s">
        <v>13</v>
      </c>
      <c r="B11" s="9">
        <f>'Data Sheet'!B48</f>
        <v>49.12</v>
      </c>
      <c r="C11" s="9">
        <f>'Data Sheet'!C48</f>
        <v>53.12</v>
      </c>
      <c r="D11" s="9">
        <f>'Data Sheet'!D48</f>
        <v>70.52</v>
      </c>
      <c r="E11" s="9">
        <f>'Data Sheet'!E48</f>
        <v>39.35</v>
      </c>
      <c r="F11" s="9">
        <f>'Data Sheet'!F48</f>
        <v>81.19</v>
      </c>
      <c r="G11" s="9">
        <f>'Data Sheet'!G48</f>
        <v>53.87</v>
      </c>
      <c r="H11" s="9">
        <f>'Data Sheet'!H48</f>
        <v>76.97</v>
      </c>
      <c r="I11" s="9">
        <f>'Data Sheet'!I48</f>
        <v>63.99</v>
      </c>
      <c r="J11" s="9">
        <f>'Data Sheet'!J48</f>
        <v>71.430000000000007</v>
      </c>
      <c r="K11" s="9">
        <f>'Data Sheet'!K48</f>
        <v>62.97</v>
      </c>
    </row>
    <row r="12" spans="1:11" s="8" customFormat="1">
      <c r="A12" s="8" t="s">
        <v>14</v>
      </c>
      <c r="B12" s="1">
        <f>'Data Sheet'!B49</f>
        <v>129.58000000000001</v>
      </c>
      <c r="C12" s="1">
        <f>'Data Sheet'!C49</f>
        <v>130.86000000000001</v>
      </c>
      <c r="D12" s="1">
        <f>'Data Sheet'!D49</f>
        <v>163.63</v>
      </c>
      <c r="E12" s="1">
        <f>'Data Sheet'!E49</f>
        <v>115.94</v>
      </c>
      <c r="F12" s="1">
        <f>'Data Sheet'!F49</f>
        <v>156.85</v>
      </c>
      <c r="G12" s="1">
        <f>'Data Sheet'!G49</f>
        <v>165.11</v>
      </c>
      <c r="H12" s="1">
        <f>'Data Sheet'!H49</f>
        <v>145.88999999999999</v>
      </c>
      <c r="I12" s="1">
        <f>'Data Sheet'!I49</f>
        <v>125.72</v>
      </c>
      <c r="J12" s="1">
        <f>'Data Sheet'!J49</f>
        <v>181.31</v>
      </c>
      <c r="K12" s="1">
        <f>'Data Sheet'!K49</f>
        <v>127.82</v>
      </c>
    </row>
    <row r="14" spans="1:11" s="8" customFormat="1">
      <c r="A14" s="2" t="s">
        <v>18</v>
      </c>
      <c r="B14" s="14">
        <f>IF(B4&gt;0,B6/B4,"")</f>
        <v>0.18641306520609283</v>
      </c>
      <c r="C14" s="14">
        <f t="shared" ref="C14:K14" si="1">IF(C4&gt;0,C6/C4,"")</f>
        <v>0.19537956446220422</v>
      </c>
      <c r="D14" s="14">
        <f t="shared" si="1"/>
        <v>0.24061020310935238</v>
      </c>
      <c r="E14" s="14">
        <f t="shared" si="1"/>
        <v>0.18526435645691453</v>
      </c>
      <c r="F14" s="14">
        <f t="shared" si="1"/>
        <v>0.26353102133040368</v>
      </c>
      <c r="G14" s="14">
        <f t="shared" si="1"/>
        <v>0.2494669955269429</v>
      </c>
      <c r="H14" s="14">
        <f t="shared" si="1"/>
        <v>0.21950819970513819</v>
      </c>
      <c r="I14" s="14">
        <f t="shared" si="1"/>
        <v>0.20898395088536631</v>
      </c>
      <c r="J14" s="14">
        <f t="shared" si="1"/>
        <v>0.26004656533343418</v>
      </c>
      <c r="K14" s="14">
        <f t="shared" si="1"/>
        <v>0.24475748359212426</v>
      </c>
    </row>
    <row r="22" s="27" customFormat="1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B20" sqref="B20"/>
    </sheetView>
  </sheetViews>
  <sheetFormatPr defaultColWidth="9.109375" defaultRowHeight="14.4"/>
  <cols>
    <col min="1" max="1" width="22.88671875" style="11" bestFit="1" customWidth="1"/>
    <col min="2" max="2" width="13.5546875" style="11" customWidth="1"/>
    <col min="3" max="11" width="15.5546875" style="11" customWidth="1"/>
    <col min="12" max="16384" width="9.109375" style="11"/>
  </cols>
  <sheetData>
    <row r="1" spans="1:11" s="8" customFormat="1">
      <c r="A1" s="8" t="str">
        <f>'Profit &amp; Loss'!A1</f>
        <v>COLGATE-PALMOLIVE (INDIA) LTD</v>
      </c>
      <c r="E1" t="str">
        <f>UPDATE</f>
        <v>A NEW VERSION OF THE WORKSHEET IS AVAILABLE</v>
      </c>
      <c r="G1"/>
      <c r="J1" s="4" t="s">
        <v>1</v>
      </c>
      <c r="K1" s="4"/>
    </row>
    <row r="2" spans="1:11">
      <c r="G2" s="8"/>
      <c r="H2" s="8"/>
    </row>
    <row r="3" spans="1:11" s="18" customFormat="1">
      <c r="A3" s="15" t="s">
        <v>2</v>
      </c>
      <c r="B3" s="16">
        <f>'Data Sheet'!B56</f>
        <v>39172</v>
      </c>
      <c r="C3" s="16">
        <f>'Data Sheet'!C56</f>
        <v>39538</v>
      </c>
      <c r="D3" s="16">
        <f>'Data Sheet'!D56</f>
        <v>39903</v>
      </c>
      <c r="E3" s="16">
        <f>'Data Sheet'!E56</f>
        <v>40268</v>
      </c>
      <c r="F3" s="16">
        <f>'Data Sheet'!F56</f>
        <v>40633</v>
      </c>
      <c r="G3" s="16">
        <f>'Data Sheet'!G56</f>
        <v>40999</v>
      </c>
      <c r="H3" s="16">
        <f>'Data Sheet'!H56</f>
        <v>41364</v>
      </c>
      <c r="I3" s="16">
        <f>'Data Sheet'!I56</f>
        <v>41729</v>
      </c>
      <c r="J3" s="16">
        <f>'Data Sheet'!J56</f>
        <v>42094</v>
      </c>
      <c r="K3" s="16">
        <f>'Data Sheet'!K56</f>
        <v>42460</v>
      </c>
    </row>
    <row r="4" spans="1:11">
      <c r="A4" s="6" t="s">
        <v>24</v>
      </c>
      <c r="B4" s="19">
        <f>'Data Sheet'!B57</f>
        <v>135.99</v>
      </c>
      <c r="C4" s="19">
        <f>'Data Sheet'!C57</f>
        <v>13.6</v>
      </c>
      <c r="D4" s="19">
        <f>'Data Sheet'!D57</f>
        <v>13.6</v>
      </c>
      <c r="E4" s="19">
        <f>'Data Sheet'!E57</f>
        <v>13.6</v>
      </c>
      <c r="F4" s="19">
        <f>'Data Sheet'!F57</f>
        <v>13.6</v>
      </c>
      <c r="G4" s="19">
        <f>'Data Sheet'!G57</f>
        <v>13.6</v>
      </c>
      <c r="H4" s="19">
        <f>'Data Sheet'!H57</f>
        <v>13.6</v>
      </c>
      <c r="I4" s="19">
        <f>'Data Sheet'!I57</f>
        <v>13.6</v>
      </c>
      <c r="J4" s="19">
        <f>'Data Sheet'!J57</f>
        <v>13.6</v>
      </c>
      <c r="K4" s="19">
        <f>'Data Sheet'!K57</f>
        <v>27.2</v>
      </c>
    </row>
    <row r="5" spans="1:11" s="6" customFormat="1">
      <c r="A5" s="6" t="s">
        <v>25</v>
      </c>
      <c r="B5" s="19">
        <f>'Data Sheet'!B58</f>
        <v>144.53</v>
      </c>
      <c r="C5" s="19">
        <f>'Data Sheet'!C58</f>
        <v>148.61000000000001</v>
      </c>
      <c r="D5" s="19">
        <f>'Data Sheet'!D58</f>
        <v>202.7</v>
      </c>
      <c r="E5" s="19">
        <f>'Data Sheet'!E58</f>
        <v>312.51</v>
      </c>
      <c r="F5" s="19">
        <f>'Data Sheet'!F58</f>
        <v>370.45</v>
      </c>
      <c r="G5" s="19">
        <f>'Data Sheet'!G58</f>
        <v>421.79</v>
      </c>
      <c r="H5" s="19">
        <f>'Data Sheet'!H58</f>
        <v>475.99</v>
      </c>
      <c r="I5" s="19">
        <f>'Data Sheet'!I58</f>
        <v>586.28</v>
      </c>
      <c r="J5" s="19">
        <f>'Data Sheet'!J58</f>
        <v>756.72</v>
      </c>
      <c r="K5" s="19">
        <f>'Data Sheet'!K58</f>
        <v>992.27</v>
      </c>
    </row>
    <row r="6" spans="1:11">
      <c r="A6" s="11" t="s">
        <v>62</v>
      </c>
      <c r="B6" s="19">
        <f>'Data Sheet'!B59</f>
        <v>4.28</v>
      </c>
      <c r="C6" s="19">
        <f>'Data Sheet'!C59</f>
        <v>4.6900000000000004</v>
      </c>
      <c r="D6" s="19">
        <f>'Data Sheet'!D59</f>
        <v>4.6900000000000004</v>
      </c>
      <c r="E6" s="19">
        <f>'Data Sheet'!E59</f>
        <v>4.59</v>
      </c>
      <c r="F6" s="19">
        <f>'Data Sheet'!F59</f>
        <v>0.05</v>
      </c>
      <c r="G6" s="19">
        <f>'Data Sheet'!G59</f>
        <v>0.05</v>
      </c>
      <c r="H6" s="19">
        <f>'Data Sheet'!H59</f>
        <v>0</v>
      </c>
      <c r="I6" s="19">
        <f>'Data Sheet'!I59</f>
        <v>0</v>
      </c>
      <c r="J6" s="19">
        <f>'Data Sheet'!J59</f>
        <v>0</v>
      </c>
      <c r="K6" s="19">
        <f>'Data Sheet'!K59</f>
        <v>0</v>
      </c>
    </row>
    <row r="7" spans="1:11" s="6" customFormat="1">
      <c r="A7" s="11" t="s">
        <v>63</v>
      </c>
      <c r="B7" s="19">
        <f>'Data Sheet'!B60</f>
        <v>434.89</v>
      </c>
      <c r="C7" s="19">
        <f>'Data Sheet'!C60</f>
        <v>549.53</v>
      </c>
      <c r="D7" s="19">
        <f>'Data Sheet'!D60</f>
        <v>568.73</v>
      </c>
      <c r="E7" s="19">
        <f>'Data Sheet'!E60</f>
        <v>570.77</v>
      </c>
      <c r="F7" s="19">
        <f>'Data Sheet'!F60</f>
        <v>667.84</v>
      </c>
      <c r="G7" s="19">
        <f>'Data Sheet'!G60</f>
        <v>711.3</v>
      </c>
      <c r="H7" s="19">
        <f>'Data Sheet'!H60</f>
        <v>835.31</v>
      </c>
      <c r="I7" s="19">
        <f>'Data Sheet'!I60</f>
        <v>918.37</v>
      </c>
      <c r="J7" s="19">
        <f>'Data Sheet'!J60</f>
        <v>962.54</v>
      </c>
      <c r="K7" s="19">
        <f>'Data Sheet'!K60</f>
        <v>953.96</v>
      </c>
    </row>
    <row r="8" spans="1:11" s="8" customFormat="1">
      <c r="A8" s="8" t="s">
        <v>26</v>
      </c>
      <c r="B8" s="20">
        <f>'Data Sheet'!B61</f>
        <v>719.69</v>
      </c>
      <c r="C8" s="20">
        <f>'Data Sheet'!C61</f>
        <v>716.43</v>
      </c>
      <c r="D8" s="20">
        <f>'Data Sheet'!D61</f>
        <v>789.72</v>
      </c>
      <c r="E8" s="20">
        <f>'Data Sheet'!E61</f>
        <v>901.47</v>
      </c>
      <c r="F8" s="20">
        <f>'Data Sheet'!F61</f>
        <v>1051.94</v>
      </c>
      <c r="G8" s="20">
        <f>'Data Sheet'!G61</f>
        <v>1146.74</v>
      </c>
      <c r="H8" s="20">
        <f>'Data Sheet'!H61</f>
        <v>1324.9</v>
      </c>
      <c r="I8" s="20">
        <f>'Data Sheet'!I61</f>
        <v>1518.25</v>
      </c>
      <c r="J8" s="20">
        <f>'Data Sheet'!J61</f>
        <v>1732.86</v>
      </c>
      <c r="K8" s="20">
        <f>'Data Sheet'!K61</f>
        <v>1973.43</v>
      </c>
    </row>
    <row r="9" spans="1:11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6" t="s">
        <v>27</v>
      </c>
      <c r="B10" s="19">
        <f>'Data Sheet'!B62</f>
        <v>167.69</v>
      </c>
      <c r="C10" s="19">
        <f>'Data Sheet'!C62</f>
        <v>191.4</v>
      </c>
      <c r="D10" s="19">
        <f>'Data Sheet'!D62</f>
        <v>173.93</v>
      </c>
      <c r="E10" s="19">
        <f>'Data Sheet'!E62</f>
        <v>246.95</v>
      </c>
      <c r="F10" s="19">
        <f>'Data Sheet'!F62</f>
        <v>255.05</v>
      </c>
      <c r="G10" s="19">
        <f>'Data Sheet'!G62</f>
        <v>254.42</v>
      </c>
      <c r="H10" s="19">
        <f>'Data Sheet'!H62</f>
        <v>280.66000000000003</v>
      </c>
      <c r="I10" s="19">
        <f>'Data Sheet'!I62</f>
        <v>555.91</v>
      </c>
      <c r="J10" s="19">
        <f>'Data Sheet'!J62</f>
        <v>781.58</v>
      </c>
      <c r="K10" s="19">
        <f>'Data Sheet'!K62</f>
        <v>1008.14</v>
      </c>
    </row>
    <row r="11" spans="1:11">
      <c r="A11" s="6" t="s">
        <v>28</v>
      </c>
      <c r="B11" s="19">
        <f>'Data Sheet'!B63</f>
        <v>24.34</v>
      </c>
      <c r="C11" s="19">
        <f>'Data Sheet'!C63</f>
        <v>7.59</v>
      </c>
      <c r="D11" s="19">
        <f>'Data Sheet'!D63</f>
        <v>4.67</v>
      </c>
      <c r="E11" s="19">
        <f>'Data Sheet'!E63</f>
        <v>6.19</v>
      </c>
      <c r="F11" s="19">
        <f>'Data Sheet'!F63</f>
        <v>8.2100000000000009</v>
      </c>
      <c r="G11" s="19">
        <f>'Data Sheet'!G63</f>
        <v>69.38</v>
      </c>
      <c r="H11" s="19">
        <f>'Data Sheet'!H63</f>
        <v>101.96</v>
      </c>
      <c r="I11" s="19">
        <f>'Data Sheet'!I63</f>
        <v>141.51</v>
      </c>
      <c r="J11" s="19">
        <f>'Data Sheet'!J63</f>
        <v>141.18</v>
      </c>
      <c r="K11" s="19">
        <f>'Data Sheet'!K63</f>
        <v>78.37</v>
      </c>
    </row>
    <row r="12" spans="1:11">
      <c r="A12" s="6" t="s">
        <v>29</v>
      </c>
      <c r="B12" s="19">
        <f>'Data Sheet'!B64</f>
        <v>133.34</v>
      </c>
      <c r="C12" s="19">
        <f>'Data Sheet'!C64</f>
        <v>72.59</v>
      </c>
      <c r="D12" s="19">
        <f>'Data Sheet'!D64</f>
        <v>38.33</v>
      </c>
      <c r="E12" s="19">
        <f>'Data Sheet'!E64</f>
        <v>21</v>
      </c>
      <c r="F12" s="19">
        <f>'Data Sheet'!F64</f>
        <v>38.74</v>
      </c>
      <c r="G12" s="19">
        <f>'Data Sheet'!G64</f>
        <v>47.12</v>
      </c>
      <c r="H12" s="19">
        <f>'Data Sheet'!H64</f>
        <v>47.12</v>
      </c>
      <c r="I12" s="19">
        <f>'Data Sheet'!I64</f>
        <v>37.130000000000003</v>
      </c>
      <c r="J12" s="19">
        <f>'Data Sheet'!J64</f>
        <v>37.130000000000003</v>
      </c>
      <c r="K12" s="19">
        <f>'Data Sheet'!K64</f>
        <v>30.13</v>
      </c>
    </row>
    <row r="13" spans="1:11">
      <c r="A13" s="11" t="s">
        <v>64</v>
      </c>
      <c r="B13" s="19">
        <f>'Data Sheet'!B65</f>
        <v>394.32</v>
      </c>
      <c r="C13" s="19">
        <f>'Data Sheet'!C65</f>
        <v>444.85</v>
      </c>
      <c r="D13" s="19">
        <f>'Data Sheet'!D65</f>
        <v>572.79</v>
      </c>
      <c r="E13" s="19">
        <f>'Data Sheet'!E65</f>
        <v>627.33000000000004</v>
      </c>
      <c r="F13" s="19">
        <f>'Data Sheet'!F65</f>
        <v>749.94</v>
      </c>
      <c r="G13" s="19">
        <f>'Data Sheet'!G65</f>
        <v>775.82</v>
      </c>
      <c r="H13" s="19">
        <f>'Data Sheet'!H65</f>
        <v>895.16</v>
      </c>
      <c r="I13" s="19">
        <f>'Data Sheet'!I65</f>
        <v>783.7</v>
      </c>
      <c r="J13" s="19">
        <f>'Data Sheet'!J65</f>
        <v>772.97</v>
      </c>
      <c r="K13" s="19">
        <f>'Data Sheet'!K65</f>
        <v>856.79</v>
      </c>
    </row>
    <row r="14" spans="1:11" s="8" customFormat="1">
      <c r="A14" s="8" t="s">
        <v>26</v>
      </c>
      <c r="B14" s="19">
        <f>'Data Sheet'!B66</f>
        <v>719.69</v>
      </c>
      <c r="C14" s="19">
        <f>'Data Sheet'!C66</f>
        <v>716.43</v>
      </c>
      <c r="D14" s="19">
        <f>'Data Sheet'!D66</f>
        <v>789.72</v>
      </c>
      <c r="E14" s="19">
        <f>'Data Sheet'!E66</f>
        <v>901.47</v>
      </c>
      <c r="F14" s="19">
        <f>'Data Sheet'!F66</f>
        <v>1051.94</v>
      </c>
      <c r="G14" s="19">
        <f>'Data Sheet'!G66</f>
        <v>1146.74</v>
      </c>
      <c r="H14" s="19">
        <f>'Data Sheet'!H66</f>
        <v>1324.9</v>
      </c>
      <c r="I14" s="19">
        <f>'Data Sheet'!I66</f>
        <v>1518.25</v>
      </c>
      <c r="J14" s="19">
        <f>'Data Sheet'!J66</f>
        <v>1732.86</v>
      </c>
      <c r="K14" s="19">
        <f>'Data Sheet'!K66</f>
        <v>1973.43</v>
      </c>
    </row>
    <row r="15" spans="1:1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6" t="s">
        <v>30</v>
      </c>
      <c r="B16" s="21">
        <f>B13-B7</f>
        <v>-40.569999999999993</v>
      </c>
      <c r="C16" s="21">
        <f t="shared" ref="C16:K16" si="0">C13-C7</f>
        <v>-104.67999999999995</v>
      </c>
      <c r="D16" s="21">
        <f t="shared" si="0"/>
        <v>4.0599999999999454</v>
      </c>
      <c r="E16" s="21">
        <f t="shared" si="0"/>
        <v>56.560000000000059</v>
      </c>
      <c r="F16" s="21">
        <f t="shared" si="0"/>
        <v>82.100000000000023</v>
      </c>
      <c r="G16" s="21">
        <f t="shared" si="0"/>
        <v>64.520000000000095</v>
      </c>
      <c r="H16" s="21">
        <f t="shared" si="0"/>
        <v>59.850000000000023</v>
      </c>
      <c r="I16" s="21">
        <f t="shared" si="0"/>
        <v>-134.66999999999996</v>
      </c>
      <c r="J16" s="21">
        <f t="shared" si="0"/>
        <v>-189.56999999999994</v>
      </c>
      <c r="K16" s="21">
        <f t="shared" si="0"/>
        <v>-97.170000000000073</v>
      </c>
    </row>
    <row r="17" spans="1:11">
      <c r="A17" s="11" t="s">
        <v>44</v>
      </c>
      <c r="B17" s="21">
        <f>'Data Sheet'!B67</f>
        <v>9.33</v>
      </c>
      <c r="C17" s="21">
        <f>'Data Sheet'!C67</f>
        <v>9.19</v>
      </c>
      <c r="D17" s="21">
        <f>'Data Sheet'!D67</f>
        <v>11.14</v>
      </c>
      <c r="E17" s="21">
        <f>'Data Sheet'!E67</f>
        <v>9.77</v>
      </c>
      <c r="F17" s="21">
        <f>'Data Sheet'!F67</f>
        <v>75.3</v>
      </c>
      <c r="G17" s="21">
        <f>'Data Sheet'!G67</f>
        <v>87.27</v>
      </c>
      <c r="H17" s="21">
        <f>'Data Sheet'!H67</f>
        <v>81.209999999999994</v>
      </c>
      <c r="I17" s="21">
        <f>'Data Sheet'!I67</f>
        <v>54.73</v>
      </c>
      <c r="J17" s="21">
        <f>'Data Sheet'!J67</f>
        <v>69.64</v>
      </c>
      <c r="K17" s="21">
        <f>'Data Sheet'!K67</f>
        <v>101.54</v>
      </c>
    </row>
    <row r="18" spans="1:11">
      <c r="A18" s="11" t="s">
        <v>45</v>
      </c>
      <c r="B18" s="21">
        <f>'Data Sheet'!B68</f>
        <v>80.33</v>
      </c>
      <c r="C18" s="21">
        <f>'Data Sheet'!C68</f>
        <v>75.64</v>
      </c>
      <c r="D18" s="21">
        <f>'Data Sheet'!D68</f>
        <v>82.42</v>
      </c>
      <c r="E18" s="21">
        <f>'Data Sheet'!E68</f>
        <v>110.55</v>
      </c>
      <c r="F18" s="21">
        <f>'Data Sheet'!F68</f>
        <v>153.69999999999999</v>
      </c>
      <c r="G18" s="21">
        <f>'Data Sheet'!G68</f>
        <v>217.68</v>
      </c>
      <c r="H18" s="21">
        <f>'Data Sheet'!H68</f>
        <v>185.3</v>
      </c>
      <c r="I18" s="21">
        <f>'Data Sheet'!I68</f>
        <v>225.74</v>
      </c>
      <c r="J18" s="21">
        <f>'Data Sheet'!J68</f>
        <v>252.23</v>
      </c>
      <c r="K18" s="21">
        <f>'Data Sheet'!K68</f>
        <v>292.66000000000003</v>
      </c>
    </row>
    <row r="20" spans="1:11">
      <c r="A20" s="11" t="s">
        <v>46</v>
      </c>
      <c r="B20" s="5">
        <f>IF('Profit &amp; Loss'!B4&gt;0,'Balance Sheet'!B17/('Profit &amp; Loss'!B4/365),0)</f>
        <v>2.6294068594900932</v>
      </c>
      <c r="C20" s="5">
        <f>IF('Profit &amp; Loss'!C4&gt;0,'Balance Sheet'!C17/('Profit &amp; Loss'!C4/365),0)</f>
        <v>2.2766360341527641</v>
      </c>
      <c r="D20" s="5">
        <f>IF('Profit &amp; Loss'!D4&gt;0,'Balance Sheet'!D17/('Profit &amp; Loss'!D4/365),0)</f>
        <v>2.3991479870899988</v>
      </c>
      <c r="E20" s="5">
        <f>IF('Profit &amp; Loss'!E4&gt;0,'Balance Sheet'!E17/('Profit &amp; Loss'!E4/365),0)</f>
        <v>1.8171325784984151</v>
      </c>
      <c r="F20" s="5">
        <f>IF('Profit &amp; Loss'!F4&gt;0,'Balance Sheet'!F17/('Profit &amp; Loss'!F4/365),0)</f>
        <v>12.022334785575561</v>
      </c>
      <c r="G20" s="5">
        <f>IF('Profit &amp; Loss'!G4&gt;0,'Balance Sheet'!G17/('Profit &amp; Loss'!G4/365),0)</f>
        <v>11.827266887714751</v>
      </c>
      <c r="H20" s="5">
        <f>IF('Profit &amp; Loss'!H4&gt;0,'Balance Sheet'!H17/('Profit &amp; Loss'!H4/365),0)</f>
        <v>9.3689728523520692</v>
      </c>
      <c r="I20" s="5">
        <f>IF('Profit &amp; Loss'!I4&gt;0,'Balance Sheet'!I17/('Profit &amp; Loss'!I4/365),0)</f>
        <v>5.5818693923399119</v>
      </c>
      <c r="J20" s="5">
        <f>IF('Profit &amp; Loss'!J4&gt;0,'Balance Sheet'!J17/('Profit &amp; Loss'!J4/365),0)</f>
        <v>6.3834713732502246</v>
      </c>
      <c r="K20" s="5">
        <f>IF('Profit &amp; Loss'!K4&gt;0,'Balance Sheet'!K17/('Profit &amp; Loss'!K4/365),0)</f>
        <v>8.9042570315859795</v>
      </c>
    </row>
    <row r="21" spans="1:11">
      <c r="A21" s="11" t="s">
        <v>47</v>
      </c>
      <c r="B21" s="5">
        <f>IF('Balance Sheet'!B18&gt;0,'Profit &amp; Loss'!B4/'Balance Sheet'!B18,0)</f>
        <v>16.122743682310471</v>
      </c>
      <c r="C21" s="5">
        <f>IF('Balance Sheet'!C18&gt;0,'Profit &amp; Loss'!C4/'Balance Sheet'!C18,0)</f>
        <v>19.478847170809097</v>
      </c>
      <c r="D21" s="5">
        <f>IF('Balance Sheet'!D18&gt;0,'Profit &amp; Loss'!D4/'Balance Sheet'!D18,0)</f>
        <v>20.563091482649842</v>
      </c>
      <c r="E21" s="5">
        <f>IF('Balance Sheet'!E18&gt;0,'Profit &amp; Loss'!E4/'Balance Sheet'!E18,0)</f>
        <v>17.751786521935777</v>
      </c>
      <c r="F21" s="5">
        <f>IF('Balance Sheet'!F18&gt;0,'Profit &amp; Loss'!F4/'Balance Sheet'!F18,0)</f>
        <v>14.873910214703969</v>
      </c>
      <c r="G21" s="5">
        <f>IF('Balance Sheet'!G18&gt;0,'Profit &amp; Loss'!G4/'Balance Sheet'!G18,0)</f>
        <v>12.372427416391032</v>
      </c>
      <c r="H21" s="5">
        <f>IF('Balance Sheet'!H18&gt;0,'Profit &amp; Loss'!H4/'Balance Sheet'!H18,0)</f>
        <v>17.073988127361034</v>
      </c>
      <c r="I21" s="5">
        <f>IF('Balance Sheet'!I18&gt;0,'Profit &amp; Loss'!I4/'Balance Sheet'!I18,0)</f>
        <v>15.853681226189421</v>
      </c>
      <c r="J21" s="5">
        <f>IF('Balance Sheet'!J18&gt;0,'Profit &amp; Loss'!J4/'Balance Sheet'!J18,0)</f>
        <v>15.78694049082187</v>
      </c>
      <c r="K21" s="5">
        <f>IF('Balance Sheet'!K18&gt;0,'Profit &amp; Loss'!K4/'Balance Sheet'!K18,0)</f>
        <v>14.222271577940271</v>
      </c>
    </row>
    <row r="23" spans="1:11" s="8" customFormat="1">
      <c r="A23" s="8" t="s">
        <v>50</v>
      </c>
      <c r="B23" s="14">
        <f>IF(SUM('Balance Sheet'!B4:B5)&gt;0,'Profit &amp; Loss'!B12/SUM('Balance Sheet'!B4:B5),"")</f>
        <v>0.57097533152716384</v>
      </c>
      <c r="C23" s="14">
        <f>IF(SUM('Balance Sheet'!C4:C5)&gt;0,'Profit &amp; Loss'!C12/SUM('Balance Sheet'!C4:C5),"")</f>
        <v>1.4284569385364652</v>
      </c>
      <c r="D23" s="14">
        <f>IF(SUM('Balance Sheet'!D4:D5)&gt;0,'Profit &amp; Loss'!D12/SUM('Balance Sheet'!D4:D5),"")</f>
        <v>1.3417475728155341</v>
      </c>
      <c r="E23" s="14">
        <f>IF(SUM('Balance Sheet'!E4:E5)&gt;0,'Profit &amp; Loss'!E12/SUM('Balance Sheet'!E4:E5),"")</f>
        <v>1.2979056146698966</v>
      </c>
      <c r="F23" s="14">
        <f>IF(SUM('Balance Sheet'!F4:F5)&gt;0,'Profit &amp; Loss'!F12/SUM('Balance Sheet'!F4:F5),"")</f>
        <v>1.0482489259211039</v>
      </c>
      <c r="G23" s="14">
        <f>IF(SUM('Balance Sheet'!G4:G5)&gt;0,'Profit &amp; Loss'!G12/SUM('Balance Sheet'!G4:G5),"")</f>
        <v>1.0254484485174211</v>
      </c>
      <c r="H23" s="14">
        <f>IF(SUM('Balance Sheet'!H4:H5)&gt;0,'Profit &amp; Loss'!H12/SUM('Balance Sheet'!H4:H5),"")</f>
        <v>1.0146244817091852</v>
      </c>
      <c r="I23" s="14">
        <f>IF(SUM('Balance Sheet'!I4:I5)&gt;0,'Profit &amp; Loss'!I12/SUM('Balance Sheet'!I4:I5),"")</f>
        <v>0.89996332599853301</v>
      </c>
      <c r="J23" s="14">
        <f>IF(SUM('Balance Sheet'!J4:J5)&gt;0,'Profit &amp; Loss'!J12/SUM('Balance Sheet'!J4:J5),"")</f>
        <v>0.72564648457783776</v>
      </c>
      <c r="K23" s="14">
        <f>IF(SUM('Balance Sheet'!K4:K5)&gt;0,'Profit &amp; Loss'!K12/SUM('Balance Sheet'!K4:K5),"")</f>
        <v>0.56549972044297525</v>
      </c>
    </row>
    <row r="24" spans="1:11" s="8" customFormat="1">
      <c r="A24" s="8" t="s">
        <v>51</v>
      </c>
      <c r="B24" s="14">
        <f>IF(('Balance Sheet'!B10+'Balance Sheet'!B16)&gt;0,('Profit &amp; Loss'!B6-'Profit &amp; Loss'!B8-'Profit &amp; Loss'!B11)/('Balance Sheet'!B10+'Balance Sheet'!B16),"")</f>
        <v>0.74063876651982496</v>
      </c>
      <c r="C24" s="14">
        <f>IF(('Balance Sheet'!C10+'Balance Sheet'!C16)&gt;0,('Profit &amp; Loss'!C6-'Profit &amp; Loss'!C8-'Profit &amp; Loss'!C11)/('Balance Sheet'!C10+'Balance Sheet'!C16),"")</f>
        <v>1.7109086715867168</v>
      </c>
      <c r="D24" s="14">
        <f>IF(('Balance Sheet'!D10+'Balance Sheet'!D16)&gt;0,('Profit &amp; Loss'!D6-'Profit &amp; Loss'!D8-'Profit &amp; Loss'!D11)/('Balance Sheet'!D10+'Balance Sheet'!D16),"")</f>
        <v>1.0312938929153321</v>
      </c>
      <c r="E24" s="14">
        <f>IF(('Balance Sheet'!E10+'Balance Sheet'!E16)&gt;0,('Profit &amp; Loss'!E6-'Profit &amp; Loss'!E8-'Profit &amp; Loss'!E11)/('Balance Sheet'!E10+'Balance Sheet'!E16),"")</f>
        <v>1.0750881354815327</v>
      </c>
      <c r="F24" s="14">
        <f>IF(('Balance Sheet'!F10+'Balance Sheet'!F16)&gt;0,('Profit &amp; Loss'!F6-'Profit &amp; Loss'!F8-'Profit &amp; Loss'!F11)/('Balance Sheet'!F10+'Balance Sheet'!F16),"")</f>
        <v>1.0765238024618113</v>
      </c>
      <c r="G24" s="14">
        <f>IF(('Balance Sheet'!G10+'Balance Sheet'!G16)&gt;0,('Profit &amp; Loss'!G6-'Profit &amp; Loss'!G8-'Profit &amp; Loss'!G11)/('Balance Sheet'!G10+'Balance Sheet'!G16),"")</f>
        <v>1.2456574904370743</v>
      </c>
      <c r="H24" s="14">
        <f>IF(('Balance Sheet'!H10+'Balance Sheet'!H16)&gt;0,('Profit &amp; Loss'!H6-'Profit &amp; Loss'!H8-'Profit &amp; Loss'!H11)/('Balance Sheet'!H10+'Balance Sheet'!H16),"")</f>
        <v>1.3122668937769812</v>
      </c>
      <c r="I24" s="14">
        <f>IF(('Balance Sheet'!I10+'Balance Sheet'!I16)&gt;0,('Profit &amp; Loss'!I6-'Profit &amp; Loss'!I8-'Profit &amp; Loss'!I11)/('Balance Sheet'!I10+'Balance Sheet'!I16),"")</f>
        <v>1.0093295983287431</v>
      </c>
      <c r="J24" s="14">
        <f>IF(('Balance Sheet'!J10+'Balance Sheet'!J16)&gt;0,('Profit &amp; Loss'!J6-'Profit &amp; Loss'!J8-'Profit &amp; Loss'!J11)/('Balance Sheet'!J10+'Balance Sheet'!J16),"")</f>
        <v>0.88817756456816643</v>
      </c>
      <c r="K24" s="14">
        <f>IF(('Balance Sheet'!K10+'Balance Sheet'!K16)&gt;0,('Profit &amp; Loss'!K6-'Profit &amp; Loss'!K8-'Profit &amp; Loss'!K11)/('Balance Sheet'!K10+'Balance Sheet'!K16),"")</f>
        <v>0.58938274586429862</v>
      </c>
    </row>
    <row r="25" spans="1:11" s="18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"/>
  <sheetViews>
    <sheetView workbookViewId="0">
      <selection activeCell="B4" sqref="B4"/>
    </sheetView>
  </sheetViews>
  <sheetFormatPr defaultColWidth="9.109375" defaultRowHeight="14.4"/>
  <cols>
    <col min="1" max="1" width="26.88671875" style="6" bestFit="1" customWidth="1"/>
    <col min="2" max="6" width="13.5546875" style="6" customWidth="1"/>
    <col min="7" max="11" width="13.5546875" style="6" bestFit="1" customWidth="1"/>
    <col min="12" max="16384" width="9.109375" style="6"/>
  </cols>
  <sheetData>
    <row r="1" spans="1:11" s="8" customFormat="1">
      <c r="A1" s="8" t="str">
        <f>'Balance Sheet'!A1</f>
        <v>COLGATE-PALMOLIVE (INDIA) LTD</v>
      </c>
      <c r="E1" t="str">
        <f>UPDATE</f>
        <v>A NEW VERSION OF THE WORKSHEET IS AVAILABLE</v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39172</v>
      </c>
      <c r="C3" s="16">
        <f>'Data Sheet'!C81</f>
        <v>39538</v>
      </c>
      <c r="D3" s="16">
        <f>'Data Sheet'!D81</f>
        <v>39903</v>
      </c>
      <c r="E3" s="16">
        <f>'Data Sheet'!E81</f>
        <v>40268</v>
      </c>
      <c r="F3" s="16">
        <f>'Data Sheet'!F81</f>
        <v>40633</v>
      </c>
      <c r="G3" s="16">
        <f>'Data Sheet'!G81</f>
        <v>40999</v>
      </c>
      <c r="H3" s="16">
        <f>'Data Sheet'!H81</f>
        <v>41364</v>
      </c>
      <c r="I3" s="16">
        <f>'Data Sheet'!I81</f>
        <v>41729</v>
      </c>
      <c r="J3" s="16">
        <f>'Data Sheet'!J81</f>
        <v>42094</v>
      </c>
      <c r="K3" s="16">
        <f>'Data Sheet'!K81</f>
        <v>42460</v>
      </c>
    </row>
    <row r="4" spans="1:11" s="8" customFormat="1">
      <c r="A4" s="8" t="s">
        <v>32</v>
      </c>
      <c r="B4" s="1">
        <f>'Data Sheet'!B82</f>
        <v>154.24</v>
      </c>
      <c r="C4" s="1">
        <f>'Data Sheet'!C82</f>
        <v>281.39999999999998</v>
      </c>
      <c r="D4" s="1">
        <f>'Data Sheet'!D82</f>
        <v>319.38</v>
      </c>
      <c r="E4" s="1">
        <f>'Data Sheet'!E82</f>
        <v>397.35</v>
      </c>
      <c r="F4" s="1">
        <f>'Data Sheet'!F82</f>
        <v>357.91</v>
      </c>
      <c r="G4" s="1">
        <f>'Data Sheet'!G82</f>
        <v>402.84</v>
      </c>
      <c r="H4" s="1">
        <f>'Data Sheet'!H82</f>
        <v>614.9</v>
      </c>
      <c r="I4" s="1">
        <f>'Data Sheet'!I82</f>
        <v>457.38</v>
      </c>
      <c r="J4" s="1">
        <f>'Data Sheet'!J82</f>
        <v>638.15</v>
      </c>
      <c r="K4" s="1">
        <f>'Data Sheet'!K82</f>
        <v>672.93</v>
      </c>
    </row>
    <row r="5" spans="1:11">
      <c r="A5" s="6" t="s">
        <v>33</v>
      </c>
      <c r="B5" s="9">
        <f>'Data Sheet'!B83</f>
        <v>5.55</v>
      </c>
      <c r="C5" s="9">
        <f>'Data Sheet'!C83</f>
        <v>26.09</v>
      </c>
      <c r="D5" s="9">
        <f>'Data Sheet'!D83</f>
        <v>42.63</v>
      </c>
      <c r="E5" s="9">
        <f>'Data Sheet'!E83</f>
        <v>36.549999999999997</v>
      </c>
      <c r="F5" s="9">
        <f>'Data Sheet'!F83</f>
        <v>60.13</v>
      </c>
      <c r="G5" s="9">
        <f>'Data Sheet'!G83</f>
        <v>-10.24</v>
      </c>
      <c r="H5" s="9">
        <f>'Data Sheet'!H83</f>
        <v>-47.25</v>
      </c>
      <c r="I5" s="9">
        <f>'Data Sheet'!I83</f>
        <v>-180.37</v>
      </c>
      <c r="J5" s="9">
        <f>'Data Sheet'!J83</f>
        <v>-271.63</v>
      </c>
      <c r="K5" s="9">
        <f>'Data Sheet'!K83</f>
        <v>-236.62</v>
      </c>
    </row>
    <row r="6" spans="1:11">
      <c r="A6" s="6" t="s">
        <v>34</v>
      </c>
      <c r="B6" s="9">
        <f>'Data Sheet'!B84</f>
        <v>-136.04</v>
      </c>
      <c r="C6" s="9">
        <f>'Data Sheet'!C84</f>
        <v>-274.95</v>
      </c>
      <c r="D6" s="9">
        <f>'Data Sheet'!D84</f>
        <v>-255.13</v>
      </c>
      <c r="E6" s="9">
        <f>'Data Sheet'!E84</f>
        <v>-337.46</v>
      </c>
      <c r="F6" s="9">
        <f>'Data Sheet'!F84</f>
        <v>-322.99</v>
      </c>
      <c r="G6" s="9">
        <f>'Data Sheet'!G84</f>
        <v>-398.05</v>
      </c>
      <c r="H6" s="9">
        <f>'Data Sheet'!H84</f>
        <v>-427.6</v>
      </c>
      <c r="I6" s="9">
        <f>'Data Sheet'!I84</f>
        <v>-422.07</v>
      </c>
      <c r="J6" s="9">
        <f>'Data Sheet'!J84</f>
        <v>-384.79</v>
      </c>
      <c r="K6" s="9">
        <f>'Data Sheet'!K84</f>
        <v>-375.78</v>
      </c>
    </row>
    <row r="7" spans="1:11" s="8" customFormat="1">
      <c r="A7" s="8" t="s">
        <v>35</v>
      </c>
      <c r="B7" s="1">
        <f>'Data Sheet'!B85</f>
        <v>23.75</v>
      </c>
      <c r="C7" s="1">
        <f>'Data Sheet'!C85</f>
        <v>32.54</v>
      </c>
      <c r="D7" s="1">
        <f>'Data Sheet'!D85</f>
        <v>106.88</v>
      </c>
      <c r="E7" s="1">
        <f>'Data Sheet'!E85</f>
        <v>96.44</v>
      </c>
      <c r="F7" s="1">
        <f>'Data Sheet'!F85</f>
        <v>95.05</v>
      </c>
      <c r="G7" s="1">
        <f>'Data Sheet'!G85</f>
        <v>-5.45</v>
      </c>
      <c r="H7" s="1">
        <f>'Data Sheet'!H85</f>
        <v>140.05000000000001</v>
      </c>
      <c r="I7" s="1">
        <f>'Data Sheet'!I85</f>
        <v>-145.06</v>
      </c>
      <c r="J7" s="1">
        <f>'Data Sheet'!J85</f>
        <v>-18.27</v>
      </c>
      <c r="K7" s="1">
        <f>'Data Sheet'!K85</f>
        <v>60.53</v>
      </c>
    </row>
    <row r="8" spans="1:11">
      <c r="A8" s="26"/>
      <c r="B8" s="9"/>
      <c r="C8" s="9"/>
      <c r="D8" s="9"/>
      <c r="E8" s="9"/>
      <c r="F8" s="9"/>
      <c r="G8" s="9"/>
      <c r="H8" s="9"/>
      <c r="I8" s="9"/>
      <c r="J8" s="9"/>
      <c r="K8" s="9"/>
    </row>
    <row r="24" s="26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815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763" sqref="A763"/>
    </sheetView>
  </sheetViews>
  <sheetFormatPr defaultColWidth="9.109375" defaultRowHeight="14.4"/>
  <cols>
    <col min="1" max="1" width="54.21875" style="8" bestFit="1" customWidth="1"/>
    <col min="2" max="2" width="17.6640625" style="11" customWidth="1"/>
    <col min="3" max="3" width="26.33203125" style="25" customWidth="1"/>
    <col min="4" max="4" width="15.88671875" style="11" bestFit="1" customWidth="1"/>
    <col min="5" max="5" width="15.44140625" style="11" bestFit="1" customWidth="1"/>
    <col min="6" max="6" width="14" style="11" customWidth="1"/>
    <col min="7" max="7" width="13.5546875" style="11" customWidth="1"/>
    <col min="8" max="8" width="13" style="11" customWidth="1"/>
    <col min="9" max="11" width="15.5546875" style="11" bestFit="1" customWidth="1"/>
    <col min="12" max="12" width="15.5546875" style="11" customWidth="1"/>
    <col min="13" max="13" width="14.44140625" style="11" customWidth="1"/>
    <col min="14" max="15" width="13.33203125" style="29" customWidth="1"/>
    <col min="16" max="16" width="11.33203125" style="11" customWidth="1"/>
    <col min="17" max="17" width="11.6640625" style="11" customWidth="1"/>
    <col min="18" max="18" width="11.33203125" style="11" customWidth="1"/>
    <col min="19" max="20" width="15.6640625" style="11" customWidth="1"/>
    <col min="21" max="25" width="9.88671875" style="11" customWidth="1"/>
    <col min="26" max="28" width="9.109375" style="11" customWidth="1"/>
    <col min="29" max="16384" width="9.109375" style="11"/>
  </cols>
  <sheetData>
    <row r="1" spans="1:15" s="168" customFormat="1">
      <c r="A1" s="165" t="str">
        <f>'Data Sheet'!B1</f>
        <v>COLGATE-PALMOLIVE (INDIA) LTD</v>
      </c>
      <c r="B1" s="166">
        <f>'Data Sheet'!B56</f>
        <v>39172</v>
      </c>
      <c r="C1" s="166">
        <f>'Data Sheet'!C56</f>
        <v>39538</v>
      </c>
      <c r="D1" s="166">
        <f>'Data Sheet'!D56</f>
        <v>39903</v>
      </c>
      <c r="E1" s="166">
        <f>'Data Sheet'!E56</f>
        <v>40268</v>
      </c>
      <c r="F1" s="166">
        <f>'Data Sheet'!F56</f>
        <v>40633</v>
      </c>
      <c r="G1" s="166">
        <f>'Data Sheet'!G56</f>
        <v>40999</v>
      </c>
      <c r="H1" s="166">
        <f>'Data Sheet'!H56</f>
        <v>41364</v>
      </c>
      <c r="I1" s="166">
        <f>'Data Sheet'!I56</f>
        <v>41729</v>
      </c>
      <c r="J1" s="166">
        <f>'Data Sheet'!J56</f>
        <v>42094</v>
      </c>
      <c r="K1" s="166">
        <f>'Data Sheet'!K56</f>
        <v>42460</v>
      </c>
      <c r="L1" s="168" t="s">
        <v>3</v>
      </c>
      <c r="M1" s="167" t="s">
        <v>272</v>
      </c>
      <c r="N1" s="167" t="s">
        <v>274</v>
      </c>
      <c r="O1" s="167" t="s">
        <v>275</v>
      </c>
    </row>
    <row r="2" spans="1:15" ht="18" hidden="1">
      <c r="A2" s="117" t="s">
        <v>99</v>
      </c>
      <c r="B2" s="33"/>
      <c r="C2" s="36"/>
      <c r="D2" s="34"/>
      <c r="E2" s="33"/>
      <c r="F2" s="33"/>
      <c r="G2" s="33"/>
      <c r="H2" s="33"/>
      <c r="I2" s="33"/>
      <c r="J2" s="33"/>
      <c r="K2" s="33"/>
    </row>
    <row r="3" spans="1:15" hidden="1">
      <c r="A3" s="35" t="s">
        <v>37</v>
      </c>
      <c r="B3" s="33"/>
      <c r="C3" s="36"/>
      <c r="D3" s="34"/>
      <c r="E3" s="33"/>
      <c r="F3" s="33"/>
      <c r="G3" s="33"/>
      <c r="H3" s="33"/>
      <c r="I3" s="33"/>
      <c r="J3" s="33"/>
      <c r="K3" s="33"/>
    </row>
    <row r="4" spans="1:15" s="18" customFormat="1" hidden="1">
      <c r="A4" s="135" t="s">
        <v>6</v>
      </c>
      <c r="B4" s="45"/>
      <c r="C4" s="136">
        <f>('Data Sheet'!C17-'Data Sheet'!B17)/'Data Sheet'!B17</f>
        <v>0.13762218756273453</v>
      </c>
      <c r="D4" s="136">
        <f>('Data Sheet'!D17-'Data Sheet'!C17)/'Data Sheet'!C17</f>
        <v>0.15028709497889195</v>
      </c>
      <c r="E4" s="136">
        <f>('Data Sheet'!E17-'Data Sheet'!D17)/'Data Sheet'!D17</f>
        <v>0.15792330703736707</v>
      </c>
      <c r="F4" s="136">
        <f>('Data Sheet'!F17-'Data Sheet'!E17)/'Data Sheet'!E17</f>
        <v>0.16492565453563376</v>
      </c>
      <c r="G4" s="136">
        <f>('Data Sheet'!G17-'Data Sheet'!F17)/'Data Sheet'!F17</f>
        <v>0.17807901597466455</v>
      </c>
      <c r="H4" s="136">
        <f>('Data Sheet'!H17-'Data Sheet'!G17)/'Data Sheet'!G17</f>
        <v>0.17472700066462943</v>
      </c>
      <c r="I4" s="136">
        <f>('Data Sheet'!I17-'Data Sheet'!H17)/'Data Sheet'!H17</f>
        <v>0.13117096159377459</v>
      </c>
      <c r="J4" s="136">
        <f>('Data Sheet'!J17-'Data Sheet'!I17)/'Data Sheet'!I17</f>
        <v>0.11264358823184246</v>
      </c>
      <c r="K4" s="136">
        <f>('Data Sheet'!K17-'Data Sheet'!J17)/'Data Sheet'!J17</f>
        <v>4.5291993349975114E-2</v>
      </c>
      <c r="L4" s="136">
        <f>(Annual[[#This Row],[Column12]]-Annual[[#This Row],[Column11]])/Annual[[#This Row],[Column11]]</f>
        <v>-2.8630873869912973E-2</v>
      </c>
      <c r="M4" s="136">
        <f>SUM(D4:K4)/10</f>
        <v>0.1115048616366779</v>
      </c>
      <c r="N4" s="32">
        <f>SUM(G4:M4)/5</f>
        <v>0.14495730951633026</v>
      </c>
      <c r="O4" s="32">
        <f>SUM(I4:K4)/3</f>
        <v>9.6368847725197396E-2</v>
      </c>
    </row>
    <row r="5" spans="1:15" s="18" customFormat="1" hidden="1">
      <c r="A5" s="57" t="s">
        <v>71</v>
      </c>
      <c r="B5" s="45"/>
      <c r="C5" s="136">
        <f>('Data Sheet'!C18-'Data Sheet'!B18)/'Data Sheet'!B18</f>
        <v>9.1110614678741597E-2</v>
      </c>
      <c r="D5" s="136">
        <f>('Data Sheet'!D18-'Data Sheet'!C18)/'Data Sheet'!C18</f>
        <v>0.17459642491534749</v>
      </c>
      <c r="E5" s="136">
        <f>('Data Sheet'!E18-'Data Sheet'!D18)/'Data Sheet'!D18</f>
        <v>5.6931390032313914E-2</v>
      </c>
      <c r="F5" s="136">
        <f>('Data Sheet'!F18-'Data Sheet'!E18)/'Data Sheet'!E18</f>
        <v>0.14404962766564763</v>
      </c>
      <c r="G5" s="136">
        <f>('Data Sheet'!G18-'Data Sheet'!F18)/'Data Sheet'!F18</f>
        <v>0.21262557938391238</v>
      </c>
      <c r="H5" s="136">
        <f>('Data Sheet'!H18-'Data Sheet'!G18)/'Data Sheet'!G18</f>
        <v>0.12291851458982972</v>
      </c>
      <c r="I5" s="136">
        <f>('Data Sheet'!I18-'Data Sheet'!H18)/'Data Sheet'!H18</f>
        <v>0.16351924689940467</v>
      </c>
      <c r="J5" s="136">
        <f>('Data Sheet'!J18-'Data Sheet'!I18)/'Data Sheet'!I18</f>
        <v>3.8690080417696074E-2</v>
      </c>
      <c r="K5" s="136">
        <f>('Data Sheet'!K18-'Data Sheet'!J18)/'Data Sheet'!J18</f>
        <v>1.0424036602047092E-2</v>
      </c>
      <c r="L5" s="136"/>
      <c r="M5" s="136">
        <f t="shared" ref="M5:M68" si="0">SUM(D5:K5)/10</f>
        <v>9.2375490050619888E-2</v>
      </c>
      <c r="N5" s="32">
        <f t="shared" ref="N5:N68" si="1">SUM(G5:M5)/5</f>
        <v>0.12811058958870195</v>
      </c>
      <c r="O5" s="32">
        <f t="shared" ref="O5:O68" si="2">SUM(I5:K5)/3</f>
        <v>7.0877787973049278E-2</v>
      </c>
    </row>
    <row r="6" spans="1:15" s="18" customFormat="1" hidden="1">
      <c r="A6" s="57" t="s">
        <v>72</v>
      </c>
      <c r="B6" s="45"/>
      <c r="C6" s="136">
        <f>('Data Sheet'!C19-'Data Sheet'!B19)/'Data Sheet'!B19</f>
        <v>-0.83407079646017701</v>
      </c>
      <c r="D6" s="136">
        <f>('Data Sheet'!D19-'Data Sheet'!C19)/'Data Sheet'!C19</f>
        <v>5.0133333333333328</v>
      </c>
      <c r="E6" s="136">
        <f>('Data Sheet'!E19-'Data Sheet'!D19)/'Data Sheet'!D19</f>
        <v>1.5343680709534369</v>
      </c>
      <c r="F6" s="136">
        <f>('Data Sheet'!F19-'Data Sheet'!E19)/'Data Sheet'!E19</f>
        <v>1.6115485564304464</v>
      </c>
      <c r="G6" s="136">
        <f>('Data Sheet'!G19-'Data Sheet'!F19)/'Data Sheet'!F19</f>
        <v>0.451926298157454</v>
      </c>
      <c r="H6" s="136">
        <f>('Data Sheet'!H19-'Data Sheet'!G19)/'Data Sheet'!G19</f>
        <v>-1.5122288878634056</v>
      </c>
      <c r="I6" s="136">
        <f>('Data Sheet'!I19-'Data Sheet'!H19)/'Data Sheet'!H19</f>
        <v>-2.2058558558558561</v>
      </c>
      <c r="J6" s="136">
        <f>('Data Sheet'!J19-'Data Sheet'!I19)/'Data Sheet'!I19</f>
        <v>-0.38924168845722817</v>
      </c>
      <c r="K6" s="136">
        <f>('Data Sheet'!K19-'Data Sheet'!J19)/'Data Sheet'!J19</f>
        <v>-0.74006116207951078</v>
      </c>
      <c r="L6" s="136"/>
      <c r="M6" s="136">
        <f t="shared" si="0"/>
        <v>0.37637886646186691</v>
      </c>
      <c r="N6" s="32">
        <f t="shared" si="1"/>
        <v>-0.80381648592733601</v>
      </c>
      <c r="O6" s="32">
        <f t="shared" si="2"/>
        <v>-1.1117195687975316</v>
      </c>
    </row>
    <row r="7" spans="1:15" s="18" customFormat="1" hidden="1">
      <c r="A7" s="57" t="s">
        <v>73</v>
      </c>
      <c r="B7" s="45"/>
      <c r="C7" s="136">
        <f>('Data Sheet'!C20-'Data Sheet'!B20)/'Data Sheet'!B20</f>
        <v>1.4416775884665835E-2</v>
      </c>
      <c r="D7" s="136">
        <f>('Data Sheet'!D20-'Data Sheet'!C20)/'Data Sheet'!C20</f>
        <v>0.43410852713178288</v>
      </c>
      <c r="E7" s="136">
        <f>('Data Sheet'!E20-'Data Sheet'!D20)/'Data Sheet'!D20</f>
        <v>0.26396396396396393</v>
      </c>
      <c r="F7" s="136">
        <f>('Data Sheet'!F20-'Data Sheet'!E20)/'Data Sheet'!E20</f>
        <v>3.0648610121169033E-2</v>
      </c>
      <c r="G7" s="136">
        <f>('Data Sheet'!G20-'Data Sheet'!F20)/'Data Sheet'!F20</f>
        <v>0.18049792531120326</v>
      </c>
      <c r="H7" s="136">
        <f>('Data Sheet'!H20-'Data Sheet'!G20)/'Data Sheet'!G20</f>
        <v>0.14704159343878137</v>
      </c>
      <c r="I7" s="136">
        <f>('Data Sheet'!I20-'Data Sheet'!H20)/'Data Sheet'!H20</f>
        <v>0.16241062308478058</v>
      </c>
      <c r="J7" s="136">
        <f>('Data Sheet'!J20-'Data Sheet'!I20)/'Data Sheet'!I20</f>
        <v>0.4358523725834797</v>
      </c>
      <c r="K7" s="136">
        <f>('Data Sheet'!K20-'Data Sheet'!J20)/'Data Sheet'!J20</f>
        <v>0.15789473684210537</v>
      </c>
      <c r="L7" s="136"/>
      <c r="M7" s="136">
        <f t="shared" si="0"/>
        <v>0.18124183524772661</v>
      </c>
      <c r="N7" s="32">
        <f t="shared" si="1"/>
        <v>0.25298781730161535</v>
      </c>
      <c r="O7" s="32">
        <f t="shared" si="2"/>
        <v>0.25205257750345522</v>
      </c>
    </row>
    <row r="8" spans="1:15" s="18" customFormat="1" hidden="1">
      <c r="A8" s="57" t="s">
        <v>74</v>
      </c>
      <c r="B8" s="45"/>
      <c r="C8" s="136">
        <f>('Data Sheet'!C21-'Data Sheet'!B21)/'Data Sheet'!B21</f>
        <v>0.12172158708809688</v>
      </c>
      <c r="D8" s="136">
        <f>('Data Sheet'!D21-'Data Sheet'!C21)/'Data Sheet'!C21</f>
        <v>-9.592326139088737E-3</v>
      </c>
      <c r="E8" s="136">
        <f>('Data Sheet'!E21-'Data Sheet'!D21)/'Data Sheet'!D21</f>
        <v>0.30447941888619862</v>
      </c>
      <c r="F8" s="136">
        <f>('Data Sheet'!F21-'Data Sheet'!E21)/'Data Sheet'!E21</f>
        <v>2.5522041763341101E-2</v>
      </c>
      <c r="G8" s="136">
        <f>('Data Sheet'!G21-'Data Sheet'!F21)/'Data Sheet'!F21</f>
        <v>0.16289592760180985</v>
      </c>
      <c r="H8" s="136">
        <f>('Data Sheet'!H21-'Data Sheet'!G21)/'Data Sheet'!G21</f>
        <v>2.8350194552529184</v>
      </c>
      <c r="I8" s="136">
        <f>('Data Sheet'!I21-'Data Sheet'!H21)/'Data Sheet'!H21</f>
        <v>0.23062094155844159</v>
      </c>
      <c r="J8" s="136">
        <f>('Data Sheet'!J21-'Data Sheet'!I21)/'Data Sheet'!I21</f>
        <v>0.15434083601286161</v>
      </c>
      <c r="K8" s="136">
        <f>('Data Sheet'!K21-'Data Sheet'!J21)/'Data Sheet'!J21</f>
        <v>0.10249267909435057</v>
      </c>
      <c r="L8" s="136"/>
      <c r="M8" s="136">
        <f t="shared" si="0"/>
        <v>0.38057789740308329</v>
      </c>
      <c r="N8" s="32">
        <f t="shared" si="1"/>
        <v>0.77318954738469303</v>
      </c>
      <c r="O8" s="32">
        <f t="shared" si="2"/>
        <v>0.16248481888855126</v>
      </c>
    </row>
    <row r="9" spans="1:15" s="18" customFormat="1" hidden="1">
      <c r="A9" s="57" t="s">
        <v>75</v>
      </c>
      <c r="B9" s="45"/>
      <c r="C9" s="136">
        <f>('Data Sheet'!C22-'Data Sheet'!B22)/'Data Sheet'!B22</f>
        <v>-0.3251518218623482</v>
      </c>
      <c r="D9" s="136">
        <f>('Data Sheet'!D22-'Data Sheet'!C22)/'Data Sheet'!C22</f>
        <v>0.24718785151856021</v>
      </c>
      <c r="E9" s="136">
        <f>('Data Sheet'!E22-'Data Sheet'!D22)/'Data Sheet'!D22</f>
        <v>6.501315295001861E-2</v>
      </c>
      <c r="F9" s="136">
        <f>('Data Sheet'!F22-'Data Sheet'!E22)/'Data Sheet'!E22</f>
        <v>0.36358503881439669</v>
      </c>
      <c r="G9" s="136">
        <f>('Data Sheet'!G22-'Data Sheet'!F22)/'Data Sheet'!F22</f>
        <v>0.11587827347065528</v>
      </c>
      <c r="H9" s="136">
        <f>('Data Sheet'!H22-'Data Sheet'!G22)/'Data Sheet'!G22</f>
        <v>0.15690366866100822</v>
      </c>
      <c r="I9" s="136">
        <f>('Data Sheet'!I22-'Data Sheet'!H22)/'Data Sheet'!H22</f>
        <v>-0.1509781911481719</v>
      </c>
      <c r="J9" s="136">
        <f>('Data Sheet'!J22-'Data Sheet'!I22)/'Data Sheet'!I22</f>
        <v>0.22263669846066675</v>
      </c>
      <c r="K9" s="136">
        <f>('Data Sheet'!K22-'Data Sheet'!J22)/'Data Sheet'!J22</f>
        <v>0.15494535202564402</v>
      </c>
      <c r="L9" s="136"/>
      <c r="M9" s="136">
        <f t="shared" si="0"/>
        <v>0.11751718447527779</v>
      </c>
      <c r="N9" s="32">
        <f t="shared" si="1"/>
        <v>0.12338059718901603</v>
      </c>
      <c r="O9" s="32">
        <f t="shared" si="2"/>
        <v>7.5534619779379628E-2</v>
      </c>
    </row>
    <row r="10" spans="1:15" s="18" customFormat="1" hidden="1">
      <c r="A10" s="57" t="s">
        <v>76</v>
      </c>
      <c r="B10" s="45"/>
      <c r="C10" s="136">
        <f>('Data Sheet'!C23-'Data Sheet'!B23)/'Data Sheet'!B23</f>
        <v>0.20843047654574284</v>
      </c>
      <c r="D10" s="136">
        <f>('Data Sheet'!D23-'Data Sheet'!C23)/'Data Sheet'!C23</f>
        <v>9.6079641920049294E-2</v>
      </c>
      <c r="E10" s="136">
        <f>('Data Sheet'!E23-'Data Sheet'!D23)/'Data Sheet'!D23</f>
        <v>0.16294679527799294</v>
      </c>
      <c r="F10" s="136">
        <f>('Data Sheet'!F23-'Data Sheet'!E23)/'Data Sheet'!E23</f>
        <v>0.19409912818856973</v>
      </c>
      <c r="G10" s="136">
        <f>('Data Sheet'!G23-'Data Sheet'!F23)/'Data Sheet'!F23</f>
        <v>0.18254182862937296</v>
      </c>
      <c r="H10" s="136">
        <f>('Data Sheet'!H23-'Data Sheet'!G23)/'Data Sheet'!G23</f>
        <v>0.18397621871918368</v>
      </c>
      <c r="I10" s="136">
        <f>('Data Sheet'!I23-'Data Sheet'!H23)/'Data Sheet'!H23</f>
        <v>0.30542948191782138</v>
      </c>
      <c r="J10" s="136">
        <f>('Data Sheet'!J23-'Data Sheet'!I23)/'Data Sheet'!I23</f>
        <v>8.8213265277816172E-2</v>
      </c>
      <c r="K10" s="136">
        <f>('Data Sheet'!K23-'Data Sheet'!J23)/'Data Sheet'!J23</f>
        <v>1.5218333375818981E-2</v>
      </c>
      <c r="L10" s="136"/>
      <c r="M10" s="136">
        <f t="shared" si="0"/>
        <v>0.1228504693306625</v>
      </c>
      <c r="N10" s="32">
        <f t="shared" si="1"/>
        <v>0.17964591945013514</v>
      </c>
      <c r="O10" s="32">
        <f t="shared" si="2"/>
        <v>0.13628702685715216</v>
      </c>
    </row>
    <row r="11" spans="1:15" s="18" customFormat="1" hidden="1">
      <c r="A11" s="57" t="s">
        <v>77</v>
      </c>
      <c r="B11" s="45"/>
      <c r="C11" s="136">
        <f>('Data Sheet'!C24-'Data Sheet'!B24)/'Data Sheet'!B24</f>
        <v>0.40520043336944755</v>
      </c>
      <c r="D11" s="136">
        <f>('Data Sheet'!D24-'Data Sheet'!C24)/'Data Sheet'!C24</f>
        <v>0.15816719903073023</v>
      </c>
      <c r="E11" s="136">
        <f>('Data Sheet'!E24-'Data Sheet'!D24)/'Data Sheet'!D24</f>
        <v>-0.16871136471707093</v>
      </c>
      <c r="F11" s="136">
        <f>('Data Sheet'!F24-'Data Sheet'!E24)/'Data Sheet'!E24</f>
        <v>-0.10639514929641915</v>
      </c>
      <c r="G11" s="136">
        <f>('Data Sheet'!G24-'Data Sheet'!F24)/'Data Sheet'!F24</f>
        <v>0.36205351427474075</v>
      </c>
      <c r="H11" s="136">
        <f>('Data Sheet'!H24-'Data Sheet'!G24)/'Data Sheet'!G24</f>
        <v>-0.42861171162703265</v>
      </c>
      <c r="I11" s="136">
        <f>('Data Sheet'!I24-'Data Sheet'!H24)/'Data Sheet'!H24</f>
        <v>0.24165158743214352</v>
      </c>
      <c r="J11" s="136">
        <f>('Data Sheet'!J24-'Data Sheet'!I24)/'Data Sheet'!I24</f>
        <v>0.10612082670906188</v>
      </c>
      <c r="K11" s="136">
        <f>('Data Sheet'!K24-'Data Sheet'!J24)/'Data Sheet'!J24</f>
        <v>-2.9704156186369506E-2</v>
      </c>
      <c r="L11" s="136"/>
      <c r="M11" s="136">
        <f t="shared" si="0"/>
        <v>1.3457074561978416E-2</v>
      </c>
      <c r="N11" s="32">
        <f t="shared" si="1"/>
        <v>5.299342703290448E-2</v>
      </c>
      <c r="O11" s="32">
        <f t="shared" si="2"/>
        <v>0.10602275265161197</v>
      </c>
    </row>
    <row r="12" spans="1:15" s="18" customFormat="1" hidden="1">
      <c r="A12" s="135" t="s">
        <v>9</v>
      </c>
      <c r="B12" s="45"/>
      <c r="C12" s="136">
        <f>('Data Sheet'!C25-'Data Sheet'!B25)/'Data Sheet'!B25</f>
        <v>0.26537313432835824</v>
      </c>
      <c r="D12" s="136">
        <f>('Data Sheet'!D25-'Data Sheet'!C25)/'Data Sheet'!C25</f>
        <v>0.27105449398443032</v>
      </c>
      <c r="E12" s="136">
        <f>('Data Sheet'!E25-'Data Sheet'!D25)/'Data Sheet'!D25</f>
        <v>-8.6302895322939971E-2</v>
      </c>
      <c r="F12" s="136">
        <f>('Data Sheet'!F25-'Data Sheet'!E25)/'Data Sheet'!E25</f>
        <v>-0.58114970546414779</v>
      </c>
      <c r="G12" s="136">
        <f>('Data Sheet'!G25-'Data Sheet'!F25)/'Data Sheet'!F25</f>
        <v>0.22914645974781753</v>
      </c>
      <c r="H12" s="136">
        <f>('Data Sheet'!H25-'Data Sheet'!G25)/'Data Sheet'!G25</f>
        <v>-1.5190372854606353E-2</v>
      </c>
      <c r="I12" s="136">
        <f>('Data Sheet'!I25-'Data Sheet'!H25)/'Data Sheet'!H25</f>
        <v>1.2976762820512819</v>
      </c>
      <c r="J12" s="136">
        <f>('Data Sheet'!J25-'Data Sheet'!I25)/'Data Sheet'!I25</f>
        <v>-0.71081081081081077</v>
      </c>
      <c r="K12" s="136">
        <f>('Data Sheet'!K25-'Data Sheet'!J25)/'Data Sheet'!J25</f>
        <v>0.19415134157371111</v>
      </c>
      <c r="L12" s="136"/>
      <c r="M12" s="136">
        <f t="shared" si="0"/>
        <v>5.9857479290473602E-2</v>
      </c>
      <c r="N12" s="32">
        <f t="shared" si="1"/>
        <v>0.21096607579957341</v>
      </c>
      <c r="O12" s="32">
        <f t="shared" si="2"/>
        <v>0.26033893760472743</v>
      </c>
    </row>
    <row r="13" spans="1:15" s="18" customFormat="1" hidden="1">
      <c r="A13" s="135" t="s">
        <v>10</v>
      </c>
      <c r="B13" s="45"/>
      <c r="C13" s="136">
        <f>('Data Sheet'!C26-'Data Sheet'!B26)/'Data Sheet'!B26</f>
        <v>0.30013106159895153</v>
      </c>
      <c r="D13" s="136">
        <f>('Data Sheet'!D26-'Data Sheet'!C26)/'Data Sheet'!C26</f>
        <v>0.1567540322580645</v>
      </c>
      <c r="E13" s="136">
        <f>('Data Sheet'!E26-'Data Sheet'!D26)/'Data Sheet'!D26</f>
        <v>0.63703703703703707</v>
      </c>
      <c r="F13" s="136">
        <f>('Data Sheet'!F26-'Data Sheet'!E26)/'Data Sheet'!E26</f>
        <v>-8.8368379025818483E-2</v>
      </c>
      <c r="G13" s="136">
        <f>('Data Sheet'!G26-'Data Sheet'!F26)/'Data Sheet'!F26</f>
        <v>0.14773722627737232</v>
      </c>
      <c r="H13" s="136">
        <f>('Data Sheet'!H26-'Data Sheet'!G26)/'Data Sheet'!G26</f>
        <v>0.11167641821419487</v>
      </c>
      <c r="I13" s="136">
        <f>('Data Sheet'!I26-'Data Sheet'!H26)/'Data Sheet'!H26</f>
        <v>0.16132723112128139</v>
      </c>
      <c r="J13" s="136">
        <f>('Data Sheet'!J26-'Data Sheet'!I26)/'Data Sheet'!I26</f>
        <v>0.47822660098522157</v>
      </c>
      <c r="K13" s="136">
        <f>('Data Sheet'!K26-'Data Sheet'!J26)/'Data Sheet'!J26</f>
        <v>0.48507064782724613</v>
      </c>
      <c r="L13" s="136"/>
      <c r="M13" s="136">
        <f t="shared" si="0"/>
        <v>0.20894608146945992</v>
      </c>
      <c r="N13" s="32">
        <f t="shared" si="1"/>
        <v>0.31859684117895526</v>
      </c>
      <c r="O13" s="32">
        <f t="shared" si="2"/>
        <v>0.37487482664458299</v>
      </c>
    </row>
    <row r="14" spans="1:15" s="18" customFormat="1" hidden="1">
      <c r="A14" s="135" t="s">
        <v>11</v>
      </c>
      <c r="B14" s="45"/>
      <c r="C14" s="136">
        <f>('Data Sheet'!C27-'Data Sheet'!B27)/'Data Sheet'!B27</f>
        <v>0.46938775510204078</v>
      </c>
      <c r="D14" s="136">
        <f>('Data Sheet'!D27-'Data Sheet'!C27)/'Data Sheet'!C27</f>
        <v>-0.23611111111111102</v>
      </c>
      <c r="E14" s="136">
        <f>('Data Sheet'!E27-'Data Sheet'!D27)/'Data Sheet'!D27</f>
        <v>0.36363636363636354</v>
      </c>
      <c r="F14" s="136">
        <f>('Data Sheet'!F27-'Data Sheet'!E27)/'Data Sheet'!E27</f>
        <v>7.3333333333333403E-2</v>
      </c>
      <c r="G14" s="136">
        <f>('Data Sheet'!G27-'Data Sheet'!F27)/'Data Sheet'!F27</f>
        <v>-6.211180124223608E-2</v>
      </c>
      <c r="H14" s="136">
        <f>('Data Sheet'!H27-'Data Sheet'!G27)/'Data Sheet'!G27</f>
        <v>-1</v>
      </c>
      <c r="I14" s="136" t="e">
        <f>('Data Sheet'!I27-'Data Sheet'!H27)/'Data Sheet'!H27</f>
        <v>#DIV/0!</v>
      </c>
      <c r="J14" s="136" t="e">
        <f>('Data Sheet'!J27-'Data Sheet'!I27)/'Data Sheet'!I27</f>
        <v>#DIV/0!</v>
      </c>
      <c r="K14" s="136" t="e">
        <f>('Data Sheet'!K27-'Data Sheet'!J27)/'Data Sheet'!J27</f>
        <v>#DIV/0!</v>
      </c>
      <c r="L14" s="136"/>
      <c r="M14" s="136" t="e">
        <f t="shared" si="0"/>
        <v>#DIV/0!</v>
      </c>
      <c r="N14" s="32" t="e">
        <f t="shared" si="1"/>
        <v>#DIV/0!</v>
      </c>
      <c r="O14" s="32" t="e">
        <f t="shared" si="2"/>
        <v>#DIV/0!</v>
      </c>
    </row>
    <row r="15" spans="1:15" s="18" customFormat="1" hidden="1">
      <c r="A15" s="135" t="s">
        <v>12</v>
      </c>
      <c r="B15" s="45"/>
      <c r="C15" s="136">
        <f>('Data Sheet'!C28-'Data Sheet'!B28)/'Data Sheet'!B28</f>
        <v>0.44858885967957934</v>
      </c>
      <c r="D15" s="136">
        <f>('Data Sheet'!D28-'Data Sheet'!C28)/'Data Sheet'!C28</f>
        <v>0.18236603321349079</v>
      </c>
      <c r="E15" s="136">
        <f>('Data Sheet'!E28-'Data Sheet'!D28)/'Data Sheet'!D28</f>
        <v>0.40395586574382442</v>
      </c>
      <c r="F15" s="136">
        <f>('Data Sheet'!F28-'Data Sheet'!E28)/'Data Sheet'!E28</f>
        <v>7.2483498349835071E-2</v>
      </c>
      <c r="G15" s="136">
        <f>('Data Sheet'!G28-'Data Sheet'!F28)/'Data Sheet'!F28</f>
        <v>0.13164980574681678</v>
      </c>
      <c r="H15" s="136">
        <f>('Data Sheet'!H28-'Data Sheet'!G28)/'Data Sheet'!G28</f>
        <v>0.12685463723040838</v>
      </c>
      <c r="I15" s="136">
        <f>('Data Sheet'!I28-'Data Sheet'!H28)/'Data Sheet'!H28</f>
        <v>9.7929203806766008E-2</v>
      </c>
      <c r="J15" s="136">
        <f>('Data Sheet'!J28-'Data Sheet'!I28)/'Data Sheet'!I28</f>
        <v>7.2023188087257467E-2</v>
      </c>
      <c r="K15" s="136">
        <f>('Data Sheet'!K28-'Data Sheet'!J28)/'Data Sheet'!J28</f>
        <v>6.1200169146196123E-2</v>
      </c>
      <c r="L15" s="136"/>
      <c r="M15" s="136">
        <f t="shared" si="0"/>
        <v>0.1148462401324595</v>
      </c>
      <c r="N15" s="32">
        <f t="shared" si="1"/>
        <v>0.12090064882998086</v>
      </c>
      <c r="O15" s="32">
        <f t="shared" si="2"/>
        <v>7.7050853680073195E-2</v>
      </c>
    </row>
    <row r="16" spans="1:15" s="18" customFormat="1" hidden="1">
      <c r="A16" s="135" t="s">
        <v>13</v>
      </c>
      <c r="B16" s="45"/>
      <c r="C16" s="136">
        <f>('Data Sheet'!C29-'Data Sheet'!B29)/'Data Sheet'!B29</f>
        <v>0.45608108108108125</v>
      </c>
      <c r="D16" s="136">
        <f>('Data Sheet'!D29-'Data Sheet'!C29)/'Data Sheet'!C29</f>
        <v>-8.7006960556844537E-2</v>
      </c>
      <c r="E16" s="136">
        <f>('Data Sheet'!E29-'Data Sheet'!D29)/'Data Sheet'!D29</f>
        <v>0.11708113995280442</v>
      </c>
      <c r="F16" s="136">
        <f>('Data Sheet'!F29-'Data Sheet'!E29)/'Data Sheet'!E29</f>
        <v>0.90705232369190769</v>
      </c>
      <c r="G16" s="136">
        <f>('Data Sheet'!G29-'Data Sheet'!F29)/'Data Sheet'!F29</f>
        <v>0.209270620313565</v>
      </c>
      <c r="H16" s="136">
        <f>('Data Sheet'!H29-'Data Sheet'!G29)/'Data Sheet'!G29</f>
        <v>0.17157553551296523</v>
      </c>
      <c r="I16" s="136">
        <f>('Data Sheet'!I29-'Data Sheet'!H29)/'Data Sheet'!H29</f>
        <v>0.13123233295242673</v>
      </c>
      <c r="J16" s="136">
        <f>('Data Sheet'!J29-'Data Sheet'!I29)/'Data Sheet'!I29</f>
        <v>0.17714923706736133</v>
      </c>
      <c r="K16" s="136">
        <f>('Data Sheet'!K29-'Data Sheet'!J29)/'Data Sheet'!J29</f>
        <v>0.13653403188654528</v>
      </c>
      <c r="L16" s="136"/>
      <c r="M16" s="136">
        <f t="shared" si="0"/>
        <v>0.17628882608207314</v>
      </c>
      <c r="N16" s="32">
        <f t="shared" si="1"/>
        <v>0.20041011676298734</v>
      </c>
      <c r="O16" s="32">
        <f t="shared" si="2"/>
        <v>0.14830520063544445</v>
      </c>
    </row>
    <row r="17" spans="1:15" s="18" customFormat="1" hidden="1">
      <c r="A17" s="135" t="s">
        <v>14</v>
      </c>
      <c r="B17" s="45"/>
      <c r="C17" s="136">
        <f>('Data Sheet'!C30-'Data Sheet'!B30)/'Data Sheet'!B30</f>
        <v>0.44665043391396658</v>
      </c>
      <c r="D17" s="136">
        <f>('Data Sheet'!D30-'Data Sheet'!C30)/'Data Sheet'!C30</f>
        <v>0.25251391825989389</v>
      </c>
      <c r="E17" s="136">
        <f>('Data Sheet'!E30-'Data Sheet'!D30)/'Data Sheet'!D30</f>
        <v>0.45841086072634535</v>
      </c>
      <c r="F17" s="136">
        <f>('Data Sheet'!F30-'Data Sheet'!E30)/'Data Sheet'!E30</f>
        <v>-4.8858857439871492E-2</v>
      </c>
      <c r="G17" s="136">
        <f>('Data Sheet'!G30-'Data Sheet'!F30)/'Data Sheet'!F30</f>
        <v>0.10902180932982275</v>
      </c>
      <c r="H17" s="136">
        <f>('Data Sheet'!H30-'Data Sheet'!G30)/'Data Sheet'!G30</f>
        <v>0.11261674916567736</v>
      </c>
      <c r="I17" s="136">
        <f>('Data Sheet'!I30-'Data Sheet'!H30)/'Data Sheet'!H30</f>
        <v>8.6804227478610982E-2</v>
      </c>
      <c r="J17" s="136">
        <f>('Data Sheet'!J30-'Data Sheet'!I30)/'Data Sheet'!I30</f>
        <v>3.5397410487710029E-2</v>
      </c>
      <c r="K17" s="136">
        <f>('Data Sheet'!K30-'Data Sheet'!J30)/'Data Sheet'!J30</f>
        <v>3.1360692690257201E-2</v>
      </c>
      <c r="L17" s="136">
        <f>('Profit &amp; Loss'!L12-'Profit &amp; Loss'!K12)/'Profit &amp; Loss'!K12</f>
        <v>7.3372534734870484E-3</v>
      </c>
      <c r="M17" s="136">
        <f t="shared" si="0"/>
        <v>0.10372668106984459</v>
      </c>
      <c r="N17" s="32">
        <f t="shared" si="1"/>
        <v>9.7252964739082001E-2</v>
      </c>
      <c r="O17" s="32">
        <f t="shared" si="2"/>
        <v>5.1187443552192735E-2</v>
      </c>
    </row>
    <row r="18" spans="1:15" s="18" customFormat="1" hidden="1">
      <c r="A18" s="135" t="s">
        <v>61</v>
      </c>
      <c r="B18" s="45"/>
      <c r="C18" s="136">
        <f>('Data Sheet'!C31-'Data Sheet'!B31)/'Data Sheet'!B31</f>
        <v>0.36834365325077406</v>
      </c>
      <c r="D18" s="136">
        <f>('Data Sheet'!D31-'Data Sheet'!C31)/'Data Sheet'!C31</f>
        <v>0.15385485604389398</v>
      </c>
      <c r="E18" s="136">
        <f>('Data Sheet'!E31-'Data Sheet'!D31)/'Data Sheet'!D31</f>
        <v>0.33330065199274478</v>
      </c>
      <c r="F18" s="136">
        <f>('Data Sheet'!F31-'Data Sheet'!E31)/'Data Sheet'!E31</f>
        <v>0.10000735348187362</v>
      </c>
      <c r="G18" s="136">
        <f>('Data Sheet'!G31-'Data Sheet'!F31)/'Data Sheet'!F31</f>
        <v>0.13637275218931749</v>
      </c>
      <c r="H18" s="136">
        <f>('Data Sheet'!H31-'Data Sheet'!G31)/'Data Sheet'!G31</f>
        <v>0.12000705923877861</v>
      </c>
      <c r="I18" s="136">
        <f>('Data Sheet'!I31-'Data Sheet'!H31)/'Data Sheet'!H31</f>
        <v>-3.5716161563107217E-2</v>
      </c>
      <c r="J18" s="136">
        <f>('Data Sheet'!J31-'Data Sheet'!I31)/'Data Sheet'!I31</f>
        <v>-0.11111716324418544</v>
      </c>
      <c r="K18" s="136">
        <f>('Data Sheet'!K31-'Data Sheet'!J31)/'Data Sheet'!J31</f>
        <v>-0.16664624057846678</v>
      </c>
      <c r="L18" s="136"/>
      <c r="M18" s="136">
        <f t="shared" si="0"/>
        <v>5.3006310756084918E-2</v>
      </c>
      <c r="N18" s="32">
        <f t="shared" si="1"/>
        <v>-8.1868864031569015E-4</v>
      </c>
      <c r="O18" s="32">
        <f t="shared" si="2"/>
        <v>-0.10449318846191981</v>
      </c>
    </row>
    <row r="19" spans="1:15" s="18" customFormat="1" hidden="1">
      <c r="A19" s="135"/>
      <c r="B19" s="4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>
        <f t="shared" si="0"/>
        <v>0</v>
      </c>
      <c r="N19" s="32">
        <f t="shared" si="1"/>
        <v>0</v>
      </c>
      <c r="O19" s="32">
        <f t="shared" si="2"/>
        <v>0</v>
      </c>
    </row>
    <row r="20" spans="1:15" s="18" customFormat="1" ht="18" hidden="1">
      <c r="A20" s="137" t="s">
        <v>99</v>
      </c>
      <c r="B20" s="4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>
        <f t="shared" si="0"/>
        <v>0</v>
      </c>
      <c r="N20" s="32">
        <f t="shared" si="1"/>
        <v>0</v>
      </c>
      <c r="O20" s="32">
        <f t="shared" si="2"/>
        <v>0</v>
      </c>
    </row>
    <row r="21" spans="1:15" s="18" customFormat="1" hidden="1">
      <c r="A21" s="138" t="s">
        <v>40</v>
      </c>
      <c r="B21" s="4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>
        <f t="shared" si="0"/>
        <v>0</v>
      </c>
      <c r="N21" s="32">
        <f t="shared" si="1"/>
        <v>0</v>
      </c>
      <c r="O21" s="32">
        <f t="shared" si="2"/>
        <v>0</v>
      </c>
    </row>
    <row r="22" spans="1:15" s="18" customFormat="1" hidden="1">
      <c r="A22" s="135" t="s">
        <v>24</v>
      </c>
      <c r="B22" s="45"/>
      <c r="C22" s="136">
        <f>('Data Sheet'!C57-'Data Sheet'!B57)/'Data Sheet'!B57</f>
        <v>-0.89999264651812638</v>
      </c>
      <c r="D22" s="136">
        <f>('Data Sheet'!D57-'Data Sheet'!C57)/'Data Sheet'!C57</f>
        <v>0</v>
      </c>
      <c r="E22" s="136">
        <f>('Data Sheet'!E57-'Data Sheet'!D57)/'Data Sheet'!D57</f>
        <v>0</v>
      </c>
      <c r="F22" s="136">
        <f>('Data Sheet'!F57-'Data Sheet'!E57)/'Data Sheet'!E57</f>
        <v>0</v>
      </c>
      <c r="G22" s="136">
        <f>('Data Sheet'!G57-'Data Sheet'!F57)/'Data Sheet'!F57</f>
        <v>0</v>
      </c>
      <c r="H22" s="136">
        <f>('Data Sheet'!H57-'Data Sheet'!G57)/'Data Sheet'!G57</f>
        <v>0</v>
      </c>
      <c r="I22" s="136">
        <f>('Data Sheet'!I57-'Data Sheet'!H57)/'Data Sheet'!H57</f>
        <v>0</v>
      </c>
      <c r="J22" s="136">
        <f>('Data Sheet'!J57-'Data Sheet'!I57)/'Data Sheet'!I57</f>
        <v>0</v>
      </c>
      <c r="K22" s="136">
        <f>('Data Sheet'!K57-'Data Sheet'!J57)/'Data Sheet'!J57</f>
        <v>1</v>
      </c>
      <c r="L22" s="136"/>
      <c r="M22" s="136">
        <f t="shared" si="0"/>
        <v>0.1</v>
      </c>
      <c r="N22" s="32">
        <f t="shared" si="1"/>
        <v>0.22000000000000003</v>
      </c>
      <c r="O22" s="32">
        <f t="shared" si="2"/>
        <v>0.33333333333333331</v>
      </c>
    </row>
    <row r="23" spans="1:15" s="18" customFormat="1" hidden="1">
      <c r="A23" s="135" t="s">
        <v>25</v>
      </c>
      <c r="B23" s="45"/>
      <c r="C23" s="136">
        <f>('Data Sheet'!C58-'Data Sheet'!B58)/'Data Sheet'!B58</f>
        <v>2.8229433335639747E-2</v>
      </c>
      <c r="D23" s="136">
        <f>('Data Sheet'!D58-'Data Sheet'!C58)/'Data Sheet'!C58</f>
        <v>0.36397281475001664</v>
      </c>
      <c r="E23" s="136">
        <f>('Data Sheet'!E58-'Data Sheet'!D58)/'Data Sheet'!D58</f>
        <v>0.54173655648741992</v>
      </c>
      <c r="F23" s="136">
        <f>('Data Sheet'!F58-'Data Sheet'!E58)/'Data Sheet'!E58</f>
        <v>0.18540206713385171</v>
      </c>
      <c r="G23" s="136">
        <f>('Data Sheet'!G58-'Data Sheet'!F58)/'Data Sheet'!F58</f>
        <v>0.1385882035362398</v>
      </c>
      <c r="H23" s="136">
        <f>('Data Sheet'!H58-'Data Sheet'!G58)/'Data Sheet'!G58</f>
        <v>0.12849996443727918</v>
      </c>
      <c r="I23" s="136">
        <f>('Data Sheet'!I58-'Data Sheet'!H58)/'Data Sheet'!H58</f>
        <v>0.23170654845690028</v>
      </c>
      <c r="J23" s="136">
        <f>('Data Sheet'!J58-'Data Sheet'!I58)/'Data Sheet'!I58</f>
        <v>0.29071433444770428</v>
      </c>
      <c r="K23" s="136">
        <f>('Data Sheet'!K58-'Data Sheet'!J58)/'Data Sheet'!J58</f>
        <v>0.31127761919864672</v>
      </c>
      <c r="L23" s="136"/>
      <c r="M23" s="136">
        <f t="shared" si="0"/>
        <v>0.21918981084480588</v>
      </c>
      <c r="N23" s="32">
        <f t="shared" si="1"/>
        <v>0.26399529618431522</v>
      </c>
      <c r="O23" s="32">
        <f t="shared" si="2"/>
        <v>0.27789950070108377</v>
      </c>
    </row>
    <row r="24" spans="1:15" s="18" customFormat="1" hidden="1">
      <c r="A24" s="135" t="s">
        <v>62</v>
      </c>
      <c r="B24" s="45"/>
      <c r="C24" s="136">
        <f>('Data Sheet'!C59-'Data Sheet'!B59)/'Data Sheet'!B59</f>
        <v>9.579439252336451E-2</v>
      </c>
      <c r="D24" s="136">
        <f>('Data Sheet'!D59-'Data Sheet'!C59)/'Data Sheet'!C59</f>
        <v>0</v>
      </c>
      <c r="E24" s="136">
        <f>('Data Sheet'!E59-'Data Sheet'!D59)/'Data Sheet'!D59</f>
        <v>-2.1321961620469194E-2</v>
      </c>
      <c r="F24" s="136">
        <f>('Data Sheet'!F59-'Data Sheet'!E59)/'Data Sheet'!E59</f>
        <v>-0.98910675381263624</v>
      </c>
      <c r="G24" s="136">
        <f>('Data Sheet'!G59-'Data Sheet'!F59)/'Data Sheet'!F59</f>
        <v>0</v>
      </c>
      <c r="H24" s="136">
        <f>('Data Sheet'!H59-'Data Sheet'!G59)/'Data Sheet'!G59</f>
        <v>-1</v>
      </c>
      <c r="I24" s="136" t="e">
        <f>('Data Sheet'!I59-'Data Sheet'!H59)/'Data Sheet'!H59</f>
        <v>#DIV/0!</v>
      </c>
      <c r="J24" s="136" t="e">
        <f>('Data Sheet'!J59-'Data Sheet'!I59)/'Data Sheet'!I59</f>
        <v>#DIV/0!</v>
      </c>
      <c r="K24" s="136" t="e">
        <f>('Data Sheet'!K59-'Data Sheet'!J59)/'Data Sheet'!J59</f>
        <v>#DIV/0!</v>
      </c>
      <c r="L24" s="136"/>
      <c r="M24" s="136" t="e">
        <f t="shared" si="0"/>
        <v>#DIV/0!</v>
      </c>
      <c r="N24" s="32" t="e">
        <f t="shared" si="1"/>
        <v>#DIV/0!</v>
      </c>
      <c r="O24" s="32" t="e">
        <f t="shared" si="2"/>
        <v>#DIV/0!</v>
      </c>
    </row>
    <row r="25" spans="1:15" s="18" customFormat="1" hidden="1">
      <c r="A25" s="135" t="s">
        <v>63</v>
      </c>
      <c r="B25" s="45"/>
      <c r="C25" s="136">
        <f>('Data Sheet'!C60-'Data Sheet'!B60)/'Data Sheet'!B60</f>
        <v>0.26360688909839269</v>
      </c>
      <c r="D25" s="136">
        <f>('Data Sheet'!D60-'Data Sheet'!C60)/'Data Sheet'!C60</f>
        <v>3.4938947828144135E-2</v>
      </c>
      <c r="E25" s="136">
        <f>('Data Sheet'!E60-'Data Sheet'!D60)/'Data Sheet'!D60</f>
        <v>3.5869393209430902E-3</v>
      </c>
      <c r="F25" s="136">
        <f>('Data Sheet'!F60-'Data Sheet'!E60)/'Data Sheet'!E60</f>
        <v>0.17006850395080339</v>
      </c>
      <c r="G25" s="136">
        <f>('Data Sheet'!G60-'Data Sheet'!F60)/'Data Sheet'!F60</f>
        <v>6.5075467177767007E-2</v>
      </c>
      <c r="H25" s="136">
        <f>('Data Sheet'!H60-'Data Sheet'!G60)/'Data Sheet'!G60</f>
        <v>0.17434275270631239</v>
      </c>
      <c r="I25" s="136">
        <f>('Data Sheet'!I60-'Data Sheet'!H60)/'Data Sheet'!H60</f>
        <v>9.9436137481893033E-2</v>
      </c>
      <c r="J25" s="136">
        <f>('Data Sheet'!J60-'Data Sheet'!I60)/'Data Sheet'!I60</f>
        <v>4.8096083277981594E-2</v>
      </c>
      <c r="K25" s="136">
        <f>('Data Sheet'!K60-'Data Sheet'!J60)/'Data Sheet'!J60</f>
        <v>-8.9139152658590064E-3</v>
      </c>
      <c r="L25" s="136"/>
      <c r="M25" s="136">
        <f t="shared" si="0"/>
        <v>5.8663091647798551E-2</v>
      </c>
      <c r="N25" s="32">
        <f t="shared" si="1"/>
        <v>8.7339923405178724E-2</v>
      </c>
      <c r="O25" s="32">
        <f t="shared" si="2"/>
        <v>4.6206101831338546E-2</v>
      </c>
    </row>
    <row r="26" spans="1:15" s="18" customFormat="1" hidden="1">
      <c r="A26" s="138" t="s">
        <v>26</v>
      </c>
      <c r="B26" s="45"/>
      <c r="C26" s="136">
        <f>('Data Sheet'!C61-'Data Sheet'!B61)/'Data Sheet'!B61</f>
        <v>-4.5297280773667885E-3</v>
      </c>
      <c r="D26" s="136">
        <f>('Data Sheet'!D61-'Data Sheet'!C61)/'Data Sheet'!C61</f>
        <v>0.10229889870608445</v>
      </c>
      <c r="E26" s="136">
        <f>('Data Sheet'!E61-'Data Sheet'!D61)/'Data Sheet'!D61</f>
        <v>0.14150585017474548</v>
      </c>
      <c r="F26" s="136">
        <f>('Data Sheet'!F61-'Data Sheet'!E61)/'Data Sheet'!E61</f>
        <v>0.16691625899919024</v>
      </c>
      <c r="G26" s="136">
        <f>('Data Sheet'!G61-'Data Sheet'!F61)/'Data Sheet'!F61</f>
        <v>9.0119208319866098E-2</v>
      </c>
      <c r="H26" s="136">
        <f>('Data Sheet'!H61-'Data Sheet'!G61)/'Data Sheet'!G61</f>
        <v>0.15536215707135015</v>
      </c>
      <c r="I26" s="136">
        <f>('Data Sheet'!I61-'Data Sheet'!H61)/'Data Sheet'!H61</f>
        <v>0.14593554230507955</v>
      </c>
      <c r="J26" s="136">
        <f>('Data Sheet'!J61-'Data Sheet'!I61)/'Data Sheet'!I61</f>
        <v>0.14135353202700471</v>
      </c>
      <c r="K26" s="136">
        <f>('Data Sheet'!K61-'Data Sheet'!J61)/'Data Sheet'!J61</f>
        <v>0.1388282954191338</v>
      </c>
      <c r="L26" s="136"/>
      <c r="M26" s="136">
        <f t="shared" si="0"/>
        <v>0.10823197430224545</v>
      </c>
      <c r="N26" s="32">
        <f t="shared" si="1"/>
        <v>0.15596614188893593</v>
      </c>
      <c r="O26" s="32">
        <f t="shared" si="2"/>
        <v>0.14203912325040602</v>
      </c>
    </row>
    <row r="27" spans="1:15" s="18" customFormat="1" hidden="1">
      <c r="A27" s="135" t="s">
        <v>27</v>
      </c>
      <c r="B27" s="45"/>
      <c r="C27" s="136">
        <f>('Data Sheet'!C62-'Data Sheet'!B62)/'Data Sheet'!B62</f>
        <v>0.14139185401633972</v>
      </c>
      <c r="D27" s="136">
        <f>('Data Sheet'!D62-'Data Sheet'!C62)/'Data Sheet'!C62</f>
        <v>-9.1274817136886094E-2</v>
      </c>
      <c r="E27" s="136">
        <f>('Data Sheet'!E62-'Data Sheet'!D62)/'Data Sheet'!D62</f>
        <v>0.41982406715345244</v>
      </c>
      <c r="F27" s="136">
        <f>('Data Sheet'!F62-'Data Sheet'!E62)/'Data Sheet'!E62</f>
        <v>3.2800161976108619E-2</v>
      </c>
      <c r="G27" s="136">
        <f>('Data Sheet'!G62-'Data Sheet'!F62)/'Data Sheet'!F62</f>
        <v>-2.4701039011959373E-3</v>
      </c>
      <c r="H27" s="136">
        <f>('Data Sheet'!H62-'Data Sheet'!G62)/'Data Sheet'!G62</f>
        <v>0.1031365458690356</v>
      </c>
      <c r="I27" s="136">
        <f>('Data Sheet'!I62-'Data Sheet'!H62)/'Data Sheet'!H62</f>
        <v>0.98072400769614454</v>
      </c>
      <c r="J27" s="136">
        <f>('Data Sheet'!J62-'Data Sheet'!I62)/'Data Sheet'!I62</f>
        <v>0.40594700581029319</v>
      </c>
      <c r="K27" s="136">
        <f>('Data Sheet'!K62-'Data Sheet'!J62)/'Data Sheet'!J62</f>
        <v>0.28987435707157289</v>
      </c>
      <c r="L27" s="136"/>
      <c r="M27" s="136">
        <f t="shared" si="0"/>
        <v>0.21385612245385252</v>
      </c>
      <c r="N27" s="32">
        <f t="shared" si="1"/>
        <v>0.39821358699994053</v>
      </c>
      <c r="O27" s="32">
        <f t="shared" si="2"/>
        <v>0.55884845685933693</v>
      </c>
    </row>
    <row r="28" spans="1:15" s="18" customFormat="1" hidden="1">
      <c r="A28" s="135" t="s">
        <v>28</v>
      </c>
      <c r="B28" s="45"/>
      <c r="C28" s="136">
        <f>('Data Sheet'!C63-'Data Sheet'!B63)/'Data Sheet'!B63</f>
        <v>-0.6881676253081348</v>
      </c>
      <c r="D28" s="136">
        <f>('Data Sheet'!D63-'Data Sheet'!C63)/'Data Sheet'!C63</f>
        <v>-0.38471673254281952</v>
      </c>
      <c r="E28" s="136">
        <f>('Data Sheet'!E63-'Data Sheet'!D63)/'Data Sheet'!D63</f>
        <v>0.32548179871520355</v>
      </c>
      <c r="F28" s="136">
        <f>('Data Sheet'!F63-'Data Sheet'!E63)/'Data Sheet'!E63</f>
        <v>0.32633279483037164</v>
      </c>
      <c r="G28" s="136">
        <f>('Data Sheet'!G63-'Data Sheet'!F63)/'Data Sheet'!F63</f>
        <v>7.450669914738123</v>
      </c>
      <c r="H28" s="136">
        <f>('Data Sheet'!H63-'Data Sheet'!G63)/'Data Sheet'!G63</f>
        <v>0.46958777745748054</v>
      </c>
      <c r="I28" s="136">
        <f>('Data Sheet'!I63-'Data Sheet'!H63)/'Data Sheet'!H63</f>
        <v>0.38789721459395843</v>
      </c>
      <c r="J28" s="136">
        <f>('Data Sheet'!J63-'Data Sheet'!I63)/'Data Sheet'!I63</f>
        <v>-2.3319906720371997E-3</v>
      </c>
      <c r="K28" s="136">
        <f>('Data Sheet'!K63-'Data Sheet'!J63)/'Data Sheet'!J63</f>
        <v>-0.44489304434055815</v>
      </c>
      <c r="L28" s="136"/>
      <c r="M28" s="136">
        <f t="shared" si="0"/>
        <v>0.81280277327797246</v>
      </c>
      <c r="N28" s="32">
        <f t="shared" si="1"/>
        <v>1.734746529010988</v>
      </c>
      <c r="O28" s="32">
        <f t="shared" si="2"/>
        <v>-1.9775940139545645E-2</v>
      </c>
    </row>
    <row r="29" spans="1:15" s="18" customFormat="1" hidden="1">
      <c r="A29" s="135" t="s">
        <v>29</v>
      </c>
      <c r="B29" s="45"/>
      <c r="C29" s="136">
        <f>('Data Sheet'!C64-'Data Sheet'!B64)/'Data Sheet'!B64</f>
        <v>-0.45560221988900551</v>
      </c>
      <c r="D29" s="136">
        <f>('Data Sheet'!D64-'Data Sheet'!C64)/'Data Sheet'!C64</f>
        <v>-0.47196583551453375</v>
      </c>
      <c r="E29" s="136">
        <f>('Data Sheet'!E64-'Data Sheet'!D64)/'Data Sheet'!D64</f>
        <v>-0.45212627184972604</v>
      </c>
      <c r="F29" s="136">
        <f>('Data Sheet'!F64-'Data Sheet'!E64)/'Data Sheet'!E64</f>
        <v>0.84476190476190482</v>
      </c>
      <c r="G29" s="136">
        <f>('Data Sheet'!G64-'Data Sheet'!F64)/'Data Sheet'!F64</f>
        <v>0.21631388745482694</v>
      </c>
      <c r="H29" s="136">
        <f>('Data Sheet'!H64-'Data Sheet'!G64)/'Data Sheet'!G64</f>
        <v>0</v>
      </c>
      <c r="I29" s="136">
        <f>('Data Sheet'!I64-'Data Sheet'!H64)/'Data Sheet'!H64</f>
        <v>-0.21201188455008479</v>
      </c>
      <c r="J29" s="136">
        <f>('Data Sheet'!J64-'Data Sheet'!I64)/'Data Sheet'!I64</f>
        <v>0</v>
      </c>
      <c r="K29" s="136">
        <f>('Data Sheet'!K64-'Data Sheet'!J64)/'Data Sheet'!J64</f>
        <v>-0.1885267977376785</v>
      </c>
      <c r="L29" s="136"/>
      <c r="M29" s="136">
        <f t="shared" si="0"/>
        <v>-2.6355499743529139E-2</v>
      </c>
      <c r="N29" s="32">
        <f t="shared" si="1"/>
        <v>-4.2116058915293096E-2</v>
      </c>
      <c r="O29" s="32">
        <f t="shared" si="2"/>
        <v>-0.1335128940959211</v>
      </c>
    </row>
    <row r="30" spans="1:15" s="18" customFormat="1" hidden="1">
      <c r="A30" s="135" t="s">
        <v>64</v>
      </c>
      <c r="B30" s="45"/>
      <c r="C30" s="136">
        <f>('Data Sheet'!C65-'Data Sheet'!B65)/'Data Sheet'!B65</f>
        <v>0.1281446540880504</v>
      </c>
      <c r="D30" s="136">
        <f>('Data Sheet'!D65-'Data Sheet'!C65)/'Data Sheet'!C65</f>
        <v>0.28760256266157119</v>
      </c>
      <c r="E30" s="136">
        <f>('Data Sheet'!E65-'Data Sheet'!D65)/'Data Sheet'!D65</f>
        <v>9.5218142774839087E-2</v>
      </c>
      <c r="F30" s="136">
        <f>('Data Sheet'!F65-'Data Sheet'!E65)/'Data Sheet'!E65</f>
        <v>0.19544737219645164</v>
      </c>
      <c r="G30" s="136">
        <f>('Data Sheet'!G65-'Data Sheet'!F65)/'Data Sheet'!F65</f>
        <v>3.4509427420860328E-2</v>
      </c>
      <c r="H30" s="136">
        <f>('Data Sheet'!H65-'Data Sheet'!G65)/'Data Sheet'!G65</f>
        <v>0.15382434069758438</v>
      </c>
      <c r="I30" s="136">
        <f>('Data Sheet'!I65-'Data Sheet'!H65)/'Data Sheet'!H65</f>
        <v>-0.12451405335359034</v>
      </c>
      <c r="J30" s="136">
        <f>('Data Sheet'!J65-'Data Sheet'!I65)/'Data Sheet'!I65</f>
        <v>-1.3691463570243739E-2</v>
      </c>
      <c r="K30" s="136">
        <f>('Data Sheet'!K65-'Data Sheet'!J65)/'Data Sheet'!J65</f>
        <v>0.1084388786110715</v>
      </c>
      <c r="L30" s="136"/>
      <c r="M30" s="136">
        <f t="shared" si="0"/>
        <v>7.3683520743854397E-2</v>
      </c>
      <c r="N30" s="32">
        <f t="shared" si="1"/>
        <v>4.6450130109907305E-2</v>
      </c>
      <c r="O30" s="32">
        <f t="shared" si="2"/>
        <v>-9.9222127709208546E-3</v>
      </c>
    </row>
    <row r="31" spans="1:15" s="18" customFormat="1" hidden="1">
      <c r="A31" s="138" t="s">
        <v>26</v>
      </c>
      <c r="B31" s="45"/>
      <c r="C31" s="136">
        <f>('Data Sheet'!C66-'Data Sheet'!B66)/'Data Sheet'!B66</f>
        <v>-4.5297280773667885E-3</v>
      </c>
      <c r="D31" s="136">
        <f>('Data Sheet'!D66-'Data Sheet'!C66)/'Data Sheet'!C66</f>
        <v>0.10229889870608445</v>
      </c>
      <c r="E31" s="136">
        <f>('Data Sheet'!E66-'Data Sheet'!D66)/'Data Sheet'!D66</f>
        <v>0.14150585017474548</v>
      </c>
      <c r="F31" s="136">
        <f>('Data Sheet'!F66-'Data Sheet'!E66)/'Data Sheet'!E66</f>
        <v>0.16691625899919024</v>
      </c>
      <c r="G31" s="136">
        <f>('Data Sheet'!G66-'Data Sheet'!F66)/'Data Sheet'!F66</f>
        <v>9.0119208319866098E-2</v>
      </c>
      <c r="H31" s="136">
        <f>('Data Sheet'!H66-'Data Sheet'!G66)/'Data Sheet'!G66</f>
        <v>0.15536215707135015</v>
      </c>
      <c r="I31" s="136">
        <f>('Data Sheet'!I66-'Data Sheet'!H66)/'Data Sheet'!H66</f>
        <v>0.14593554230507955</v>
      </c>
      <c r="J31" s="136">
        <f>('Data Sheet'!J66-'Data Sheet'!I66)/'Data Sheet'!I66</f>
        <v>0.14135353202700471</v>
      </c>
      <c r="K31" s="136">
        <f>('Data Sheet'!K66-'Data Sheet'!J66)/'Data Sheet'!J66</f>
        <v>0.1388282954191338</v>
      </c>
      <c r="L31" s="136"/>
      <c r="M31" s="136">
        <f t="shared" si="0"/>
        <v>0.10823197430224545</v>
      </c>
      <c r="N31" s="32">
        <f t="shared" si="1"/>
        <v>0.15596614188893593</v>
      </c>
      <c r="O31" s="32">
        <f t="shared" si="2"/>
        <v>0.14203912325040602</v>
      </c>
    </row>
    <row r="32" spans="1:15" s="18" customFormat="1" hidden="1">
      <c r="A32" s="135" t="s">
        <v>69</v>
      </c>
      <c r="B32" s="45"/>
      <c r="C32" s="136">
        <f>('Data Sheet'!C67-'Data Sheet'!B67)/'Data Sheet'!B67</f>
        <v>-1.5005359056806063E-2</v>
      </c>
      <c r="D32" s="136">
        <f>('Data Sheet'!D67-'Data Sheet'!C67)/'Data Sheet'!C67</f>
        <v>0.21218715995647455</v>
      </c>
      <c r="E32" s="136">
        <f>('Data Sheet'!E67-'Data Sheet'!D67)/'Data Sheet'!D67</f>
        <v>-0.12298025134649919</v>
      </c>
      <c r="F32" s="136">
        <f>('Data Sheet'!F67-'Data Sheet'!E67)/'Data Sheet'!E67</f>
        <v>6.7072671443193457</v>
      </c>
      <c r="G32" s="136">
        <f>('Data Sheet'!G67-'Data Sheet'!F67)/'Data Sheet'!F67</f>
        <v>0.15896414342629481</v>
      </c>
      <c r="H32" s="136">
        <f>('Data Sheet'!H67-'Data Sheet'!G67)/'Data Sheet'!G67</f>
        <v>-6.9439669989687203E-2</v>
      </c>
      <c r="I32" s="136">
        <f>('Data Sheet'!I67-'Data Sheet'!H67)/'Data Sheet'!H67</f>
        <v>-0.32606821819972909</v>
      </c>
      <c r="J32" s="136">
        <f>('Data Sheet'!J67-'Data Sheet'!I67)/'Data Sheet'!I67</f>
        <v>0.27242828430476895</v>
      </c>
      <c r="K32" s="136">
        <f>('Data Sheet'!K67-'Data Sheet'!J67)/'Data Sheet'!J67</f>
        <v>0.4580700746697301</v>
      </c>
      <c r="L32" s="136"/>
      <c r="M32" s="136">
        <f t="shared" si="0"/>
        <v>0.72904286671406993</v>
      </c>
      <c r="N32" s="32">
        <f t="shared" si="1"/>
        <v>0.24459949618508947</v>
      </c>
      <c r="O32" s="32">
        <f t="shared" si="2"/>
        <v>0.13481004692492332</v>
      </c>
    </row>
    <row r="33" spans="1:15" s="18" customFormat="1" hidden="1">
      <c r="A33" s="135" t="s">
        <v>45</v>
      </c>
      <c r="B33" s="45"/>
      <c r="C33" s="136">
        <f>('Data Sheet'!C68-'Data Sheet'!B68)/'Data Sheet'!B68</f>
        <v>-5.838416531806296E-2</v>
      </c>
      <c r="D33" s="136">
        <f>('Data Sheet'!D68-'Data Sheet'!C68)/'Data Sheet'!C68</f>
        <v>8.9635113696456922E-2</v>
      </c>
      <c r="E33" s="136">
        <f>('Data Sheet'!E68-'Data Sheet'!D68)/'Data Sheet'!D68</f>
        <v>0.34130065518078129</v>
      </c>
      <c r="F33" s="136">
        <f>('Data Sheet'!F68-'Data Sheet'!E68)/'Data Sheet'!E68</f>
        <v>0.39032112166440519</v>
      </c>
      <c r="G33" s="136">
        <f>('Data Sheet'!G68-'Data Sheet'!F68)/'Data Sheet'!F68</f>
        <v>0.41626545217957073</v>
      </c>
      <c r="H33" s="136">
        <f>('Data Sheet'!H68-'Data Sheet'!G68)/'Data Sheet'!G68</f>
        <v>-0.14875045938993015</v>
      </c>
      <c r="I33" s="136">
        <f>('Data Sheet'!I68-'Data Sheet'!H68)/'Data Sheet'!H68</f>
        <v>0.21824069077172151</v>
      </c>
      <c r="J33" s="136">
        <f>('Data Sheet'!J68-'Data Sheet'!I68)/'Data Sheet'!I68</f>
        <v>0.11734739080357925</v>
      </c>
      <c r="K33" s="136">
        <f>('Data Sheet'!K68-'Data Sheet'!J68)/'Data Sheet'!J68</f>
        <v>0.16029021131506974</v>
      </c>
      <c r="L33" s="136"/>
      <c r="M33" s="136">
        <f t="shared" si="0"/>
        <v>0.15846501762216544</v>
      </c>
      <c r="N33" s="32">
        <f t="shared" si="1"/>
        <v>0.18437166066043531</v>
      </c>
      <c r="O33" s="32">
        <f t="shared" si="2"/>
        <v>0.16529276429679016</v>
      </c>
    </row>
    <row r="34" spans="1:15" s="18" customFormat="1" hidden="1">
      <c r="A34" s="57" t="s">
        <v>78</v>
      </c>
      <c r="B34" s="45"/>
      <c r="C34" s="136">
        <f>('Data Sheet'!C69-'Data Sheet'!B69)/'Data Sheet'!B69</f>
        <v>0.2912638739706408</v>
      </c>
      <c r="D34" s="136">
        <f>('Data Sheet'!D69-'Data Sheet'!C69)/'Data Sheet'!C69</f>
        <v>0.74088451407181477</v>
      </c>
      <c r="E34" s="136">
        <f>('Data Sheet'!E69-'Data Sheet'!D69)/'Data Sheet'!D69</f>
        <v>0.38400891932786496</v>
      </c>
      <c r="F34" s="136">
        <f>('Data Sheet'!F69-'Data Sheet'!E69)/'Data Sheet'!E69</f>
        <v>0.13686057885954311</v>
      </c>
      <c r="G34" s="136">
        <f>('Data Sheet'!G69-'Data Sheet'!F69)/'Data Sheet'!F69</f>
        <v>-0.21599392635707951</v>
      </c>
      <c r="H34" s="136">
        <f>('Data Sheet'!H69-'Data Sheet'!G69)/'Data Sheet'!G69</f>
        <v>0.38411878631375079</v>
      </c>
      <c r="I34" s="136">
        <f>('Data Sheet'!I69-'Data Sheet'!H69)/'Data Sheet'!H69</f>
        <v>-0.33446828358208958</v>
      </c>
      <c r="J34" s="136">
        <f>('Data Sheet'!J69-'Data Sheet'!I69)/'Data Sheet'!I69</f>
        <v>-0.10838180671385524</v>
      </c>
      <c r="K34" s="136">
        <f>('Data Sheet'!K69-'Data Sheet'!J69)/'Data Sheet'!J69</f>
        <v>0.13303202986834359</v>
      </c>
      <c r="L34" s="136"/>
      <c r="M34" s="136">
        <f t="shared" si="0"/>
        <v>0.11200608117882929</v>
      </c>
      <c r="N34" s="32">
        <f t="shared" si="1"/>
        <v>-5.9374238584201326E-3</v>
      </c>
      <c r="O34" s="32">
        <f t="shared" si="2"/>
        <v>-0.10327268680920039</v>
      </c>
    </row>
    <row r="35" spans="1:15" s="18" customFormat="1" hidden="1">
      <c r="A35" s="57" t="s">
        <v>65</v>
      </c>
      <c r="B35" s="45"/>
      <c r="C35" s="136">
        <f>('Data Sheet'!C70-'Data Sheet'!B70)/'Data Sheet'!B70</f>
        <v>0</v>
      </c>
      <c r="D35" s="136">
        <f>('Data Sheet'!D70-'Data Sheet'!C70)/'Data Sheet'!C70</f>
        <v>0</v>
      </c>
      <c r="E35" s="136">
        <f>('Data Sheet'!E70-'Data Sheet'!D70)/'Data Sheet'!D70</f>
        <v>0</v>
      </c>
      <c r="F35" s="136">
        <f>('Data Sheet'!F70-'Data Sheet'!E70)/'Data Sheet'!E70</f>
        <v>0</v>
      </c>
      <c r="G35" s="136">
        <f>('Data Sheet'!G70-'Data Sheet'!F70)/'Data Sheet'!F70</f>
        <v>0</v>
      </c>
      <c r="H35" s="136">
        <f>('Data Sheet'!H70-'Data Sheet'!G70)/'Data Sheet'!G70</f>
        <v>0</v>
      </c>
      <c r="I35" s="136">
        <f>('Data Sheet'!I70-'Data Sheet'!H70)/'Data Sheet'!H70</f>
        <v>0</v>
      </c>
      <c r="J35" s="136">
        <f>('Data Sheet'!J70-'Data Sheet'!I70)/'Data Sheet'!I70</f>
        <v>0</v>
      </c>
      <c r="K35" s="136">
        <f>('Data Sheet'!K70-'Data Sheet'!J70)/'Data Sheet'!J70</f>
        <v>1</v>
      </c>
      <c r="L35" s="136"/>
      <c r="M35" s="136">
        <f t="shared" si="0"/>
        <v>0.1</v>
      </c>
      <c r="N35" s="32">
        <f t="shared" si="1"/>
        <v>0.22000000000000003</v>
      </c>
      <c r="O35" s="32">
        <f t="shared" si="2"/>
        <v>0.33333333333333331</v>
      </c>
    </row>
    <row r="36" spans="1:15" s="18" customFormat="1" hidden="1">
      <c r="A36" s="57" t="s">
        <v>66</v>
      </c>
      <c r="B36" s="45"/>
      <c r="C36" s="136" t="e">
        <f>('Data Sheet'!C71-'Data Sheet'!B71)/'Data Sheet'!B71</f>
        <v>#DIV/0!</v>
      </c>
      <c r="D36" s="136" t="e">
        <f>('Data Sheet'!D71-'Data Sheet'!C71)/'Data Sheet'!C71</f>
        <v>#DIV/0!</v>
      </c>
      <c r="E36" s="136" t="e">
        <f>('Data Sheet'!E71-'Data Sheet'!D71)/'Data Sheet'!D71</f>
        <v>#DIV/0!</v>
      </c>
      <c r="F36" s="136" t="e">
        <f>('Data Sheet'!F71-'Data Sheet'!E71)/'Data Sheet'!E71</f>
        <v>#DIV/0!</v>
      </c>
      <c r="G36" s="136" t="e">
        <f>('Data Sheet'!G71-'Data Sheet'!F71)/'Data Sheet'!F71</f>
        <v>#DIV/0!</v>
      </c>
      <c r="H36" s="136" t="e">
        <f>('Data Sheet'!H71-'Data Sheet'!G71)/'Data Sheet'!G71</f>
        <v>#DIV/0!</v>
      </c>
      <c r="I36" s="136" t="e">
        <f>('Data Sheet'!I71-'Data Sheet'!H71)/'Data Sheet'!H71</f>
        <v>#DIV/0!</v>
      </c>
      <c r="J36" s="136" t="e">
        <f>('Data Sheet'!J71-'Data Sheet'!I71)/'Data Sheet'!I71</f>
        <v>#DIV/0!</v>
      </c>
      <c r="K36" s="136" t="e">
        <f>('Data Sheet'!K71-'Data Sheet'!J71)/'Data Sheet'!J71</f>
        <v>#DIV/0!</v>
      </c>
      <c r="L36" s="136"/>
      <c r="M36" s="136" t="e">
        <f t="shared" si="0"/>
        <v>#DIV/0!</v>
      </c>
      <c r="N36" s="32" t="e">
        <f t="shared" si="1"/>
        <v>#DIV/0!</v>
      </c>
      <c r="O36" s="32" t="e">
        <f t="shared" si="2"/>
        <v>#DIV/0!</v>
      </c>
    </row>
    <row r="37" spans="1:15" s="18" customFormat="1" hidden="1">
      <c r="A37" s="57" t="s">
        <v>79</v>
      </c>
      <c r="B37" s="45"/>
      <c r="C37" s="136">
        <f>('Data Sheet'!C72-'Data Sheet'!B72)/'Data Sheet'!B72</f>
        <v>-0.9</v>
      </c>
      <c r="D37" s="136">
        <f>('Data Sheet'!D72-'Data Sheet'!C72)/'Data Sheet'!C72</f>
        <v>0</v>
      </c>
      <c r="E37" s="136">
        <f>('Data Sheet'!E72-'Data Sheet'!D72)/'Data Sheet'!D72</f>
        <v>0</v>
      </c>
      <c r="F37" s="136">
        <f>('Data Sheet'!F72-'Data Sheet'!E72)/'Data Sheet'!E72</f>
        <v>0</v>
      </c>
      <c r="G37" s="136">
        <f>('Data Sheet'!G72-'Data Sheet'!F72)/'Data Sheet'!F72</f>
        <v>0</v>
      </c>
      <c r="H37" s="136">
        <f>('Data Sheet'!H72-'Data Sheet'!G72)/'Data Sheet'!G72</f>
        <v>0</v>
      </c>
      <c r="I37" s="136">
        <f>('Data Sheet'!I72-'Data Sheet'!H72)/'Data Sheet'!H72</f>
        <v>0</v>
      </c>
      <c r="J37" s="136">
        <f>('Data Sheet'!J72-'Data Sheet'!I72)/'Data Sheet'!I72</f>
        <v>0</v>
      </c>
      <c r="K37" s="136">
        <f>('Data Sheet'!K72-'Data Sheet'!J72)/'Data Sheet'!J72</f>
        <v>0</v>
      </c>
      <c r="L37" s="136"/>
      <c r="M37" s="136">
        <f t="shared" si="0"/>
        <v>0</v>
      </c>
      <c r="N37" s="32">
        <f t="shared" si="1"/>
        <v>0</v>
      </c>
      <c r="O37" s="32">
        <f t="shared" si="2"/>
        <v>0</v>
      </c>
    </row>
    <row r="38" spans="1:15" s="18" customFormat="1" hidden="1">
      <c r="A38" s="57"/>
      <c r="B38" s="4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>
        <f t="shared" si="0"/>
        <v>0</v>
      </c>
      <c r="N38" s="32">
        <f t="shared" si="1"/>
        <v>0</v>
      </c>
      <c r="O38" s="32">
        <f t="shared" si="2"/>
        <v>0</v>
      </c>
    </row>
    <row r="39" spans="1:15" s="18" customFormat="1" ht="18" hidden="1">
      <c r="A39" s="137" t="s">
        <v>99</v>
      </c>
      <c r="B39" s="4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>
        <f t="shared" si="0"/>
        <v>0</v>
      </c>
      <c r="N39" s="32">
        <f t="shared" si="1"/>
        <v>0</v>
      </c>
      <c r="O39" s="32">
        <f t="shared" si="2"/>
        <v>0</v>
      </c>
    </row>
    <row r="40" spans="1:15" s="18" customFormat="1" hidden="1">
      <c r="A40" s="138" t="s">
        <v>41</v>
      </c>
      <c r="B40" s="4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>
        <f t="shared" si="0"/>
        <v>0</v>
      </c>
      <c r="N40" s="32">
        <f t="shared" si="1"/>
        <v>0</v>
      </c>
      <c r="O40" s="32">
        <f t="shared" si="2"/>
        <v>0</v>
      </c>
    </row>
    <row r="41" spans="1:15" s="18" customFormat="1" hidden="1">
      <c r="A41" s="135" t="s">
        <v>32</v>
      </c>
      <c r="B41" s="45"/>
      <c r="C41" s="136">
        <f>('Data Sheet'!C82-'Data Sheet'!B82)/'Data Sheet'!B82</f>
        <v>0.8244294605809126</v>
      </c>
      <c r="D41" s="136">
        <f>('Data Sheet'!D82-'Data Sheet'!C82)/'Data Sheet'!C82</f>
        <v>0.13496801705756936</v>
      </c>
      <c r="E41" s="136">
        <f>('Data Sheet'!E82-'Data Sheet'!D82)/'Data Sheet'!D82</f>
        <v>0.24412925042269407</v>
      </c>
      <c r="F41" s="136">
        <f>('Data Sheet'!F82-'Data Sheet'!E82)/'Data Sheet'!E82</f>
        <v>-9.9257581477287013E-2</v>
      </c>
      <c r="G41" s="136">
        <f>('Data Sheet'!G82-'Data Sheet'!F82)/'Data Sheet'!F82</f>
        <v>0.12553435221144965</v>
      </c>
      <c r="H41" s="136">
        <f>('Data Sheet'!H82-'Data Sheet'!G82)/'Data Sheet'!G82</f>
        <v>0.52641247145268599</v>
      </c>
      <c r="I41" s="136">
        <f>('Data Sheet'!I82-'Data Sheet'!H82)/'Data Sheet'!H82</f>
        <v>-0.25617173524150266</v>
      </c>
      <c r="J41" s="136">
        <f>('Data Sheet'!J82-'Data Sheet'!I82)/'Data Sheet'!I82</f>
        <v>0.39522934977480428</v>
      </c>
      <c r="K41" s="136">
        <f>('Data Sheet'!K82-'Data Sheet'!J82)/'Data Sheet'!J82</f>
        <v>5.4501292799498509E-2</v>
      </c>
      <c r="L41" s="136"/>
      <c r="M41" s="136">
        <f t="shared" si="0"/>
        <v>0.11253454169999122</v>
      </c>
      <c r="N41" s="32">
        <f t="shared" si="1"/>
        <v>0.1916080545393854</v>
      </c>
      <c r="O41" s="32">
        <f t="shared" si="2"/>
        <v>6.4519635777600046E-2</v>
      </c>
    </row>
    <row r="42" spans="1:15" s="18" customFormat="1" hidden="1">
      <c r="A42" s="135" t="s">
        <v>33</v>
      </c>
      <c r="B42" s="45"/>
      <c r="C42" s="136">
        <f>('Data Sheet'!C83-'Data Sheet'!B83)/'Data Sheet'!B83</f>
        <v>3.7009009009009008</v>
      </c>
      <c r="D42" s="136">
        <f>('Data Sheet'!D83-'Data Sheet'!C83)/'Data Sheet'!C83</f>
        <v>0.63395937140666936</v>
      </c>
      <c r="E42" s="136">
        <f>('Data Sheet'!E83-'Data Sheet'!D83)/'Data Sheet'!D83</f>
        <v>-0.14262256626788658</v>
      </c>
      <c r="F42" s="136">
        <f>('Data Sheet'!F83-'Data Sheet'!E83)/'Data Sheet'!E83</f>
        <v>0.64514363885088943</v>
      </c>
      <c r="G42" s="136">
        <f>('Data Sheet'!G83-'Data Sheet'!F83)/'Data Sheet'!F83</f>
        <v>-1.1702976883419258</v>
      </c>
      <c r="H42" s="136">
        <f>('Data Sheet'!H83-'Data Sheet'!G83)/'Data Sheet'!G83</f>
        <v>3.6142578124999996</v>
      </c>
      <c r="I42" s="136">
        <f>('Data Sheet'!I83-'Data Sheet'!H83)/'Data Sheet'!H83</f>
        <v>2.8173544973544975</v>
      </c>
      <c r="J42" s="136">
        <f>('Data Sheet'!J83-'Data Sheet'!I83)/'Data Sheet'!I83</f>
        <v>0.50595997117037195</v>
      </c>
      <c r="K42" s="136">
        <f>('Data Sheet'!K83-'Data Sheet'!J83)/'Data Sheet'!J83</f>
        <v>-0.12888856164635715</v>
      </c>
      <c r="L42" s="136"/>
      <c r="M42" s="136">
        <f t="shared" si="0"/>
        <v>0.67748664750262588</v>
      </c>
      <c r="N42" s="32">
        <f t="shared" si="1"/>
        <v>1.2631745357078423</v>
      </c>
      <c r="O42" s="32">
        <f t="shared" si="2"/>
        <v>1.0648086356261708</v>
      </c>
    </row>
    <row r="43" spans="1:15" s="18" customFormat="1" hidden="1">
      <c r="A43" s="135" t="s">
        <v>34</v>
      </c>
      <c r="B43" s="45"/>
      <c r="C43" s="136">
        <f>('Data Sheet'!C84-'Data Sheet'!B84)/'Data Sheet'!B84</f>
        <v>1.0210967362540431</v>
      </c>
      <c r="D43" s="136">
        <f>('Data Sheet'!D84-'Data Sheet'!C84)/'Data Sheet'!C84</f>
        <v>-7.208583378796142E-2</v>
      </c>
      <c r="E43" s="136">
        <f>('Data Sheet'!E84-'Data Sheet'!D84)/'Data Sheet'!D84</f>
        <v>0.32269823227374272</v>
      </c>
      <c r="F43" s="136">
        <f>('Data Sheet'!F84-'Data Sheet'!E84)/'Data Sheet'!E84</f>
        <v>-4.2879156048124138E-2</v>
      </c>
      <c r="G43" s="136">
        <f>('Data Sheet'!G84-'Data Sheet'!F84)/'Data Sheet'!F84</f>
        <v>0.23239109569955727</v>
      </c>
      <c r="H43" s="136">
        <f>('Data Sheet'!H84-'Data Sheet'!G84)/'Data Sheet'!G84</f>
        <v>7.4236904911443316E-2</v>
      </c>
      <c r="I43" s="136">
        <f>('Data Sheet'!I84-'Data Sheet'!H84)/'Data Sheet'!H84</f>
        <v>-1.2932647333957038E-2</v>
      </c>
      <c r="J43" s="136">
        <f>('Data Sheet'!J84-'Data Sheet'!I84)/'Data Sheet'!I84</f>
        <v>-8.8326580898902968E-2</v>
      </c>
      <c r="K43" s="136">
        <f>('Data Sheet'!K84-'Data Sheet'!J84)/'Data Sheet'!J84</f>
        <v>-2.3415369422282405E-2</v>
      </c>
      <c r="L43" s="136"/>
      <c r="M43" s="136">
        <f t="shared" si="0"/>
        <v>3.8968664539351529E-2</v>
      </c>
      <c r="N43" s="32">
        <f t="shared" si="1"/>
        <v>4.4184413499041938E-2</v>
      </c>
      <c r="O43" s="32">
        <f t="shared" si="2"/>
        <v>-4.1558199218380804E-2</v>
      </c>
    </row>
    <row r="44" spans="1:15" s="18" customFormat="1" hidden="1">
      <c r="A44" s="135" t="s">
        <v>35</v>
      </c>
      <c r="B44" s="45"/>
      <c r="C44" s="136">
        <f>('Data Sheet'!C85-'Data Sheet'!B85)/'Data Sheet'!B85</f>
        <v>0.37010526315789471</v>
      </c>
      <c r="D44" s="136">
        <f>('Data Sheet'!D85-'Data Sheet'!C85)/'Data Sheet'!C85</f>
        <v>2.2845728334357713</v>
      </c>
      <c r="E44" s="136">
        <f>('Data Sheet'!E85-'Data Sheet'!D85)/'Data Sheet'!D85</f>
        <v>-9.767964071856286E-2</v>
      </c>
      <c r="F44" s="136">
        <f>('Data Sheet'!F85-'Data Sheet'!E85)/'Data Sheet'!E85</f>
        <v>-1.4413106594773959E-2</v>
      </c>
      <c r="G44" s="136">
        <f>('Data Sheet'!G85-'Data Sheet'!F85)/'Data Sheet'!F85</f>
        <v>-1.0573382430299842</v>
      </c>
      <c r="H44" s="136">
        <f>('Data Sheet'!H85-'Data Sheet'!G85)/'Data Sheet'!G85</f>
        <v>-26.697247706422019</v>
      </c>
      <c r="I44" s="136">
        <f>('Data Sheet'!I85-'Data Sheet'!H85)/'Data Sheet'!H85</f>
        <v>-2.0357729382363443</v>
      </c>
      <c r="J44" s="136">
        <f>('Data Sheet'!J85-'Data Sheet'!I85)/'Data Sheet'!I85</f>
        <v>-0.87405211636564184</v>
      </c>
      <c r="K44" s="136">
        <f>('Data Sheet'!K85-'Data Sheet'!J85)/'Data Sheet'!J85</f>
        <v>-4.3130815544608652</v>
      </c>
      <c r="L44" s="136"/>
      <c r="M44" s="136">
        <f t="shared" si="0"/>
        <v>-3.2805012472392421</v>
      </c>
      <c r="N44" s="32">
        <f t="shared" si="1"/>
        <v>-7.6515987611508196</v>
      </c>
      <c r="O44" s="32">
        <f t="shared" si="2"/>
        <v>-2.4076355363542841</v>
      </c>
    </row>
    <row r="45" spans="1:15" s="18" customFormat="1" hidden="1">
      <c r="A45" s="135"/>
      <c r="B45" s="4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>
        <f t="shared" si="0"/>
        <v>0</v>
      </c>
      <c r="N45" s="32">
        <f t="shared" si="1"/>
        <v>0</v>
      </c>
      <c r="O45" s="32">
        <f t="shared" si="2"/>
        <v>0</v>
      </c>
    </row>
    <row r="46" spans="1:15" s="18" customFormat="1" hidden="1">
      <c r="A46" s="138" t="s">
        <v>68</v>
      </c>
      <c r="B46" s="45"/>
      <c r="C46" s="136">
        <f>('Data Sheet'!C90-'Data Sheet'!B90)/'Data Sheet'!B90</f>
        <v>0.19993041864780231</v>
      </c>
      <c r="D46" s="136">
        <f>('Data Sheet'!D90-'Data Sheet'!C90)/'Data Sheet'!C90</f>
        <v>0.11413936406687931</v>
      </c>
      <c r="E46" s="136">
        <f>('Data Sheet'!E90-'Data Sheet'!D90)/'Data Sheet'!D90</f>
        <v>0.56688063844552383</v>
      </c>
      <c r="F46" s="136">
        <f>('Data Sheet'!F90-'Data Sheet'!E90)/'Data Sheet'!E90</f>
        <v>0.20957205336876497</v>
      </c>
      <c r="G46" s="136">
        <f>('Data Sheet'!G90-'Data Sheet'!F90)/'Data Sheet'!F90</f>
        <v>0.29352129436803437</v>
      </c>
      <c r="H46" s="136">
        <f>('Data Sheet'!H90-'Data Sheet'!G90)/'Data Sheet'!G90</f>
        <v>0.19397413442315514</v>
      </c>
      <c r="I46" s="136">
        <f>('Data Sheet'!I90-'Data Sheet'!H90)/'Data Sheet'!H90</f>
        <v>4.817224057966718E-2</v>
      </c>
      <c r="J46" s="136">
        <f>('Data Sheet'!J90-'Data Sheet'!I90)/'Data Sheet'!I90</f>
        <v>0.45363171138567671</v>
      </c>
      <c r="K46" s="136">
        <f>('Data Sheet'!K90-'Data Sheet'!J90)/'Data Sheet'!J90</f>
        <v>-0.18553492759683737</v>
      </c>
      <c r="L46" s="136"/>
      <c r="M46" s="136">
        <f t="shared" si="0"/>
        <v>0.16943565090408641</v>
      </c>
      <c r="N46" s="32">
        <f t="shared" si="1"/>
        <v>0.19464002081275647</v>
      </c>
      <c r="O46" s="32">
        <f t="shared" si="2"/>
        <v>0.1054230081228355</v>
      </c>
    </row>
    <row r="47" spans="1:15" s="18" customFormat="1" hidden="1">
      <c r="A47" s="138" t="s">
        <v>67</v>
      </c>
      <c r="B47" s="4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>
        <f t="shared" si="0"/>
        <v>0</v>
      </c>
      <c r="N47" s="32">
        <f t="shared" si="1"/>
        <v>0</v>
      </c>
      <c r="O47" s="32">
        <f t="shared" si="2"/>
        <v>0</v>
      </c>
    </row>
    <row r="48" spans="1:15" s="18" customFormat="1" hidden="1">
      <c r="A48" s="57" t="s">
        <v>80</v>
      </c>
      <c r="B48" s="45"/>
      <c r="C48" s="136">
        <f>('Data Sheet'!C93-'Data Sheet'!B93)/'Data Sheet'!B93</f>
        <v>-0.81818181818181823</v>
      </c>
      <c r="D48" s="136">
        <f>('Data Sheet'!D93-'Data Sheet'!C93)/'Data Sheet'!C93</f>
        <v>0</v>
      </c>
      <c r="E48" s="136">
        <f>('Data Sheet'!E93-'Data Sheet'!D93)/'Data Sheet'!D93</f>
        <v>0</v>
      </c>
      <c r="F48" s="136">
        <f>('Data Sheet'!F93-'Data Sheet'!E93)/'Data Sheet'!E93</f>
        <v>0</v>
      </c>
      <c r="G48" s="136">
        <f>('Data Sheet'!G93-'Data Sheet'!F93)/'Data Sheet'!F93</f>
        <v>0</v>
      </c>
      <c r="H48" s="136">
        <f>('Data Sheet'!H93-'Data Sheet'!G93)/'Data Sheet'!G93</f>
        <v>0</v>
      </c>
      <c r="I48" s="136">
        <f>('Data Sheet'!I93-'Data Sheet'!H93)/'Data Sheet'!H93</f>
        <v>0</v>
      </c>
      <c r="J48" s="136">
        <f>('Data Sheet'!J93-'Data Sheet'!I93)/'Data Sheet'!I93</f>
        <v>0</v>
      </c>
      <c r="K48" s="136">
        <f>('Data Sheet'!K93-'Data Sheet'!J93)/'Data Sheet'!J93</f>
        <v>0</v>
      </c>
      <c r="L48" s="136"/>
      <c r="M48" s="136">
        <f t="shared" si="0"/>
        <v>0</v>
      </c>
      <c r="N48" s="32">
        <f t="shared" si="1"/>
        <v>0</v>
      </c>
      <c r="O48" s="32">
        <f t="shared" si="2"/>
        <v>0</v>
      </c>
    </row>
    <row r="49" spans="1:15" s="18" customFormat="1" hidden="1">
      <c r="A49" s="57"/>
      <c r="B49" s="46"/>
      <c r="C49" s="69"/>
      <c r="D49" s="46"/>
      <c r="E49" s="46"/>
      <c r="F49" s="46"/>
      <c r="G49" s="46"/>
      <c r="H49" s="46"/>
      <c r="I49" s="46"/>
      <c r="J49" s="46"/>
      <c r="K49" s="46"/>
      <c r="L49" s="46"/>
      <c r="M49" s="136">
        <f t="shared" si="0"/>
        <v>0</v>
      </c>
      <c r="N49" s="32">
        <f t="shared" si="1"/>
        <v>0</v>
      </c>
      <c r="O49" s="32">
        <f t="shared" si="2"/>
        <v>0</v>
      </c>
    </row>
    <row r="50" spans="1:15" s="18" customFormat="1" ht="18" hidden="1">
      <c r="A50" s="150" t="s">
        <v>133</v>
      </c>
      <c r="B50" s="46"/>
      <c r="C50" s="69"/>
      <c r="D50" s="46"/>
      <c r="E50" s="46"/>
      <c r="F50" s="46"/>
      <c r="G50" s="46"/>
      <c r="H50" s="46"/>
      <c r="I50" s="46"/>
      <c r="J50" s="46"/>
      <c r="K50" s="46"/>
      <c r="L50" s="46"/>
      <c r="M50" s="136">
        <f t="shared" si="0"/>
        <v>0</v>
      </c>
      <c r="N50" s="32">
        <f t="shared" si="1"/>
        <v>0</v>
      </c>
      <c r="O50" s="32">
        <f t="shared" si="2"/>
        <v>0</v>
      </c>
    </row>
    <row r="51" spans="1:15" s="18" customFormat="1" hidden="1">
      <c r="A51" s="135" t="s">
        <v>6</v>
      </c>
      <c r="B51" s="45">
        <f>'Data Sheet'!B17/'Data Sheet'!B17</f>
        <v>1</v>
      </c>
      <c r="C51" s="45">
        <f>'Data Sheet'!C17/'Data Sheet'!C17</f>
        <v>1</v>
      </c>
      <c r="D51" s="45">
        <f>'Data Sheet'!D17/'Data Sheet'!D17</f>
        <v>1</v>
      </c>
      <c r="E51" s="45">
        <f>'Data Sheet'!E17/'Data Sheet'!E17</f>
        <v>1</v>
      </c>
      <c r="F51" s="45">
        <f>'Data Sheet'!F17/'Data Sheet'!F17</f>
        <v>1</v>
      </c>
      <c r="G51" s="45">
        <f>'Data Sheet'!G17/'Data Sheet'!G17</f>
        <v>1</v>
      </c>
      <c r="H51" s="45">
        <f>'Data Sheet'!H17/'Data Sheet'!H17</f>
        <v>1</v>
      </c>
      <c r="I51" s="45">
        <f>'Data Sheet'!I17/'Data Sheet'!I17</f>
        <v>1</v>
      </c>
      <c r="J51" s="45">
        <f>'Data Sheet'!J17/'Data Sheet'!J17</f>
        <v>1</v>
      </c>
      <c r="K51" s="45">
        <f>'Data Sheet'!K17/'Data Sheet'!K17</f>
        <v>1</v>
      </c>
      <c r="L51" s="45"/>
      <c r="M51" s="136">
        <f t="shared" si="0"/>
        <v>0.8</v>
      </c>
      <c r="N51" s="32">
        <f t="shared" si="1"/>
        <v>1.1599999999999999</v>
      </c>
      <c r="O51" s="32">
        <f t="shared" si="2"/>
        <v>1</v>
      </c>
    </row>
    <row r="52" spans="1:15" s="18" customFormat="1" hidden="1">
      <c r="A52" s="57" t="s">
        <v>71</v>
      </c>
      <c r="B52" s="45">
        <f>('Data Sheet'!B18-'Data Sheet'!B19)/'Data Sheet'!B17</f>
        <v>0.44582825022777456</v>
      </c>
      <c r="C52" s="45">
        <f>('Data Sheet'!C18-'Data Sheet'!C19)/'Data Sheet'!C17</f>
        <v>0.43043885487789979</v>
      </c>
      <c r="D52" s="45">
        <f>('Data Sheet'!D18-'Data Sheet'!D19)/'Data Sheet'!D17</f>
        <v>0.43739416217747124</v>
      </c>
      <c r="E52" s="45">
        <f>('Data Sheet'!E18-'Data Sheet'!E19)/'Data Sheet'!E17</f>
        <v>0.395850106498986</v>
      </c>
      <c r="F52" s="45">
        <f>('Data Sheet'!F18-'Data Sheet'!F19)/'Data Sheet'!F17</f>
        <v>0.38141917309677537</v>
      </c>
      <c r="G52" s="45">
        <f>('Data Sheet'!G18-'Data Sheet'!G19)/'Data Sheet'!G17</f>
        <v>0.38995184221176804</v>
      </c>
      <c r="H52" s="45">
        <f>('Data Sheet'!H18-'Data Sheet'!H19)/'Data Sheet'!H17</f>
        <v>0.3951533119877616</v>
      </c>
      <c r="I52" s="45">
        <f>('Data Sheet'!I18-'Data Sheet'!I19)/'Data Sheet'!I17</f>
        <v>0.39175591886688593</v>
      </c>
      <c r="J52" s="45">
        <f>('Data Sheet'!J18-'Data Sheet'!J19)/'Data Sheet'!J17</f>
        <v>0.36859420282575828</v>
      </c>
      <c r="K52" s="45">
        <f>('Data Sheet'!K18-'Data Sheet'!K19)/'Data Sheet'!K17</f>
        <v>0.3592469529994306</v>
      </c>
      <c r="L52" s="45"/>
      <c r="M52" s="136">
        <f t="shared" si="0"/>
        <v>0.31193656706648371</v>
      </c>
      <c r="N52" s="32">
        <f t="shared" si="1"/>
        <v>0.4433277591916176</v>
      </c>
      <c r="O52" s="32">
        <f t="shared" si="2"/>
        <v>0.37319902489735829</v>
      </c>
    </row>
    <row r="53" spans="1:15" s="18" customFormat="1" hidden="1">
      <c r="A53" s="57" t="s">
        <v>72</v>
      </c>
      <c r="B53" s="45">
        <f>'Data Sheet'!B19/'Data Sheet'!B17</f>
        <v>3.489970196272217E-3</v>
      </c>
      <c r="C53" s="45">
        <f>'Data Sheet'!C19/'Data Sheet'!C17</f>
        <v>5.0903365051785691E-4</v>
      </c>
      <c r="D53" s="45">
        <f>'Data Sheet'!D19/'Data Sheet'!D17</f>
        <v>2.6610652521521587E-3</v>
      </c>
      <c r="E53" s="45">
        <f>'Data Sheet'!E19/'Data Sheet'!E17</f>
        <v>5.8243225339624756E-3</v>
      </c>
      <c r="F53" s="45">
        <f>'Data Sheet'!F19/'Data Sheet'!F17</f>
        <v>1.3057057372316416E-2</v>
      </c>
      <c r="G53" s="45">
        <f>'Data Sheet'!G19/'Data Sheet'!G17</f>
        <v>1.6092201557237965E-2</v>
      </c>
      <c r="H53" s="45">
        <f>'Data Sheet'!H19/'Data Sheet'!H17</f>
        <v>-7.0168562587513156E-3</v>
      </c>
      <c r="I53" s="45">
        <f>'Data Sheet'!I19/'Data Sheet'!I17</f>
        <v>7.4801400465517864E-3</v>
      </c>
      <c r="J53" s="45">
        <f>'Data Sheet'!J19/'Data Sheet'!J17</f>
        <v>4.1060387650240842E-3</v>
      </c>
      <c r="K53" s="45">
        <f>'Data Sheet'!K19/'Data Sheet'!K17</f>
        <v>1.0210725345903336E-3</v>
      </c>
      <c r="L53" s="45"/>
      <c r="M53" s="136">
        <f t="shared" si="0"/>
        <v>4.3225041803083911E-3</v>
      </c>
      <c r="N53" s="32">
        <f t="shared" si="1"/>
        <v>5.2010201649922497E-3</v>
      </c>
      <c r="O53" s="32">
        <f t="shared" si="2"/>
        <v>4.202417115388735E-3</v>
      </c>
    </row>
    <row r="54" spans="1:15" s="18" customFormat="1" hidden="1">
      <c r="A54" s="57" t="s">
        <v>73</v>
      </c>
      <c r="B54" s="45">
        <f>'Data Sheet'!B20/'Data Sheet'!B17</f>
        <v>5.8912549994595172E-3</v>
      </c>
      <c r="C54" s="45">
        <f>'Data Sheet'!C20/'Data Sheet'!C17</f>
        <v>5.253227273344283E-3</v>
      </c>
      <c r="D54" s="45">
        <f>'Data Sheet'!D20/'Data Sheet'!D17</f>
        <v>6.5494067181571976E-3</v>
      </c>
      <c r="E54" s="45">
        <f>'Data Sheet'!E20/'Data Sheet'!E17</f>
        <v>7.1491903019679373E-3</v>
      </c>
      <c r="F54" s="45">
        <f>'Data Sheet'!F20/'Data Sheet'!F17</f>
        <v>6.3251272899060426E-3</v>
      </c>
      <c r="G54" s="45">
        <f>'Data Sheet'!G20/'Data Sheet'!G17</f>
        <v>6.3381144573616066E-3</v>
      </c>
      <c r="H54" s="45">
        <f>'Data Sheet'!H20/'Data Sheet'!H17</f>
        <v>6.1887407903761602E-3</v>
      </c>
      <c r="I54" s="45">
        <f>'Data Sheet'!I20/'Data Sheet'!I17</f>
        <v>6.3596558632618106E-3</v>
      </c>
      <c r="J54" s="45">
        <f>'Data Sheet'!J20/'Data Sheet'!J17</f>
        <v>8.2070548526597589E-3</v>
      </c>
      <c r="K54" s="45">
        <f>'Data Sheet'!K20/'Data Sheet'!K17</f>
        <v>9.0911493432701725E-3</v>
      </c>
      <c r="L54" s="45"/>
      <c r="M54" s="136">
        <f t="shared" si="0"/>
        <v>5.6208439616960686E-3</v>
      </c>
      <c r="N54" s="32">
        <f t="shared" si="1"/>
        <v>8.3611118537251176E-3</v>
      </c>
      <c r="O54" s="32">
        <f t="shared" si="2"/>
        <v>7.8859533530639143E-3</v>
      </c>
    </row>
    <row r="55" spans="1:15" s="18" customFormat="1" hidden="1">
      <c r="A55" s="57" t="s">
        <v>74</v>
      </c>
      <c r="B55" s="45">
        <f>'Data Sheet'!B21/'Data Sheet'!B17</f>
        <v>1.1481384251895547E-2</v>
      </c>
      <c r="C55" s="45">
        <f>'Data Sheet'!C21/'Data Sheet'!C17</f>
        <v>1.1320908387517136E-2</v>
      </c>
      <c r="D55" s="45">
        <f>'Data Sheet'!D21/'Data Sheet'!D17</f>
        <v>9.7474053138699914E-3</v>
      </c>
      <c r="E55" s="45">
        <f>'Data Sheet'!E21/'Data Sheet'!E17</f>
        <v>1.0981115538660661E-2</v>
      </c>
      <c r="F55" s="45">
        <f>'Data Sheet'!F21/'Data Sheet'!F17</f>
        <v>9.6670341014469946E-3</v>
      </c>
      <c r="G55" s="45">
        <f>'Data Sheet'!G21/'Data Sheet'!G17</f>
        <v>9.5424453165901171E-3</v>
      </c>
      <c r="H55" s="45">
        <f>'Data Sheet'!H21/'Data Sheet'!H17</f>
        <v>3.1152313192005843E-2</v>
      </c>
      <c r="I55" s="45">
        <f>'Data Sheet'!I21/'Data Sheet'!I17</f>
        <v>3.38911537634018E-2</v>
      </c>
      <c r="J55" s="45">
        <f>'Data Sheet'!J21/'Data Sheet'!J17</f>
        <v>3.516125305755486E-2</v>
      </c>
      <c r="K55" s="45">
        <f>'Data Sheet'!K21/'Data Sheet'!K17</f>
        <v>3.7085354456320926E-2</v>
      </c>
      <c r="L55" s="45"/>
      <c r="M55" s="136">
        <f t="shared" si="0"/>
        <v>1.7722807473985119E-2</v>
      </c>
      <c r="N55" s="32">
        <f t="shared" si="1"/>
        <v>3.2911065451971727E-2</v>
      </c>
      <c r="O55" s="32">
        <f t="shared" si="2"/>
        <v>3.5379253759092531E-2</v>
      </c>
    </row>
    <row r="56" spans="1:15" s="18" customFormat="1" hidden="1">
      <c r="A56" s="57" t="s">
        <v>75</v>
      </c>
      <c r="B56" s="45">
        <f>'Data Sheet'!B22/'Data Sheet'!B17</f>
        <v>0.12205630279352039</v>
      </c>
      <c r="C56" s="45">
        <f>'Data Sheet'!C22/'Data Sheet'!C17</f>
        <v>7.240494644965996E-2</v>
      </c>
      <c r="D56" s="45">
        <f>'Data Sheet'!D22/'Data Sheet'!D17</f>
        <v>7.8504375121695072E-2</v>
      </c>
      <c r="E56" s="45">
        <f>'Data Sheet'!E22/'Data Sheet'!E17</f>
        <v>7.2205293356297703E-2</v>
      </c>
      <c r="F56" s="45">
        <f>'Data Sheet'!F22/'Data Sheet'!F17</f>
        <v>8.45187479222438E-2</v>
      </c>
      <c r="G56" s="45">
        <f>'Data Sheet'!G22/'Data Sheet'!G17</f>
        <v>8.0056289288326657E-2</v>
      </c>
      <c r="H56" s="45">
        <f>'Data Sheet'!H22/'Data Sheet'!H17</f>
        <v>7.8841649783014778E-2</v>
      </c>
      <c r="I56" s="45">
        <f>'Data Sheet'!I22/'Data Sheet'!I17</f>
        <v>5.9176094847169868E-2</v>
      </c>
      <c r="J56" s="45">
        <f>'Data Sheet'!J22/'Data Sheet'!J17</f>
        <v>6.5026092809032779E-2</v>
      </c>
      <c r="K56" s="45">
        <f>'Data Sheet'!K22/'Data Sheet'!K17</f>
        <v>7.1847468580997484E-2</v>
      </c>
      <c r="L56" s="45"/>
      <c r="M56" s="136">
        <f t="shared" si="0"/>
        <v>5.9017601170877808E-2</v>
      </c>
      <c r="N56" s="32">
        <f t="shared" si="1"/>
        <v>8.2793039295883872E-2</v>
      </c>
      <c r="O56" s="32">
        <f t="shared" si="2"/>
        <v>6.5349885412400041E-2</v>
      </c>
    </row>
    <row r="57" spans="1:15" s="18" customFormat="1" hidden="1">
      <c r="A57" s="57" t="s">
        <v>76</v>
      </c>
      <c r="B57" s="45">
        <f>'Data Sheet'!B23/'Data Sheet'!B17</f>
        <v>0.24838241425637381</v>
      </c>
      <c r="C57" s="45">
        <f>'Data Sheet'!C23/'Data Sheet'!C17</f>
        <v>0.26384232173641559</v>
      </c>
      <c r="D57" s="45">
        <f>'Data Sheet'!D23/'Data Sheet'!D17</f>
        <v>0.25140871248104507</v>
      </c>
      <c r="E57" s="45">
        <f>'Data Sheet'!E23/'Data Sheet'!E17</f>
        <v>0.2524994140007949</v>
      </c>
      <c r="F57" s="45">
        <f>'Data Sheet'!F23/'Data Sheet'!F17</f>
        <v>0.25882280895141113</v>
      </c>
      <c r="G57" s="45">
        <f>'Data Sheet'!G23/'Data Sheet'!G17</f>
        <v>0.25980328453195606</v>
      </c>
      <c r="H57" s="45">
        <f>'Data Sheet'!H23/'Data Sheet'!H17</f>
        <v>0.2618488468017991</v>
      </c>
      <c r="I57" s="45">
        <f>'Data Sheet'!I23/'Data Sheet'!I17</f>
        <v>0.30218703982608747</v>
      </c>
      <c r="J57" s="45">
        <f>'Data Sheet'!J23/'Data Sheet'!J17</f>
        <v>0.29555191690482524</v>
      </c>
      <c r="K57" s="45">
        <f>'Data Sheet'!K23/'Data Sheet'!K17</f>
        <v>0.2870487159712562</v>
      </c>
      <c r="L57" s="45"/>
      <c r="M57" s="136">
        <f t="shared" si="0"/>
        <v>0.2169170739469175</v>
      </c>
      <c r="N57" s="32">
        <f t="shared" si="1"/>
        <v>0.32467137559656833</v>
      </c>
      <c r="O57" s="32">
        <f t="shared" si="2"/>
        <v>0.29492922423405626</v>
      </c>
    </row>
    <row r="58" spans="1:15" s="18" customFormat="1" hidden="1">
      <c r="A58" s="57" t="s">
        <v>77</v>
      </c>
      <c r="B58" s="45">
        <f>'Data Sheet'!B24/'Data Sheet'!B17</f>
        <v>4.9886498756891141E-2</v>
      </c>
      <c r="C58" s="45">
        <f>'Data Sheet'!C24/'Data Sheet'!C17</f>
        <v>6.1620220174021634E-2</v>
      </c>
      <c r="D58" s="45">
        <f>'Data Sheet'!D24/'Data Sheet'!D17</f>
        <v>6.2042352830110753E-2</v>
      </c>
      <c r="E58" s="45">
        <f>'Data Sheet'!E24/'Data Sheet'!E17</f>
        <v>4.4541035231291333E-2</v>
      </c>
      <c r="F58" s="45">
        <f>'Data Sheet'!F24/'Data Sheet'!F17</f>
        <v>3.4167060346788444E-2</v>
      </c>
      <c r="G58" s="45">
        <f>'Data Sheet'!G24/'Data Sheet'!G17</f>
        <v>3.9502753199689593E-2</v>
      </c>
      <c r="H58" s="45">
        <f>'Data Sheet'!H24/'Data Sheet'!H17</f>
        <v>1.9214175313941102E-2</v>
      </c>
      <c r="I58" s="45">
        <f>'Data Sheet'!I24/'Data Sheet'!I17</f>
        <v>2.1090809514894619E-2</v>
      </c>
      <c r="J58" s="45">
        <f>'Data Sheet'!J24/'Data Sheet'!J17</f>
        <v>2.0967166757911972E-2</v>
      </c>
      <c r="K58" s="45">
        <f>'Data Sheet'!K24/'Data Sheet'!K17</f>
        <v>1.9462843771097162E-2</v>
      </c>
      <c r="L58" s="45"/>
      <c r="M58" s="136">
        <f t="shared" si="0"/>
        <v>2.6098819696572496E-2</v>
      </c>
      <c r="N58" s="32">
        <f t="shared" si="1"/>
        <v>2.9267313650821386E-2</v>
      </c>
      <c r="O58" s="32">
        <f t="shared" si="2"/>
        <v>2.0506940014634586E-2</v>
      </c>
    </row>
    <row r="59" spans="1:15" s="18" customFormat="1" hidden="1">
      <c r="A59" s="135" t="s">
        <v>9</v>
      </c>
      <c r="B59" s="45">
        <f>'Data Sheet'!B25/'Data Sheet'!B17</f>
        <v>5.1731859104035084E-2</v>
      </c>
      <c r="C59" s="45">
        <f>'Data Sheet'!C25/'Data Sheet'!C17</f>
        <v>5.7541163854538543E-2</v>
      </c>
      <c r="D59" s="45">
        <f>'Data Sheet'!D25/'Data Sheet'!D17</f>
        <v>6.3582348463839616E-2</v>
      </c>
      <c r="E59" s="45">
        <f>'Data Sheet'!E25/'Data Sheet'!E17</f>
        <v>5.0171723245314548E-2</v>
      </c>
      <c r="F59" s="45">
        <f>'Data Sheet'!F25/'Data Sheet'!F17</f>
        <v>1.8039298024600636E-2</v>
      </c>
      <c r="G59" s="45">
        <f>'Data Sheet'!G25/'Data Sheet'!G17</f>
        <v>1.8821266657507899E-2</v>
      </c>
      <c r="H59" s="45">
        <f>'Data Sheet'!H25/'Data Sheet'!H17</f>
        <v>1.5778444344002961E-2</v>
      </c>
      <c r="I59" s="45">
        <f>'Data Sheet'!I25/'Data Sheet'!I17</f>
        <v>3.20497595569477E-2</v>
      </c>
      <c r="J59" s="45">
        <f>'Data Sheet'!J25/'Data Sheet'!J17</f>
        <v>8.3301104486757718E-3</v>
      </c>
      <c r="K59" s="45">
        <f>'Data Sheet'!K25/'Data Sheet'!K17</f>
        <v>9.5163960223819104E-3</v>
      </c>
      <c r="L59" s="45"/>
      <c r="M59" s="136">
        <f t="shared" si="0"/>
        <v>2.1628934676327104E-2</v>
      </c>
      <c r="N59" s="32">
        <f t="shared" si="1"/>
        <v>2.1224982341168673E-2</v>
      </c>
      <c r="O59" s="32">
        <f t="shared" si="2"/>
        <v>1.6632088676001796E-2</v>
      </c>
    </row>
    <row r="60" spans="1:15" s="18" customFormat="1" hidden="1">
      <c r="A60" s="135" t="s">
        <v>10</v>
      </c>
      <c r="B60" s="45">
        <f>'Data Sheet'!B26/'Data Sheet'!B17</f>
        <v>1.1782509998919034E-2</v>
      </c>
      <c r="C60" s="45">
        <f>'Data Sheet'!C26/'Data Sheet'!C17</f>
        <v>1.3465636835032373E-2</v>
      </c>
      <c r="D60" s="45">
        <f>'Data Sheet'!D26/'Data Sheet'!D17</f>
        <v>1.3541340917270963E-2</v>
      </c>
      <c r="E60" s="45">
        <f>'Data Sheet'!E26/'Data Sheet'!E17</f>
        <v>1.9144339247678933E-2</v>
      </c>
      <c r="F60" s="45">
        <f>'Data Sheet'!F26/'Data Sheet'!F17</f>
        <v>1.4981715745455182E-2</v>
      </c>
      <c r="G60" s="45">
        <f>'Data Sheet'!G26/'Data Sheet'!G17</f>
        <v>1.459585701926683E-2</v>
      </c>
      <c r="H60" s="45">
        <f>'Data Sheet'!H26/'Data Sheet'!H17</f>
        <v>1.381246029312759E-2</v>
      </c>
      <c r="I60" s="45">
        <f>'Data Sheet'!I26/'Data Sheet'!I17</f>
        <v>1.4180691347123764E-2</v>
      </c>
      <c r="J60" s="45">
        <f>'Data Sheet'!J26/'Data Sheet'!J17</f>
        <v>1.8840062883920903E-2</v>
      </c>
      <c r="K60" s="45">
        <f>'Data Sheet'!K26/'Data Sheet'!K17</f>
        <v>2.6766515547931545E-2</v>
      </c>
      <c r="L60" s="45"/>
      <c r="M60" s="136">
        <f t="shared" si="0"/>
        <v>1.358629830017757E-2</v>
      </c>
      <c r="N60" s="32">
        <f t="shared" si="1"/>
        <v>2.0356377078309638E-2</v>
      </c>
      <c r="O60" s="32">
        <f t="shared" si="2"/>
        <v>1.9929089926325406E-2</v>
      </c>
    </row>
    <row r="61" spans="1:15" s="18" customFormat="1" hidden="1">
      <c r="A61" s="135" t="s">
        <v>11</v>
      </c>
      <c r="B61" s="45">
        <f>'Data Sheet'!B27/'Data Sheet'!B17</f>
        <v>7.5667495405902063E-4</v>
      </c>
      <c r="C61" s="45">
        <f>'Data Sheet'!C27/'Data Sheet'!C17</f>
        <v>9.7734460899428512E-4</v>
      </c>
      <c r="D61" s="45">
        <f>'Data Sheet'!D27/'Data Sheet'!D17</f>
        <v>6.4904030540296565E-4</v>
      </c>
      <c r="E61" s="45">
        <f>'Data Sheet'!E27/'Data Sheet'!E17</f>
        <v>7.6434678923392068E-4</v>
      </c>
      <c r="F61" s="45">
        <f>'Data Sheet'!F27/'Data Sheet'!F17</f>
        <v>7.0424999562577648E-4</v>
      </c>
      <c r="G61" s="45">
        <f>'Data Sheet'!G27/'Data Sheet'!G17</f>
        <v>5.6066507502144263E-4</v>
      </c>
      <c r="H61" s="45">
        <f>'Data Sheet'!H27/'Data Sheet'!H17</f>
        <v>0</v>
      </c>
      <c r="I61" s="45">
        <f>'Data Sheet'!I27/'Data Sheet'!I17</f>
        <v>0</v>
      </c>
      <c r="J61" s="45">
        <f>'Data Sheet'!J27/'Data Sheet'!J17</f>
        <v>0</v>
      </c>
      <c r="K61" s="45">
        <f>'Data Sheet'!K27/'Data Sheet'!K17</f>
        <v>0</v>
      </c>
      <c r="L61" s="45"/>
      <c r="M61" s="136">
        <f t="shared" si="0"/>
        <v>2.6783021652841053E-4</v>
      </c>
      <c r="N61" s="32">
        <f t="shared" si="1"/>
        <v>1.6569905830997062E-4</v>
      </c>
      <c r="O61" s="32">
        <f t="shared" si="2"/>
        <v>0</v>
      </c>
    </row>
    <row r="62" spans="1:15" s="18" customFormat="1" hidden="1">
      <c r="A62" s="135" t="s">
        <v>12</v>
      </c>
      <c r="B62" s="45">
        <f>'Data Sheet'!B28/'Data Sheet'!B17</f>
        <v>0.15566656886514199</v>
      </c>
      <c r="C62" s="45">
        <f>'Data Sheet'!C28/'Data Sheet'!C17</f>
        <v>0.19821770351165346</v>
      </c>
      <c r="D62" s="45">
        <f>'Data Sheet'!D28/'Data Sheet'!D17</f>
        <v>0.20374555259881638</v>
      </c>
      <c r="E62" s="45">
        <f>'Data Sheet'!E28/'Data Sheet'!E17</f>
        <v>0.24703688228040316</v>
      </c>
      <c r="F62" s="45">
        <f>'Data Sheet'!F28/'Data Sheet'!F17</f>
        <v>0.22743338057494797</v>
      </c>
      <c r="G62" s="45">
        <f>'Data Sheet'!G28/'Data Sheet'!G17</f>
        <v>0.21847001555752757</v>
      </c>
      <c r="H62" s="45">
        <f>'Data Sheet'!H28/'Data Sheet'!H17</f>
        <v>0.2095669461819768</v>
      </c>
      <c r="I62" s="45">
        <f>'Data Sheet'!I28/'Data Sheet'!I17</f>
        <v>0.20340839552812248</v>
      </c>
      <c r="J62" s="45">
        <f>'Data Sheet'!J28/'Data Sheet'!J17</f>
        <v>0.19598236035701191</v>
      </c>
      <c r="K62" s="45">
        <f>'Data Sheet'!K28/'Data Sheet'!K17</f>
        <v>0.19896499282846702</v>
      </c>
      <c r="L62" s="45"/>
      <c r="M62" s="136">
        <f t="shared" si="0"/>
        <v>0.17046085259072732</v>
      </c>
      <c r="N62" s="32">
        <f t="shared" si="1"/>
        <v>0.23937071260876661</v>
      </c>
      <c r="O62" s="32">
        <f t="shared" si="2"/>
        <v>0.19945191623786715</v>
      </c>
    </row>
    <row r="63" spans="1:15" s="18" customFormat="1" hidden="1">
      <c r="A63" s="135" t="s">
        <v>13</v>
      </c>
      <c r="B63" s="45">
        <f>'Data Sheet'!B29/'Data Sheet'!B17</f>
        <v>3.1996540914495726E-2</v>
      </c>
      <c r="C63" s="45">
        <f>'Data Sheet'!C29/'Data Sheet'!C17</f>
        <v>4.0953453962996648E-2</v>
      </c>
      <c r="D63" s="45">
        <f>'Data Sheet'!D29/'Data Sheet'!D17</f>
        <v>3.2505118567863069E-2</v>
      </c>
      <c r="E63" s="45">
        <f>'Data Sheet'!E29/'Data Sheet'!E17</f>
        <v>3.1358600939636987E-2</v>
      </c>
      <c r="F63" s="45">
        <f>'Data Sheet'!F29/'Data Sheet'!F17</f>
        <v>5.1335887879901322E-2</v>
      </c>
      <c r="G63" s="45">
        <f>'Data Sheet'!G29/'Data Sheet'!G17</f>
        <v>5.2695091024531876E-2</v>
      </c>
      <c r="H63" s="45">
        <f>'Data Sheet'!H29/'Data Sheet'!H17</f>
        <v>5.255372478119736E-2</v>
      </c>
      <c r="I63" s="45">
        <f>'Data Sheet'!I29/'Data Sheet'!I17</f>
        <v>5.2556576068581461E-2</v>
      </c>
      <c r="J63" s="45">
        <f>'Data Sheet'!J29/'Data Sheet'!J17</f>
        <v>5.5603550028378128E-2</v>
      </c>
      <c r="K63" s="45">
        <f>'Data Sheet'!K29/'Data Sheet'!K17</f>
        <v>6.0457104142190958E-2</v>
      </c>
      <c r="L63" s="45"/>
      <c r="M63" s="136">
        <f t="shared" si="0"/>
        <v>3.8906565343228117E-2</v>
      </c>
      <c r="N63" s="32">
        <f t="shared" si="1"/>
        <v>6.255452227762158E-2</v>
      </c>
      <c r="O63" s="32">
        <f t="shared" si="2"/>
        <v>5.620574341305018E-2</v>
      </c>
    </row>
    <row r="64" spans="1:15" s="18" customFormat="1" hidden="1">
      <c r="A64" s="135" t="s">
        <v>14</v>
      </c>
      <c r="B64" s="45">
        <f>'Data Sheet'!B30/'Data Sheet'!B17</f>
        <v>0.12367002795064624</v>
      </c>
      <c r="C64" s="45">
        <f>'Data Sheet'!C30/'Data Sheet'!C17</f>
        <v>0.15726424954865684</v>
      </c>
      <c r="D64" s="45">
        <f>'Data Sheet'!D30/'Data Sheet'!D17</f>
        <v>0.17124043403095335</v>
      </c>
      <c r="E64" s="45">
        <f>'Data Sheet'!E30/'Data Sheet'!E17</f>
        <v>0.21567828134076616</v>
      </c>
      <c r="F64" s="45">
        <f>'Data Sheet'!F30/'Data Sheet'!F17</f>
        <v>0.17609749269504663</v>
      </c>
      <c r="G64" s="45">
        <f>'Data Sheet'!G30/'Data Sheet'!G17</f>
        <v>0.16577492453299569</v>
      </c>
      <c r="H64" s="45">
        <f>'Data Sheet'!H30/'Data Sheet'!H17</f>
        <v>0.15701006065471695</v>
      </c>
      <c r="I64" s="45">
        <f>'Data Sheet'!I30/'Data Sheet'!I17</f>
        <v>0.15085181945954101</v>
      </c>
      <c r="J64" s="45">
        <f>'Data Sheet'!J30/'Data Sheet'!J17</f>
        <v>0.14037881032863378</v>
      </c>
      <c r="K64" s="45">
        <f>'Data Sheet'!K30/'Data Sheet'!K17</f>
        <v>0.13850788868627606</v>
      </c>
      <c r="L64" s="45"/>
      <c r="M64" s="136">
        <f t="shared" si="0"/>
        <v>0.13155397117289297</v>
      </c>
      <c r="N64" s="32">
        <f t="shared" si="1"/>
        <v>0.17681549496701127</v>
      </c>
      <c r="O64" s="32">
        <f t="shared" si="2"/>
        <v>0.14324617282481697</v>
      </c>
    </row>
    <row r="65" spans="1:15" s="18" customFormat="1" hidden="1">
      <c r="A65" s="135" t="s">
        <v>61</v>
      </c>
      <c r="B65" s="45">
        <f>'Data Sheet'!B31/'Data Sheet'!B17</f>
        <v>9.9757555167781078E-2</v>
      </c>
      <c r="C65" s="45">
        <f>'Data Sheet'!C31/'Data Sheet'!C17</f>
        <v>0.11998941210006922</v>
      </c>
      <c r="D65" s="45">
        <f>'Data Sheet'!D31/'Data Sheet'!D17</f>
        <v>0.12036157445377359</v>
      </c>
      <c r="E65" s="45">
        <f>'Data Sheet'!E31/'Data Sheet'!E17</f>
        <v>0.13859135982389451</v>
      </c>
      <c r="F65" s="45">
        <f>'Data Sheet'!F31/'Data Sheet'!F17</f>
        <v>0.13086802092628561</v>
      </c>
      <c r="G65" s="45">
        <f>'Data Sheet'!G31/'Data Sheet'!G17</f>
        <v>0.12623504119588747</v>
      </c>
      <c r="H65" s="45">
        <f>'Data Sheet'!H31/'Data Sheet'!H17</f>
        <v>0.12035488856789756</v>
      </c>
      <c r="I65" s="45">
        <f>'Data Sheet'!I31/'Data Sheet'!I17</f>
        <v>0.10259834973077643</v>
      </c>
      <c r="J65" s="45">
        <f>'Data Sheet'!J31/'Data Sheet'!J17</f>
        <v>8.1965072301440997E-2</v>
      </c>
      <c r="K65" s="45">
        <f>'Data Sheet'!K31/'Data Sheet'!K17</f>
        <v>6.534623969017056E-2</v>
      </c>
      <c r="L65" s="45"/>
      <c r="M65" s="136">
        <f t="shared" si="0"/>
        <v>8.8632054669012666E-2</v>
      </c>
      <c r="N65" s="32">
        <f t="shared" si="1"/>
        <v>0.11702632923103713</v>
      </c>
      <c r="O65" s="32">
        <f t="shared" si="2"/>
        <v>8.3303220574129325E-2</v>
      </c>
    </row>
    <row r="66" spans="1:15" s="18" customFormat="1" hidden="1">
      <c r="A66" s="13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136">
        <f t="shared" si="0"/>
        <v>0</v>
      </c>
      <c r="N66" s="32">
        <f t="shared" si="1"/>
        <v>0</v>
      </c>
      <c r="O66" s="32">
        <f t="shared" si="2"/>
        <v>0</v>
      </c>
    </row>
    <row r="67" spans="1:15" s="18" customFormat="1" ht="18" hidden="1">
      <c r="A67" s="137" t="s">
        <v>234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136">
        <f t="shared" si="0"/>
        <v>0</v>
      </c>
      <c r="N67" s="32">
        <f t="shared" si="1"/>
        <v>0</v>
      </c>
      <c r="O67" s="32">
        <f t="shared" si="2"/>
        <v>0</v>
      </c>
    </row>
    <row r="68" spans="1:15" s="18" customFormat="1" hidden="1">
      <c r="A68" s="135" t="s">
        <v>24</v>
      </c>
      <c r="B68" s="45">
        <f>'Data Sheet'!B57/'Data Sheet'!B61</f>
        <v>0.18895635620892329</v>
      </c>
      <c r="C68" s="45">
        <f>'Data Sheet'!C57/'Data Sheet'!C61</f>
        <v>1.8983012994989043E-2</v>
      </c>
      <c r="D68" s="45">
        <f>'Data Sheet'!D57/'Data Sheet'!D61</f>
        <v>1.7221293623056272E-2</v>
      </c>
      <c r="E68" s="45">
        <f>'Data Sheet'!E57/'Data Sheet'!E61</f>
        <v>1.5086469876978712E-2</v>
      </c>
      <c r="F68" s="45">
        <f>'Data Sheet'!F57/'Data Sheet'!F61</f>
        <v>1.2928494020571514E-2</v>
      </c>
      <c r="G68" s="45">
        <f>'Data Sheet'!G57/'Data Sheet'!G61</f>
        <v>1.1859706646667946E-2</v>
      </c>
      <c r="H68" s="45">
        <f>'Data Sheet'!H57/'Data Sheet'!H61</f>
        <v>1.0264925654766397E-2</v>
      </c>
      <c r="I68" s="45">
        <f>'Data Sheet'!I57/'Data Sheet'!I61</f>
        <v>8.9576815412481473E-3</v>
      </c>
      <c r="J68" s="45">
        <f>'Data Sheet'!J57/'Data Sheet'!J61</f>
        <v>7.8482970349595463E-3</v>
      </c>
      <c r="K68" s="45">
        <f>'Data Sheet'!K57/'Data Sheet'!K61</f>
        <v>1.3783108597720719E-2</v>
      </c>
      <c r="L68" s="45"/>
      <c r="M68" s="136">
        <f t="shared" si="0"/>
        <v>9.794997699596927E-3</v>
      </c>
      <c r="N68" s="32">
        <f t="shared" si="1"/>
        <v>1.2501743434991936E-2</v>
      </c>
      <c r="O68" s="32">
        <f t="shared" si="2"/>
        <v>1.019636239130947E-2</v>
      </c>
    </row>
    <row r="69" spans="1:15" s="18" customFormat="1" hidden="1">
      <c r="A69" s="135" t="s">
        <v>25</v>
      </c>
      <c r="B69" s="45">
        <f>'Data Sheet'!B58/'Data Sheet'!B61</f>
        <v>0.20082257638705553</v>
      </c>
      <c r="C69" s="45">
        <f>'Data Sheet'!C58/'Data Sheet'!C61</f>
        <v>0.20743129126362664</v>
      </c>
      <c r="D69" s="45">
        <f>'Data Sheet'!D58/'Data Sheet'!D61</f>
        <v>0.25667325127893426</v>
      </c>
      <c r="E69" s="45">
        <f>'Data Sheet'!E58/'Data Sheet'!E61</f>
        <v>0.34666711038636894</v>
      </c>
      <c r="F69" s="45">
        <f>'Data Sheet'!F58/'Data Sheet'!F61</f>
        <v>0.35215886837652333</v>
      </c>
      <c r="G69" s="45">
        <f>'Data Sheet'!G58/'Data Sheet'!G61</f>
        <v>0.36781659312485832</v>
      </c>
      <c r="H69" s="45">
        <f>'Data Sheet'!H58/'Data Sheet'!H61</f>
        <v>0.35926485017737186</v>
      </c>
      <c r="I69" s="45">
        <f>'Data Sheet'!I58/'Data Sheet'!I61</f>
        <v>0.38615511279433556</v>
      </c>
      <c r="J69" s="45">
        <f>'Data Sheet'!J58/'Data Sheet'!J61</f>
        <v>0.43668848031577856</v>
      </c>
      <c r="K69" s="45">
        <f>'Data Sheet'!K58/'Data Sheet'!K61</f>
        <v>0.50281489589192419</v>
      </c>
      <c r="L69" s="45"/>
      <c r="M69" s="136">
        <f t="shared" ref="M69:M132" si="3">SUM(D69:K69)/10</f>
        <v>0.30082391623460947</v>
      </c>
      <c r="N69" s="32">
        <f t="shared" ref="N69:N132" si="4">SUM(G69:M69)/5</f>
        <v>0.47071276970777554</v>
      </c>
      <c r="O69" s="32">
        <f t="shared" ref="O69:O132" si="5">SUM(I69:K69)/3</f>
        <v>0.4418861630006794</v>
      </c>
    </row>
    <row r="70" spans="1:15" s="18" customFormat="1" hidden="1">
      <c r="A70" s="135" t="s">
        <v>62</v>
      </c>
      <c r="B70" s="45">
        <f>'Data Sheet'!B59/'Data Sheet'!B61</f>
        <v>5.9470049604690911E-3</v>
      </c>
      <c r="C70" s="45">
        <f>'Data Sheet'!C59/'Data Sheet'!C61</f>
        <v>6.5463478637131341E-3</v>
      </c>
      <c r="D70" s="45">
        <f>'Data Sheet'!D59/'Data Sheet'!D61</f>
        <v>5.938813756774553E-3</v>
      </c>
      <c r="E70" s="45">
        <f>'Data Sheet'!E59/'Data Sheet'!E61</f>
        <v>5.0916835834803149E-3</v>
      </c>
      <c r="F70" s="45">
        <f>'Data Sheet'!F59/'Data Sheet'!F61</f>
        <v>4.7531228016807044E-5</v>
      </c>
      <c r="G70" s="45">
        <f>'Data Sheet'!G59/'Data Sheet'!G61</f>
        <v>4.3601862671573334E-5</v>
      </c>
      <c r="H70" s="45">
        <f>'Data Sheet'!H59/'Data Sheet'!H61</f>
        <v>0</v>
      </c>
      <c r="I70" s="45">
        <f>'Data Sheet'!I59/'Data Sheet'!I61</f>
        <v>0</v>
      </c>
      <c r="J70" s="45">
        <f>'Data Sheet'!J59/'Data Sheet'!J61</f>
        <v>0</v>
      </c>
      <c r="K70" s="45">
        <f>'Data Sheet'!K59/'Data Sheet'!K61</f>
        <v>0</v>
      </c>
      <c r="L70" s="45"/>
      <c r="M70" s="136">
        <f t="shared" si="3"/>
        <v>1.1121630430943248E-3</v>
      </c>
      <c r="N70" s="32">
        <f t="shared" si="4"/>
        <v>2.3115298115317963E-4</v>
      </c>
      <c r="O70" s="32">
        <f t="shared" si="5"/>
        <v>0</v>
      </c>
    </row>
    <row r="71" spans="1:15" s="18" customFormat="1" hidden="1">
      <c r="A71" s="135" t="s">
        <v>63</v>
      </c>
      <c r="B71" s="45">
        <f>'Data Sheet'!B60/'Data Sheet'!B61</f>
        <v>0.60427406244355197</v>
      </c>
      <c r="C71" s="45">
        <f>'Data Sheet'!C60/'Data Sheet'!C61</f>
        <v>0.76703934787767125</v>
      </c>
      <c r="D71" s="45">
        <f>'Data Sheet'!D60/'Data Sheet'!D61</f>
        <v>0.72016664134123487</v>
      </c>
      <c r="E71" s="45">
        <f>'Data Sheet'!E60/'Data Sheet'!E61</f>
        <v>0.63315473615317197</v>
      </c>
      <c r="F71" s="45">
        <f>'Data Sheet'!F60/'Data Sheet'!F61</f>
        <v>0.63486510637488824</v>
      </c>
      <c r="G71" s="45">
        <f>'Data Sheet'!G60/'Data Sheet'!G61</f>
        <v>0.62028009836580211</v>
      </c>
      <c r="H71" s="45">
        <f>'Data Sheet'!H60/'Data Sheet'!H61</f>
        <v>0.63047022416786169</v>
      </c>
      <c r="I71" s="45">
        <f>'Data Sheet'!I60/'Data Sheet'!I61</f>
        <v>0.60488720566441623</v>
      </c>
      <c r="J71" s="45">
        <f>'Data Sheet'!J60/'Data Sheet'!J61</f>
        <v>0.55546322264926196</v>
      </c>
      <c r="K71" s="45">
        <f>'Data Sheet'!K60/'Data Sheet'!K61</f>
        <v>0.48340199551035506</v>
      </c>
      <c r="L71" s="45"/>
      <c r="M71" s="136">
        <f t="shared" si="3"/>
        <v>0.4882689230226992</v>
      </c>
      <c r="N71" s="32">
        <f t="shared" si="4"/>
        <v>0.67655433387607933</v>
      </c>
      <c r="O71" s="32">
        <f t="shared" si="5"/>
        <v>0.54791747460801099</v>
      </c>
    </row>
    <row r="72" spans="1:15" s="18" customFormat="1" hidden="1">
      <c r="A72" s="138" t="s">
        <v>26</v>
      </c>
      <c r="B72" s="45">
        <f>'Data Sheet'!B61/'Data Sheet'!B61</f>
        <v>1</v>
      </c>
      <c r="C72" s="45">
        <f>'Data Sheet'!C61/'Data Sheet'!C61</f>
        <v>1</v>
      </c>
      <c r="D72" s="45">
        <f>'Data Sheet'!D61/'Data Sheet'!D61</f>
        <v>1</v>
      </c>
      <c r="E72" s="45">
        <f>'Data Sheet'!E61/'Data Sheet'!E61</f>
        <v>1</v>
      </c>
      <c r="F72" s="45">
        <f>'Data Sheet'!F61/'Data Sheet'!F61</f>
        <v>1</v>
      </c>
      <c r="G72" s="45">
        <f>'Data Sheet'!G61/'Data Sheet'!G61</f>
        <v>1</v>
      </c>
      <c r="H72" s="45">
        <f>'Data Sheet'!H61/'Data Sheet'!H61</f>
        <v>1</v>
      </c>
      <c r="I72" s="45">
        <f>'Data Sheet'!I61/'Data Sheet'!I61</f>
        <v>1</v>
      </c>
      <c r="J72" s="45">
        <f>'Data Sheet'!J61/'Data Sheet'!J61</f>
        <v>1</v>
      </c>
      <c r="K72" s="45">
        <f>'Data Sheet'!K61/'Data Sheet'!K61</f>
        <v>1</v>
      </c>
      <c r="L72" s="45"/>
      <c r="M72" s="136">
        <f t="shared" si="3"/>
        <v>0.8</v>
      </c>
      <c r="N72" s="32">
        <f t="shared" si="4"/>
        <v>1.1599999999999999</v>
      </c>
      <c r="O72" s="32">
        <f t="shared" si="5"/>
        <v>1</v>
      </c>
    </row>
    <row r="73" spans="1:15" s="18" customFormat="1" hidden="1">
      <c r="A73" s="135" t="s">
        <v>27</v>
      </c>
      <c r="B73" s="45">
        <f>'Data Sheet'!B62/'Data Sheet'!B66</f>
        <v>0.23300309855632284</v>
      </c>
      <c r="C73" s="45">
        <f>'Data Sheet'!C62/'Data Sheet'!C66</f>
        <v>0.26715799170888993</v>
      </c>
      <c r="D73" s="45">
        <f>'Data Sheet'!D62/'Data Sheet'!D66</f>
        <v>0.22024261763663069</v>
      </c>
      <c r="E73" s="45">
        <f>'Data Sheet'!E62/'Data Sheet'!E66</f>
        <v>0.27394145118528623</v>
      </c>
      <c r="F73" s="45">
        <f>'Data Sheet'!F62/'Data Sheet'!F66</f>
        <v>0.24245679411373272</v>
      </c>
      <c r="G73" s="45">
        <f>'Data Sheet'!G62/'Data Sheet'!G66</f>
        <v>0.22186371801803373</v>
      </c>
      <c r="H73" s="45">
        <f>'Data Sheet'!H62/'Data Sheet'!H66</f>
        <v>0.21183485546078951</v>
      </c>
      <c r="I73" s="45">
        <f>'Data Sheet'!I62/'Data Sheet'!I66</f>
        <v>0.36615181952906306</v>
      </c>
      <c r="J73" s="45">
        <f>'Data Sheet'!J62/'Data Sheet'!J66</f>
        <v>0.45103470563115317</v>
      </c>
      <c r="K73" s="45">
        <f>'Data Sheet'!K62/'Data Sheet'!K66</f>
        <v>0.51085673168037371</v>
      </c>
      <c r="L73" s="45"/>
      <c r="M73" s="136">
        <f t="shared" si="3"/>
        <v>0.24983826932550629</v>
      </c>
      <c r="N73" s="32">
        <f t="shared" si="4"/>
        <v>0.40231601992898386</v>
      </c>
      <c r="O73" s="32">
        <f t="shared" si="5"/>
        <v>0.44268108561352992</v>
      </c>
    </row>
    <row r="74" spans="1:15" s="18" customFormat="1" hidden="1">
      <c r="A74" s="135" t="s">
        <v>28</v>
      </c>
      <c r="B74" s="45">
        <f>'Data Sheet'!B63/'Data Sheet'!B66</f>
        <v>3.3820116994817212E-2</v>
      </c>
      <c r="C74" s="45">
        <f>'Data Sheet'!C63/'Data Sheet'!C66</f>
        <v>1.0594196222938739E-2</v>
      </c>
      <c r="D74" s="45">
        <f>'Data Sheet'!D63/'Data Sheet'!D66</f>
        <v>5.9134883249759409E-3</v>
      </c>
      <c r="E74" s="45">
        <f>'Data Sheet'!E63/'Data Sheet'!E66</f>
        <v>6.8665623925366348E-3</v>
      </c>
      <c r="F74" s="45">
        <f>'Data Sheet'!F63/'Data Sheet'!F66</f>
        <v>7.8046276403597164E-3</v>
      </c>
      <c r="G74" s="45">
        <f>'Data Sheet'!G63/'Data Sheet'!G66</f>
        <v>6.0501944643075151E-2</v>
      </c>
      <c r="H74" s="45">
        <f>'Data Sheet'!H63/'Data Sheet'!H66</f>
        <v>7.6956751452939828E-2</v>
      </c>
      <c r="I74" s="45">
        <f>'Data Sheet'!I63/'Data Sheet'!I66</f>
        <v>9.3205993742795978E-2</v>
      </c>
      <c r="J74" s="45">
        <f>'Data Sheet'!J63/'Data Sheet'!J66</f>
        <v>8.1472248190852123E-2</v>
      </c>
      <c r="K74" s="45">
        <f>'Data Sheet'!K63/'Data Sheet'!K66</f>
        <v>3.9712581647182825E-2</v>
      </c>
      <c r="L74" s="45"/>
      <c r="M74" s="136">
        <f t="shared" si="3"/>
        <v>3.7243419803471824E-2</v>
      </c>
      <c r="N74" s="32">
        <f t="shared" si="4"/>
        <v>7.7818587896063551E-2</v>
      </c>
      <c r="O74" s="32">
        <f t="shared" si="5"/>
        <v>7.1463607860276987E-2</v>
      </c>
    </row>
    <row r="75" spans="1:15" s="18" customFormat="1" hidden="1">
      <c r="A75" s="135" t="s">
        <v>29</v>
      </c>
      <c r="B75" s="45">
        <f>'Data Sheet'!B64/'Data Sheet'!B66</f>
        <v>0.1852742152871375</v>
      </c>
      <c r="C75" s="45">
        <f>'Data Sheet'!C64/'Data Sheet'!C66</f>
        <v>0.10132183186075402</v>
      </c>
      <c r="D75" s="45">
        <f>'Data Sheet'!D64/'Data Sheet'!D66</f>
        <v>4.8536190042040211E-2</v>
      </c>
      <c r="E75" s="45">
        <f>'Data Sheet'!E64/'Data Sheet'!E66</f>
        <v>2.3295284368864189E-2</v>
      </c>
      <c r="F75" s="45">
        <f>'Data Sheet'!F64/'Data Sheet'!F66</f>
        <v>3.6827195467422094E-2</v>
      </c>
      <c r="G75" s="45">
        <f>'Data Sheet'!G64/'Data Sheet'!G66</f>
        <v>4.1090395381690702E-2</v>
      </c>
      <c r="H75" s="45">
        <f>'Data Sheet'!H64/'Data Sheet'!H66</f>
        <v>3.5564948297984747E-2</v>
      </c>
      <c r="I75" s="45">
        <f>'Data Sheet'!I64/'Data Sheet'!I66</f>
        <v>2.4455787913716453E-2</v>
      </c>
      <c r="J75" s="45">
        <f>'Data Sheet'!J64/'Data Sheet'!J66</f>
        <v>2.1427005066768236E-2</v>
      </c>
      <c r="K75" s="45">
        <f>'Data Sheet'!K64/'Data Sheet'!K66</f>
        <v>1.5267833163578135E-2</v>
      </c>
      <c r="L75" s="45"/>
      <c r="M75" s="136">
        <f t="shared" si="3"/>
        <v>2.4646463970206471E-2</v>
      </c>
      <c r="N75" s="32">
        <f t="shared" si="4"/>
        <v>3.2490486758788947E-2</v>
      </c>
      <c r="O75" s="32">
        <f t="shared" si="5"/>
        <v>2.0383542048020939E-2</v>
      </c>
    </row>
    <row r="76" spans="1:15" s="18" customFormat="1" hidden="1">
      <c r="A76" s="135" t="s">
        <v>64</v>
      </c>
      <c r="B76" s="45">
        <f>'Data Sheet'!B65/'Data Sheet'!B66</f>
        <v>0.54790256916172231</v>
      </c>
      <c r="C76" s="45">
        <f>'Data Sheet'!C65/'Data Sheet'!C66</f>
        <v>0.62092598020741741</v>
      </c>
      <c r="D76" s="45">
        <f>'Data Sheet'!D65/'Data Sheet'!D66</f>
        <v>0.72530770399635303</v>
      </c>
      <c r="E76" s="45">
        <f>'Data Sheet'!E65/'Data Sheet'!E66</f>
        <v>0.695896702053313</v>
      </c>
      <c r="F76" s="45">
        <f>'Data Sheet'!F65/'Data Sheet'!F66</f>
        <v>0.71291138277848543</v>
      </c>
      <c r="G76" s="45">
        <f>'Data Sheet'!G65/'Data Sheet'!G66</f>
        <v>0.67654394195720047</v>
      </c>
      <c r="H76" s="45">
        <f>'Data Sheet'!H65/'Data Sheet'!H66</f>
        <v>0.67564344478828586</v>
      </c>
      <c r="I76" s="45">
        <f>'Data Sheet'!I65/'Data Sheet'!I66</f>
        <v>0.51618639881442452</v>
      </c>
      <c r="J76" s="45">
        <f>'Data Sheet'!J65/'Data Sheet'!J66</f>
        <v>0.44606604111122655</v>
      </c>
      <c r="K76" s="45">
        <f>'Data Sheet'!K65/'Data Sheet'!K66</f>
        <v>0.43416285350886524</v>
      </c>
      <c r="L76" s="45"/>
      <c r="M76" s="136">
        <f t="shared" si="3"/>
        <v>0.48827184690081538</v>
      </c>
      <c r="N76" s="32">
        <f t="shared" si="4"/>
        <v>0.6473749054161636</v>
      </c>
      <c r="O76" s="32">
        <f t="shared" si="5"/>
        <v>0.46547176447817212</v>
      </c>
    </row>
    <row r="77" spans="1:15" s="18" customFormat="1" hidden="1">
      <c r="A77" s="138" t="s">
        <v>26</v>
      </c>
      <c r="B77" s="45">
        <f>'Data Sheet'!B66/'Data Sheet'!B66</f>
        <v>1</v>
      </c>
      <c r="C77" s="45">
        <f>'Data Sheet'!C66/'Data Sheet'!C66</f>
        <v>1</v>
      </c>
      <c r="D77" s="45">
        <f>'Data Sheet'!D66/'Data Sheet'!D66</f>
        <v>1</v>
      </c>
      <c r="E77" s="45">
        <f>'Data Sheet'!E66/'Data Sheet'!E66</f>
        <v>1</v>
      </c>
      <c r="F77" s="45">
        <f>'Data Sheet'!F66/'Data Sheet'!F66</f>
        <v>1</v>
      </c>
      <c r="G77" s="45">
        <f>'Data Sheet'!G66/'Data Sheet'!G66</f>
        <v>1</v>
      </c>
      <c r="H77" s="45">
        <f>'Data Sheet'!H66/'Data Sheet'!H66</f>
        <v>1</v>
      </c>
      <c r="I77" s="45">
        <f>'Data Sheet'!I66/'Data Sheet'!I66</f>
        <v>1</v>
      </c>
      <c r="J77" s="45">
        <f>'Data Sheet'!J66/'Data Sheet'!J66</f>
        <v>1</v>
      </c>
      <c r="K77" s="45">
        <f>'Data Sheet'!K66/'Data Sheet'!K66</f>
        <v>1</v>
      </c>
      <c r="L77" s="45"/>
      <c r="M77" s="136">
        <f t="shared" si="3"/>
        <v>0.8</v>
      </c>
      <c r="N77" s="32">
        <f t="shared" si="4"/>
        <v>1.1599999999999999</v>
      </c>
      <c r="O77" s="32">
        <f t="shared" si="5"/>
        <v>1</v>
      </c>
    </row>
    <row r="78" spans="1:15" s="18" customFormat="1" hidden="1">
      <c r="A78" s="57" t="s">
        <v>318</v>
      </c>
      <c r="B78" s="45">
        <f>'Data Sheet'!B67/'Data Sheet'!B61</f>
        <v>1.2963915018966498E-2</v>
      </c>
      <c r="C78" s="45">
        <f>'Data Sheet'!C67/'Data Sheet'!C61</f>
        <v>1.2827491869408037E-2</v>
      </c>
      <c r="D78" s="45">
        <f>'Data Sheet'!D67/'Data Sheet'!D61</f>
        <v>1.4106265511826976E-2</v>
      </c>
      <c r="E78" s="45">
        <f>'Data Sheet'!E67/'Data Sheet'!E61</f>
        <v>1.0837853727800148E-2</v>
      </c>
      <c r="F78" s="45">
        <f>'Data Sheet'!F67/'Data Sheet'!F61</f>
        <v>7.1582029393311403E-2</v>
      </c>
      <c r="G78" s="45">
        <f>'Data Sheet'!G67/'Data Sheet'!G61</f>
        <v>7.610269110696409E-2</v>
      </c>
      <c r="H78" s="45">
        <f>'Data Sheet'!H67/'Data Sheet'!H61</f>
        <v>6.1295192089969044E-2</v>
      </c>
      <c r="I78" s="45">
        <f>'Data Sheet'!I67/'Data Sheet'!I61</f>
        <v>3.6048081672978759E-2</v>
      </c>
      <c r="J78" s="45">
        <f>'Data Sheet'!J67/'Data Sheet'!J61</f>
        <v>4.0187897464307565E-2</v>
      </c>
      <c r="K78" s="45">
        <f>'Data Sheet'!K67/'Data Sheet'!K61</f>
        <v>5.1453560551932426E-2</v>
      </c>
      <c r="L78" s="45"/>
      <c r="M78" s="136">
        <f t="shared" si="3"/>
        <v>3.6161357151909032E-2</v>
      </c>
      <c r="N78" s="32">
        <f t="shared" si="4"/>
        <v>6.024975600761219E-2</v>
      </c>
      <c r="O78" s="32">
        <f t="shared" si="5"/>
        <v>4.2563179896406254E-2</v>
      </c>
    </row>
    <row r="79" spans="1:15" s="18" customFormat="1" hidden="1">
      <c r="A79" s="57" t="s">
        <v>319</v>
      </c>
      <c r="B79" s="45">
        <f>'Data Sheet'!B68/'Data Sheet'!B66</f>
        <v>0.11161750198001917</v>
      </c>
      <c r="C79" s="45">
        <f>'Data Sheet'!C68/'Data Sheet'!C66</f>
        <v>0.10557905168683612</v>
      </c>
      <c r="D79" s="45">
        <f>'Data Sheet'!D68/'Data Sheet'!D66</f>
        <v>0.10436610444208073</v>
      </c>
      <c r="E79" s="45">
        <f>'Data Sheet'!E68/'Data Sheet'!E66</f>
        <v>0.12263303271323504</v>
      </c>
      <c r="F79" s="45">
        <f>'Data Sheet'!F68/'Data Sheet'!F66</f>
        <v>0.14611099492366483</v>
      </c>
      <c r="G79" s="45">
        <f>'Data Sheet'!G68/'Data Sheet'!G66</f>
        <v>0.18982506932696167</v>
      </c>
      <c r="H79" s="45">
        <f>'Data Sheet'!H68/'Data Sheet'!H66</f>
        <v>0.13985961204619216</v>
      </c>
      <c r="I79" s="45">
        <f>'Data Sheet'!I68/'Data Sheet'!I66</f>
        <v>0.14868434052362919</v>
      </c>
      <c r="J79" s="45">
        <f>'Data Sheet'!J68/'Data Sheet'!J66</f>
        <v>0.14555705596528282</v>
      </c>
      <c r="K79" s="45">
        <f>'Data Sheet'!K68/'Data Sheet'!K66</f>
        <v>0.14830016772827007</v>
      </c>
      <c r="L79" s="45"/>
      <c r="M79" s="136">
        <f t="shared" si="3"/>
        <v>0.11453363776693164</v>
      </c>
      <c r="N79" s="32">
        <f t="shared" si="4"/>
        <v>0.17735197667145347</v>
      </c>
      <c r="O79" s="32">
        <f t="shared" si="5"/>
        <v>0.14751385473906067</v>
      </c>
    </row>
    <row r="80" spans="1:15" s="18" customFormat="1" hidden="1">
      <c r="A80" s="57" t="s">
        <v>320</v>
      </c>
      <c r="B80" s="45">
        <f>'Data Sheet'!B69/'Data Sheet'!B66</f>
        <v>0.15523350331392682</v>
      </c>
      <c r="C80" s="45">
        <f>'Data Sheet'!C69/'Data Sheet'!C66</f>
        <v>0.20135951872478819</v>
      </c>
      <c r="D80" s="45">
        <f>'Data Sheet'!D69/'Data Sheet'!D66</f>
        <v>0.31801144709517293</v>
      </c>
      <c r="E80" s="45">
        <f>'Data Sheet'!E69/'Data Sheet'!E66</f>
        <v>0.38557023528237211</v>
      </c>
      <c r="F80" s="45">
        <f>'Data Sheet'!F69/'Data Sheet'!F66</f>
        <v>0.37563929501682602</v>
      </c>
      <c r="G80" s="45">
        <f>'Data Sheet'!G69/'Data Sheet'!G66</f>
        <v>0.27015714111306838</v>
      </c>
      <c r="H80" s="45">
        <f>'Data Sheet'!H69/'Data Sheet'!H66</f>
        <v>0.32364706770322288</v>
      </c>
      <c r="I80" s="45">
        <f>'Data Sheet'!I69/'Data Sheet'!I66</f>
        <v>0.18796640869422032</v>
      </c>
      <c r="J80" s="45">
        <f>'Data Sheet'!J69/'Data Sheet'!J66</f>
        <v>0.1468381750401071</v>
      </c>
      <c r="K80" s="45">
        <f>'Data Sheet'!K69/'Data Sheet'!K66</f>
        <v>0.14609081649716485</v>
      </c>
      <c r="L80" s="45"/>
      <c r="M80" s="136">
        <f t="shared" si="3"/>
        <v>0.21539205864421546</v>
      </c>
      <c r="N80" s="32">
        <f t="shared" si="4"/>
        <v>0.25801833353839981</v>
      </c>
      <c r="O80" s="32">
        <f t="shared" si="5"/>
        <v>0.16029846674383075</v>
      </c>
    </row>
    <row r="81" spans="1:15" s="18" customFormat="1" ht="18" hidden="1">
      <c r="A81" s="170" t="s">
        <v>321</v>
      </c>
      <c r="B81" s="46"/>
      <c r="C81" s="69"/>
      <c r="D81" s="46"/>
      <c r="E81" s="46"/>
      <c r="F81" s="46"/>
      <c r="G81" s="46"/>
      <c r="H81" s="46"/>
      <c r="I81" s="46"/>
      <c r="J81" s="46"/>
      <c r="K81" s="46"/>
      <c r="L81" s="46"/>
      <c r="M81" s="136">
        <f t="shared" si="3"/>
        <v>0</v>
      </c>
      <c r="N81" s="32">
        <f t="shared" si="4"/>
        <v>0</v>
      </c>
      <c r="O81" s="32">
        <f t="shared" si="5"/>
        <v>0</v>
      </c>
    </row>
    <row r="82" spans="1:15" s="18" customFormat="1">
      <c r="A82" s="57" t="s">
        <v>134</v>
      </c>
      <c r="B82" s="46">
        <f>SUM('Data Sheet'!B57,'Data Sheet'!B58,'Data Sheet'!B59)</f>
        <v>284.79999999999995</v>
      </c>
      <c r="C82" s="46">
        <f>SUM('Data Sheet'!C57,'Data Sheet'!C58,'Data Sheet'!C59)</f>
        <v>166.9</v>
      </c>
      <c r="D82" s="46">
        <f>SUM('Data Sheet'!D57,'Data Sheet'!D58,'Data Sheet'!D59)</f>
        <v>220.98999999999998</v>
      </c>
      <c r="E82" s="46">
        <f>SUM('Data Sheet'!E57,'Data Sheet'!E58,'Data Sheet'!E59)</f>
        <v>330.7</v>
      </c>
      <c r="F82" s="46">
        <f>SUM('Data Sheet'!F57,'Data Sheet'!F58,'Data Sheet'!F59)</f>
        <v>384.1</v>
      </c>
      <c r="G82" s="46">
        <f>SUM('Data Sheet'!G57,'Data Sheet'!G58,'Data Sheet'!G59)</f>
        <v>435.44000000000005</v>
      </c>
      <c r="H82" s="46">
        <f>SUM('Data Sheet'!H57,'Data Sheet'!H58,'Data Sheet'!H59)</f>
        <v>489.59000000000003</v>
      </c>
      <c r="I82" s="46">
        <f>SUM('Data Sheet'!I57,'Data Sheet'!I58,'Data Sheet'!I59)</f>
        <v>599.88</v>
      </c>
      <c r="J82" s="46">
        <f>SUM('Data Sheet'!J57,'Data Sheet'!J58,'Data Sheet'!J59)</f>
        <v>770.32</v>
      </c>
      <c r="K82" s="46">
        <f>SUM('Data Sheet'!K57,'Data Sheet'!K58,'Data Sheet'!K59)</f>
        <v>1019.47</v>
      </c>
      <c r="L82" s="46"/>
      <c r="M82" s="136">
        <f t="shared" si="3"/>
        <v>425.04900000000009</v>
      </c>
      <c r="N82" s="32">
        <f t="shared" si="4"/>
        <v>747.94979999999998</v>
      </c>
      <c r="O82" s="32">
        <f t="shared" si="5"/>
        <v>796.55666666666673</v>
      </c>
    </row>
    <row r="83" spans="1:15" s="18" customFormat="1">
      <c r="A83" s="57" t="s">
        <v>135</v>
      </c>
      <c r="B83" s="46">
        <f>B82-'Data Sheet'!B69</f>
        <v>173.07999999999996</v>
      </c>
      <c r="C83" s="46">
        <f>C82-'Data Sheet'!C69</f>
        <v>22.640000000000015</v>
      </c>
      <c r="D83" s="46">
        <f>D82-'Data Sheet'!D69</f>
        <v>-30.150000000000006</v>
      </c>
      <c r="E83" s="46">
        <f>E82-'Data Sheet'!E69</f>
        <v>-16.879999999999995</v>
      </c>
      <c r="F83" s="46">
        <f>F82-'Data Sheet'!F69</f>
        <v>-11.049999999999955</v>
      </c>
      <c r="G83" s="46">
        <f>G82-'Data Sheet'!G69</f>
        <v>125.64000000000004</v>
      </c>
      <c r="H83" s="46">
        <f>H82-'Data Sheet'!H69</f>
        <v>60.79000000000002</v>
      </c>
      <c r="I83" s="46">
        <f>I82-'Data Sheet'!I69</f>
        <v>314.5</v>
      </c>
      <c r="J83" s="46">
        <f>J82-'Data Sheet'!J69</f>
        <v>515.87000000000012</v>
      </c>
      <c r="K83" s="46">
        <f>K82-'Data Sheet'!K69</f>
        <v>731.17000000000007</v>
      </c>
      <c r="L83" s="46"/>
      <c r="M83" s="136">
        <f t="shared" si="3"/>
        <v>168.98900000000003</v>
      </c>
      <c r="N83" s="32">
        <f t="shared" si="4"/>
        <v>383.39180000000005</v>
      </c>
      <c r="O83" s="32">
        <f t="shared" si="5"/>
        <v>520.51333333333343</v>
      </c>
    </row>
    <row r="84" spans="1:15" s="2" customFormat="1">
      <c r="A84" s="138" t="s">
        <v>444</v>
      </c>
      <c r="B84" s="160">
        <f>'Data Sheet'!B62+'Data Sheet'!B63+Customization!B86</f>
        <v>151.46</v>
      </c>
      <c r="C84" s="160">
        <f>'Data Sheet'!C62+'Data Sheet'!C63+Customization!C86</f>
        <v>94.310000000000059</v>
      </c>
      <c r="D84" s="160">
        <f>'Data Sheet'!D62+'Data Sheet'!D63+Customization!D86</f>
        <v>182.65999999999994</v>
      </c>
      <c r="E84" s="160">
        <f>'Data Sheet'!E62+'Data Sheet'!E63+Customization!E86</f>
        <v>309.70000000000005</v>
      </c>
      <c r="F84" s="160">
        <f>'Data Sheet'!F62+'Data Sheet'!F63+Customization!F86</f>
        <v>345.36</v>
      </c>
      <c r="G84" s="160">
        <f>'Data Sheet'!G62+'Data Sheet'!G63+Customization!G86</f>
        <v>388.32000000000005</v>
      </c>
      <c r="H84" s="160">
        <f>'Data Sheet'!H62+'Data Sheet'!H63+Customization!H86</f>
        <v>442.47</v>
      </c>
      <c r="I84" s="160">
        <f>'Data Sheet'!I62+'Data Sheet'!I63+Customization!I86</f>
        <v>562.75</v>
      </c>
      <c r="J84" s="160">
        <f>'Data Sheet'!J62+'Data Sheet'!J63+Customization!J86</f>
        <v>733.19</v>
      </c>
      <c r="K84" s="160">
        <f>'Data Sheet'!K62+'Data Sheet'!K63+Customization!K86</f>
        <v>989.33999999999992</v>
      </c>
      <c r="L84" s="160"/>
      <c r="M84" s="136">
        <f t="shared" si="3"/>
        <v>395.37900000000002</v>
      </c>
      <c r="N84" s="32">
        <f t="shared" si="4"/>
        <v>702.2897999999999</v>
      </c>
      <c r="O84" s="32">
        <f t="shared" si="5"/>
        <v>761.75999999999988</v>
      </c>
    </row>
    <row r="85" spans="1:15" s="18" customFormat="1">
      <c r="A85" s="57" t="s">
        <v>445</v>
      </c>
      <c r="B85" s="143">
        <f>'Data Sheet'!B62+'Data Sheet'!B63+Customization!B87</f>
        <v>39.740000000000009</v>
      </c>
      <c r="C85" s="143">
        <f>'Data Sheet'!C62+'Data Sheet'!C63+Customization!C87</f>
        <v>-49.949999999999932</v>
      </c>
      <c r="D85" s="143">
        <f>'Data Sheet'!D62+'Data Sheet'!D63+Customization!D87</f>
        <v>-68.480000000000047</v>
      </c>
      <c r="E85" s="143">
        <f>'Data Sheet'!E62+'Data Sheet'!E63+Customization!E87</f>
        <v>-37.879999999999939</v>
      </c>
      <c r="F85" s="143">
        <f>'Data Sheet'!F62+'Data Sheet'!F63+Customization!F87</f>
        <v>-49.789999999999964</v>
      </c>
      <c r="G85" s="143">
        <f>'Data Sheet'!G62+'Data Sheet'!G63+Customization!G87</f>
        <v>78.520000000000039</v>
      </c>
      <c r="H85" s="143">
        <f>'Data Sheet'!H62+'Data Sheet'!H63+Customization!H87</f>
        <v>13.670000000000016</v>
      </c>
      <c r="I85" s="143">
        <f>'Data Sheet'!I62+'Data Sheet'!I63+Customization!I87</f>
        <v>277.37</v>
      </c>
      <c r="J85" s="143">
        <f>'Data Sheet'!J62+'Data Sheet'!J63+Customization!J87</f>
        <v>478.74000000000007</v>
      </c>
      <c r="K85" s="143">
        <f>'Data Sheet'!K62+'Data Sheet'!K63+Customization!K87</f>
        <v>701.04</v>
      </c>
      <c r="L85" s="143"/>
      <c r="M85" s="136">
        <f t="shared" si="3"/>
        <v>139.31900000000002</v>
      </c>
      <c r="N85" s="32">
        <f t="shared" si="4"/>
        <v>337.73180000000002</v>
      </c>
      <c r="O85" s="32">
        <f t="shared" si="5"/>
        <v>485.7166666666667</v>
      </c>
    </row>
    <row r="86" spans="1:15" s="18" customFormat="1" hidden="1">
      <c r="A86" s="57" t="s">
        <v>114</v>
      </c>
      <c r="B86" s="143">
        <f>'Balance Sheet'!B16</f>
        <v>-40.569999999999993</v>
      </c>
      <c r="C86" s="143">
        <f>'Balance Sheet'!C16</f>
        <v>-104.67999999999995</v>
      </c>
      <c r="D86" s="143">
        <f>'Balance Sheet'!D16</f>
        <v>4.0599999999999454</v>
      </c>
      <c r="E86" s="143">
        <f>'Balance Sheet'!E16</f>
        <v>56.560000000000059</v>
      </c>
      <c r="F86" s="143">
        <f>'Balance Sheet'!F16</f>
        <v>82.100000000000023</v>
      </c>
      <c r="G86" s="143">
        <f>'Balance Sheet'!G16</f>
        <v>64.520000000000095</v>
      </c>
      <c r="H86" s="143">
        <f>'Balance Sheet'!H16</f>
        <v>59.850000000000023</v>
      </c>
      <c r="I86" s="143">
        <f>'Balance Sheet'!I16</f>
        <v>-134.66999999999996</v>
      </c>
      <c r="J86" s="143">
        <f>'Balance Sheet'!J16</f>
        <v>-189.56999999999994</v>
      </c>
      <c r="K86" s="143">
        <f>'Balance Sheet'!K16</f>
        <v>-97.170000000000073</v>
      </c>
      <c r="L86" s="143"/>
      <c r="M86" s="136">
        <f t="shared" si="3"/>
        <v>-15.431999999999983</v>
      </c>
      <c r="N86" s="32">
        <f t="shared" si="4"/>
        <v>-62.494399999999963</v>
      </c>
      <c r="O86" s="32">
        <f t="shared" si="5"/>
        <v>-140.47</v>
      </c>
    </row>
    <row r="87" spans="1:15" s="18" customFormat="1" hidden="1">
      <c r="A87" s="57" t="s">
        <v>115</v>
      </c>
      <c r="B87" s="143">
        <f>B86-'Data Sheet'!B69</f>
        <v>-152.29</v>
      </c>
      <c r="C87" s="143">
        <f>C86-'Data Sheet'!C69</f>
        <v>-248.93999999999994</v>
      </c>
      <c r="D87" s="143">
        <f>D86-'Data Sheet'!D69</f>
        <v>-247.08000000000004</v>
      </c>
      <c r="E87" s="143">
        <f>E86-'Data Sheet'!E69</f>
        <v>-291.01999999999992</v>
      </c>
      <c r="F87" s="143">
        <f>F86-'Data Sheet'!F69</f>
        <v>-313.04999999999995</v>
      </c>
      <c r="G87" s="143">
        <f>G86-'Data Sheet'!G69</f>
        <v>-245.27999999999992</v>
      </c>
      <c r="H87" s="143">
        <f>H86-'Data Sheet'!H69</f>
        <v>-368.95</v>
      </c>
      <c r="I87" s="143">
        <f>I86-'Data Sheet'!I69</f>
        <v>-420.04999999999995</v>
      </c>
      <c r="J87" s="143">
        <f>J86-'Data Sheet'!J69</f>
        <v>-444.01999999999992</v>
      </c>
      <c r="K87" s="143">
        <f>K86-'Data Sheet'!K69</f>
        <v>-385.47000000000008</v>
      </c>
      <c r="L87" s="143"/>
      <c r="M87" s="136">
        <f t="shared" si="3"/>
        <v>-271.49200000000002</v>
      </c>
      <c r="N87" s="32">
        <f t="shared" si="4"/>
        <v>-427.05239999999992</v>
      </c>
      <c r="O87" s="32">
        <f t="shared" si="5"/>
        <v>-416.51333333333332</v>
      </c>
    </row>
    <row r="88" spans="1:15" s="18" customFormat="1" hidden="1">
      <c r="A88" s="57" t="s">
        <v>85</v>
      </c>
      <c r="B88" s="143">
        <f>'Profit &amp; Loss'!B10+'Profit &amp; Loss'!B9-'Profit &amp; Loss'!B7</f>
        <v>135.59</v>
      </c>
      <c r="C88" s="143">
        <f>'Profit &amp; Loss'!C10+'Profit &amp; Loss'!C9-'Profit &amp; Loss'!C7</f>
        <v>208.71</v>
      </c>
      <c r="D88" s="143">
        <f>'Profit &amp; Loss'!D10+'Profit &amp; Loss'!D9-'Profit &amp; Loss'!D7</f>
        <v>238.65000000000003</v>
      </c>
      <c r="E88" s="143">
        <f>'Profit &amp; Loss'!E10+'Profit &amp; Loss'!E9-'Profit &amp; Loss'!E7</f>
        <v>387.84000000000003</v>
      </c>
      <c r="F88" s="143">
        <f>'Profit &amp; Loss'!F10+'Profit &amp; Loss'!F9-'Profit &amp; Loss'!F7</f>
        <v>480.31000000000006</v>
      </c>
      <c r="G88" s="143">
        <f>'Profit &amp; Loss'!G10+'Profit &amp; Loss'!G9-'Profit &amp; Loss'!G7</f>
        <v>539.21</v>
      </c>
      <c r="H88" s="143">
        <f>'Profit &amp; Loss'!H10+'Profit &amp; Loss'!H9-'Profit &amp; Loss'!H7</f>
        <v>613.11</v>
      </c>
      <c r="I88" s="143">
        <f>'Profit &amp; Loss'!I10+'Profit &amp; Loss'!I9-'Profit &amp; Loss'!I7</f>
        <v>613.26</v>
      </c>
      <c r="J88" s="143">
        <f>'Profit &amp; Loss'!J10+'Profit &amp; Loss'!J9-'Profit &amp; Loss'!J7</f>
        <v>747.22</v>
      </c>
      <c r="K88" s="143">
        <f>'Profit &amp; Loss'!K10+'Profit &amp; Loss'!K9-'Profit &amp; Loss'!K7</f>
        <v>788.54</v>
      </c>
      <c r="L88" s="143"/>
      <c r="M88" s="136">
        <f t="shared" si="3"/>
        <v>440.81400000000002</v>
      </c>
      <c r="N88" s="32">
        <f t="shared" si="4"/>
        <v>748.43079999999998</v>
      </c>
      <c r="O88" s="32">
        <f t="shared" si="5"/>
        <v>716.34</v>
      </c>
    </row>
    <row r="89" spans="1:15" s="18" customFormat="1" hidden="1">
      <c r="A89" s="57" t="s">
        <v>261</v>
      </c>
      <c r="B89" s="46">
        <f>B88+'Data Sheet'!B26</f>
        <v>150.85</v>
      </c>
      <c r="C89" s="46">
        <f>C88+'Data Sheet'!C26</f>
        <v>228.55</v>
      </c>
      <c r="D89" s="46">
        <f>D88+'Data Sheet'!D26</f>
        <v>261.60000000000002</v>
      </c>
      <c r="E89" s="46">
        <f>E88+'Data Sheet'!E26</f>
        <v>425.41</v>
      </c>
      <c r="F89" s="46">
        <f>F88+'Data Sheet'!F26</f>
        <v>514.56000000000006</v>
      </c>
      <c r="G89" s="46">
        <f>G88+'Data Sheet'!G26</f>
        <v>578.52</v>
      </c>
      <c r="H89" s="46">
        <f>H88+'Data Sheet'!H26</f>
        <v>656.81000000000006</v>
      </c>
      <c r="I89" s="46">
        <f>I88+'Data Sheet'!I26</f>
        <v>664.01</v>
      </c>
      <c r="J89" s="46">
        <f>J88+'Data Sheet'!J26</f>
        <v>822.24</v>
      </c>
      <c r="K89" s="46">
        <f>K88+'Data Sheet'!K26</f>
        <v>899.94999999999993</v>
      </c>
      <c r="L89" s="46"/>
      <c r="M89" s="136">
        <f t="shared" si="3"/>
        <v>482.30999999999995</v>
      </c>
      <c r="N89" s="32">
        <f t="shared" si="4"/>
        <v>820.76800000000003</v>
      </c>
      <c r="O89" s="32">
        <f t="shared" si="5"/>
        <v>795.4</v>
      </c>
    </row>
    <row r="90" spans="1:15" s="18" customFormat="1" hidden="1">
      <c r="A90" s="57" t="s">
        <v>368</v>
      </c>
      <c r="B90" s="46">
        <f>'Data Sheet'!B82</f>
        <v>154.24</v>
      </c>
      <c r="C90" s="46">
        <f>'Data Sheet'!C82</f>
        <v>281.39999999999998</v>
      </c>
      <c r="D90" s="46">
        <f>'Data Sheet'!D82</f>
        <v>319.38</v>
      </c>
      <c r="E90" s="46">
        <f>'Data Sheet'!E82</f>
        <v>397.35</v>
      </c>
      <c r="F90" s="46">
        <f>'Data Sheet'!F82</f>
        <v>357.91</v>
      </c>
      <c r="G90" s="46">
        <f>'Data Sheet'!G82</f>
        <v>402.84</v>
      </c>
      <c r="H90" s="46">
        <f>'Data Sheet'!H82</f>
        <v>614.9</v>
      </c>
      <c r="I90" s="46">
        <f>'Data Sheet'!I82</f>
        <v>457.38</v>
      </c>
      <c r="J90" s="46">
        <f>'Data Sheet'!J82</f>
        <v>638.15</v>
      </c>
      <c r="K90" s="46">
        <f>'Data Sheet'!K82</f>
        <v>672.93</v>
      </c>
      <c r="L90" s="46"/>
      <c r="M90" s="136">
        <f t="shared" si="3"/>
        <v>386.084</v>
      </c>
      <c r="N90" s="32">
        <f t="shared" si="4"/>
        <v>634.45679999999993</v>
      </c>
      <c r="O90" s="32">
        <f t="shared" si="5"/>
        <v>589.48666666666668</v>
      </c>
    </row>
    <row r="91" spans="1:15" s="18" customFormat="1" hidden="1">
      <c r="A91" s="57" t="s">
        <v>273</v>
      </c>
      <c r="B91" s="46">
        <f>'Data Sheet'!B28</f>
        <v>201.61</v>
      </c>
      <c r="C91" s="46">
        <f>'Data Sheet'!C28</f>
        <v>292.05</v>
      </c>
      <c r="D91" s="46">
        <f>'Data Sheet'!D28</f>
        <v>345.31</v>
      </c>
      <c r="E91" s="46">
        <f>'Data Sheet'!E28</f>
        <v>484.8</v>
      </c>
      <c r="F91" s="46">
        <f>'Data Sheet'!F28</f>
        <v>519.94000000000005</v>
      </c>
      <c r="G91" s="46">
        <f>'Data Sheet'!G28</f>
        <v>588.39</v>
      </c>
      <c r="H91" s="46">
        <f>'Data Sheet'!H28</f>
        <v>663.03</v>
      </c>
      <c r="I91" s="46">
        <f>'Data Sheet'!I28</f>
        <v>727.96</v>
      </c>
      <c r="J91" s="46">
        <f>'Data Sheet'!J28</f>
        <v>780.39</v>
      </c>
      <c r="K91" s="46">
        <f>'Data Sheet'!K28</f>
        <v>828.15</v>
      </c>
      <c r="L91" s="46"/>
      <c r="M91" s="136">
        <f t="shared" si="3"/>
        <v>493.79700000000003</v>
      </c>
      <c r="N91" s="32">
        <f t="shared" si="4"/>
        <v>816.34339999999997</v>
      </c>
      <c r="O91" s="32">
        <f t="shared" si="5"/>
        <v>778.83333333333337</v>
      </c>
    </row>
    <row r="92" spans="1:15" s="18" customFormat="1" hidden="1">
      <c r="A92" s="57" t="s">
        <v>96</v>
      </c>
      <c r="B92" s="46"/>
      <c r="C92" s="143">
        <f>C163</f>
        <v>165.58874884437597</v>
      </c>
      <c r="D92" s="143">
        <f t="shared" ref="D92:K92" si="6">D163</f>
        <v>200.57630245286845</v>
      </c>
      <c r="E92" s="143">
        <f t="shared" si="6"/>
        <v>338.60800000000006</v>
      </c>
      <c r="F92" s="143">
        <f t="shared" si="6"/>
        <v>371.89521829441867</v>
      </c>
      <c r="G92" s="143">
        <f t="shared" si="6"/>
        <v>409.15224374989384</v>
      </c>
      <c r="H92" s="143">
        <f t="shared" si="6"/>
        <v>459.35858648929906</v>
      </c>
      <c r="I92" s="143">
        <f t="shared" si="6"/>
        <v>454.80613797461405</v>
      </c>
      <c r="J92" s="143">
        <f t="shared" si="6"/>
        <v>535.22089673112157</v>
      </c>
      <c r="K92" s="143">
        <f t="shared" si="6"/>
        <v>548.9358152508604</v>
      </c>
      <c r="L92" s="143"/>
      <c r="M92" s="136">
        <f t="shared" si="3"/>
        <v>331.85532009430756</v>
      </c>
      <c r="N92" s="32">
        <f t="shared" si="4"/>
        <v>547.8658000580192</v>
      </c>
      <c r="O92" s="32">
        <f t="shared" si="5"/>
        <v>512.98761665219865</v>
      </c>
    </row>
    <row r="93" spans="1:15" s="18" customFormat="1" hidden="1">
      <c r="A93" s="57" t="s">
        <v>140</v>
      </c>
      <c r="B93" s="46">
        <f>'Data Sheet'!B30</f>
        <v>160.16999999999999</v>
      </c>
      <c r="C93" s="46">
        <f>'Data Sheet'!C30</f>
        <v>231.71</v>
      </c>
      <c r="D93" s="46">
        <f>'Data Sheet'!D30</f>
        <v>290.22000000000003</v>
      </c>
      <c r="E93" s="46">
        <f>'Data Sheet'!E30</f>
        <v>423.26</v>
      </c>
      <c r="F93" s="46">
        <f>'Data Sheet'!F30</f>
        <v>402.58</v>
      </c>
      <c r="G93" s="46">
        <f>'Data Sheet'!G30</f>
        <v>446.47</v>
      </c>
      <c r="H93" s="46">
        <f>'Data Sheet'!H30</f>
        <v>496.75</v>
      </c>
      <c r="I93" s="46">
        <f>'Data Sheet'!I30</f>
        <v>539.87</v>
      </c>
      <c r="J93" s="46">
        <f>'Data Sheet'!J30</f>
        <v>558.98</v>
      </c>
      <c r="K93" s="46">
        <f>'Data Sheet'!K30</f>
        <v>576.51</v>
      </c>
      <c r="L93" s="46"/>
      <c r="M93" s="136">
        <f t="shared" si="3"/>
        <v>373.46399999999994</v>
      </c>
      <c r="N93" s="32">
        <f t="shared" si="4"/>
        <v>598.40879999999993</v>
      </c>
      <c r="O93" s="32">
        <f t="shared" si="5"/>
        <v>558.45333333333326</v>
      </c>
    </row>
    <row r="94" spans="1:15" s="18" customFormat="1" hidden="1">
      <c r="A94" s="57" t="s">
        <v>86</v>
      </c>
      <c r="B94" s="141">
        <f>B88/B82</f>
        <v>0.4760884831460675</v>
      </c>
      <c r="C94" s="141">
        <f t="shared" ref="C94:K94" si="7">C88/C82</f>
        <v>1.2505092869982026</v>
      </c>
      <c r="D94" s="141">
        <f t="shared" si="7"/>
        <v>1.0799131182406447</v>
      </c>
      <c r="E94" s="141">
        <f t="shared" si="7"/>
        <v>1.1727850015119445</v>
      </c>
      <c r="F94" s="141">
        <f t="shared" si="7"/>
        <v>1.2504816454048426</v>
      </c>
      <c r="G94" s="141">
        <f t="shared" si="7"/>
        <v>1.2383106742605181</v>
      </c>
      <c r="H94" s="141">
        <f t="shared" si="7"/>
        <v>1.252292734737229</v>
      </c>
      <c r="I94" s="141">
        <f t="shared" si="7"/>
        <v>1.0223044608921785</v>
      </c>
      <c r="J94" s="141">
        <f t="shared" si="7"/>
        <v>0.97001246235330774</v>
      </c>
      <c r="K94" s="141">
        <f t="shared" si="7"/>
        <v>0.77348033782259407</v>
      </c>
      <c r="L94" s="141"/>
      <c r="M94" s="136">
        <f t="shared" si="3"/>
        <v>0.87595804352232598</v>
      </c>
      <c r="N94" s="32">
        <f t="shared" si="4"/>
        <v>1.2264717427176308</v>
      </c>
      <c r="O94" s="32">
        <f t="shared" si="5"/>
        <v>0.92193242035602674</v>
      </c>
    </row>
    <row r="95" spans="1:15" s="18" customFormat="1" hidden="1">
      <c r="A95" s="57" t="s">
        <v>87</v>
      </c>
      <c r="B95" s="141">
        <f>B88/B83</f>
        <v>0.78339496186734481</v>
      </c>
      <c r="C95" s="141">
        <f t="shared" ref="C95:K95" si="8">C88/C83</f>
        <v>9.218639575971725</v>
      </c>
      <c r="D95" s="141">
        <f t="shared" si="8"/>
        <v>-7.9154228855721387</v>
      </c>
      <c r="E95" s="141">
        <f t="shared" si="8"/>
        <v>-22.976303317535553</v>
      </c>
      <c r="F95" s="141">
        <f t="shared" si="8"/>
        <v>-43.466968325792038</v>
      </c>
      <c r="G95" s="141">
        <f t="shared" si="8"/>
        <v>4.2917064629099002</v>
      </c>
      <c r="H95" s="141">
        <f t="shared" si="8"/>
        <v>10.085704885671982</v>
      </c>
      <c r="I95" s="141">
        <f t="shared" si="8"/>
        <v>1.9499523052464229</v>
      </c>
      <c r="J95" s="141">
        <f t="shared" si="8"/>
        <v>1.4484656987225462</v>
      </c>
      <c r="K95" s="141">
        <f t="shared" si="8"/>
        <v>1.0784632848721909</v>
      </c>
      <c r="L95" s="141"/>
      <c r="M95" s="136">
        <f t="shared" si="3"/>
        <v>-5.55044018914767</v>
      </c>
      <c r="N95" s="32">
        <f t="shared" si="4"/>
        <v>2.6607704896550746</v>
      </c>
      <c r="O95" s="32">
        <f t="shared" si="5"/>
        <v>1.4922937629470532</v>
      </c>
    </row>
    <row r="96" spans="1:15" s="18" customFormat="1" hidden="1">
      <c r="A96" s="57" t="s">
        <v>100</v>
      </c>
      <c r="B96" s="141">
        <f>B88/B84</f>
        <v>0.89521986002905052</v>
      </c>
      <c r="C96" s="141">
        <f t="shared" ref="C96:K96" si="9">C88/C84</f>
        <v>2.2130208885590061</v>
      </c>
      <c r="D96" s="141">
        <f t="shared" si="9"/>
        <v>1.3065257856126142</v>
      </c>
      <c r="E96" s="141">
        <f t="shared" si="9"/>
        <v>1.2523086858249919</v>
      </c>
      <c r="F96" s="141">
        <f t="shared" si="9"/>
        <v>1.3907516794069956</v>
      </c>
      <c r="G96" s="141">
        <f t="shared" si="9"/>
        <v>1.3885712814173876</v>
      </c>
      <c r="H96" s="141">
        <f t="shared" si="9"/>
        <v>1.3856532646281103</v>
      </c>
      <c r="I96" s="141">
        <f t="shared" si="9"/>
        <v>1.0897556641492669</v>
      </c>
      <c r="J96" s="141">
        <f t="shared" si="9"/>
        <v>1.0191355583136703</v>
      </c>
      <c r="K96" s="141">
        <f t="shared" si="9"/>
        <v>0.79703640811045751</v>
      </c>
      <c r="L96" s="141"/>
      <c r="M96" s="136">
        <f t="shared" si="3"/>
        <v>0.96297383274634962</v>
      </c>
      <c r="N96" s="32">
        <f t="shared" si="4"/>
        <v>1.3286252018730487</v>
      </c>
      <c r="O96" s="32">
        <f t="shared" si="5"/>
        <v>0.96864254352446488</v>
      </c>
    </row>
    <row r="97" spans="1:15" s="18" customFormat="1" hidden="1">
      <c r="A97" s="57" t="s">
        <v>136</v>
      </c>
      <c r="B97" s="141">
        <f>B88/B85</f>
        <v>3.4119275289380968</v>
      </c>
      <c r="C97" s="141">
        <f t="shared" ref="C97:K97" si="10">C88/C85</f>
        <v>-4.1783783783783841</v>
      </c>
      <c r="D97" s="141">
        <f t="shared" si="10"/>
        <v>-3.4849591121495309</v>
      </c>
      <c r="E97" s="141">
        <f t="shared" si="10"/>
        <v>-10.238648363252393</v>
      </c>
      <c r="F97" s="141">
        <f t="shared" si="10"/>
        <v>-9.6467162080739186</v>
      </c>
      <c r="G97" s="141">
        <f t="shared" si="10"/>
        <v>6.8671676006113067</v>
      </c>
      <c r="H97" s="141">
        <f t="shared" si="10"/>
        <v>44.850768105340109</v>
      </c>
      <c r="I97" s="141">
        <f t="shared" si="10"/>
        <v>2.2109817211666725</v>
      </c>
      <c r="J97" s="141">
        <f t="shared" si="10"/>
        <v>1.5608054476333708</v>
      </c>
      <c r="K97" s="141">
        <f t="shared" si="10"/>
        <v>1.1248145612233253</v>
      </c>
      <c r="L97" s="141"/>
      <c r="M97" s="136">
        <f t="shared" si="3"/>
        <v>3.3244213752498943</v>
      </c>
      <c r="N97" s="32">
        <f t="shared" si="4"/>
        <v>11.987791762244935</v>
      </c>
      <c r="O97" s="32">
        <f t="shared" si="5"/>
        <v>1.6322005766744561</v>
      </c>
    </row>
    <row r="98" spans="1:15" s="32" customFormat="1" hidden="1">
      <c r="A98" s="45" t="s">
        <v>13</v>
      </c>
      <c r="B98" s="45">
        <f>'Data Sheet'!B29/'Data Sheet'!B28</f>
        <v>0.20554535985318187</v>
      </c>
      <c r="C98" s="45">
        <f>'Data Sheet'!C29/'Data Sheet'!C28</f>
        <v>0.20660845745591508</v>
      </c>
      <c r="D98" s="45">
        <f>'Data Sheet'!D29/'Data Sheet'!D28</f>
        <v>0.15953780660855463</v>
      </c>
      <c r="E98" s="45">
        <f>'Data Sheet'!E29/'Data Sheet'!E28</f>
        <v>0.12693894389438942</v>
      </c>
      <c r="F98" s="45">
        <f>'Data Sheet'!F29/'Data Sheet'!F28</f>
        <v>0.22571835211755201</v>
      </c>
      <c r="G98" s="45">
        <f>'Data Sheet'!G29/'Data Sheet'!G28</f>
        <v>0.2412005642516018</v>
      </c>
      <c r="H98" s="45">
        <f>'Data Sheet'!H29/'Data Sheet'!H28</f>
        <v>0.25077296653243447</v>
      </c>
      <c r="I98" s="45">
        <f>'Data Sheet'!I29/'Data Sheet'!I28</f>
        <v>0.25837958129567556</v>
      </c>
      <c r="J98" s="45">
        <f>'Data Sheet'!J29/'Data Sheet'!J28</f>
        <v>0.28371711580107384</v>
      </c>
      <c r="K98" s="45">
        <f>'Data Sheet'!K29/'Data Sheet'!K28</f>
        <v>0.30385799673972108</v>
      </c>
      <c r="L98" s="45">
        <f>'Profit &amp; Loss'!L11/'Profit &amp; Loss'!L10</f>
        <v>0.32164466767900945</v>
      </c>
      <c r="M98" s="136">
        <f t="shared" si="3"/>
        <v>0.18501233272410028</v>
      </c>
      <c r="N98" s="32">
        <f t="shared" si="4"/>
        <v>0.36891704500472328</v>
      </c>
      <c r="O98" s="32">
        <f t="shared" si="5"/>
        <v>0.28198489794549014</v>
      </c>
    </row>
    <row r="99" spans="1:15" ht="18" hidden="1">
      <c r="A99" s="68" t="s">
        <v>486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136">
        <f t="shared" si="3"/>
        <v>0</v>
      </c>
      <c r="N99" s="32">
        <f t="shared" si="4"/>
        <v>0</v>
      </c>
      <c r="O99" s="32">
        <f t="shared" si="5"/>
        <v>0</v>
      </c>
    </row>
    <row r="100" spans="1:15" s="18" customFormat="1" hidden="1">
      <c r="A100" s="79" t="s">
        <v>370</v>
      </c>
      <c r="B100" s="45">
        <f>B88*(1-B98)/'Data Sheet'!B17</f>
        <v>8.3172556370359238E-2</v>
      </c>
      <c r="C100" s="45">
        <f>C88*(1-C98)/'Data Sheet'!C17</f>
        <v>0.11238699374524967</v>
      </c>
      <c r="D100" s="45">
        <f>D88*(1-D98)/'Data Sheet'!D17</f>
        <v>0.11834736781873394</v>
      </c>
      <c r="E100" s="45">
        <f>E88*(1-E98)/'Data Sheet'!E17</f>
        <v>0.17254262507261298</v>
      </c>
      <c r="F100" s="45">
        <f>F88*(1-F98)/'Data Sheet'!F17</f>
        <v>0.16267528314105065</v>
      </c>
      <c r="G100" s="45">
        <f>G88*(1-G98)/'Data Sheet'!G17</f>
        <v>0.15191879035577868</v>
      </c>
      <c r="H100" s="45">
        <f>H88*(1-H98)/'Data Sheet'!H17</f>
        <v>0.14519158435218898</v>
      </c>
      <c r="I100" s="45">
        <f>I88*(1-I98)/'Data Sheet'!I17</f>
        <v>0.12708306335754457</v>
      </c>
      <c r="J100" s="45">
        <f>J88*(1-J98)/'Data Sheet'!J17</f>
        <v>0.13441209479076069</v>
      </c>
      <c r="K100" s="45">
        <f>K88*(1-K98)/'Data Sheet'!K17</f>
        <v>0.13188312569543698</v>
      </c>
      <c r="L100" s="45">
        <f>('Profit &amp; Loss'!L10+'Profit &amp; Loss'!L9-'Profit &amp; Loss'!L7)*(1-Customization!L98)/'Profit &amp; Loss'!L4</f>
        <v>0.13639017224249006</v>
      </c>
      <c r="M100" s="136">
        <f t="shared" si="3"/>
        <v>0.11440539345841076</v>
      </c>
      <c r="N100" s="32">
        <f t="shared" si="4"/>
        <v>0.18825684485052213</v>
      </c>
      <c r="O100" s="32">
        <f t="shared" si="5"/>
        <v>0.13112609461458075</v>
      </c>
    </row>
    <row r="101" spans="1:15" s="18" customFormat="1" hidden="1">
      <c r="A101" s="79" t="s">
        <v>487</v>
      </c>
      <c r="B101" s="171"/>
      <c r="C101" s="45">
        <f>(C100-B100)/B100</f>
        <v>0.3512509251825976</v>
      </c>
      <c r="D101" s="45">
        <f t="shared" ref="D101:L101" si="11">(D100-C100)/C100</f>
        <v>5.303437590825491E-2</v>
      </c>
      <c r="E101" s="45">
        <f t="shared" si="11"/>
        <v>0.45793377793485779</v>
      </c>
      <c r="F101" s="45">
        <f t="shared" si="11"/>
        <v>-5.7187850987022767E-2</v>
      </c>
      <c r="G101" s="45">
        <f t="shared" si="11"/>
        <v>-6.612247772112588E-2</v>
      </c>
      <c r="H101" s="45">
        <f t="shared" si="11"/>
        <v>-4.4281592736719735E-2</v>
      </c>
      <c r="I101" s="45">
        <f t="shared" si="11"/>
        <v>-0.12472156065684119</v>
      </c>
      <c r="J101" s="45">
        <f t="shared" si="11"/>
        <v>5.767118953212589E-2</v>
      </c>
      <c r="K101" s="45">
        <f t="shared" si="11"/>
        <v>-1.8815041155787054E-2</v>
      </c>
      <c r="L101" s="45">
        <f t="shared" si="11"/>
        <v>3.4174550559723529E-2</v>
      </c>
      <c r="M101" s="136">
        <f t="shared" si="3"/>
        <v>2.5751082011774194E-2</v>
      </c>
      <c r="N101" s="32">
        <f t="shared" si="4"/>
        <v>-2.7268770033370054E-2</v>
      </c>
      <c r="O101" s="32">
        <f t="shared" si="5"/>
        <v>-2.8621804093500781E-2</v>
      </c>
    </row>
    <row r="102" spans="1:15" s="18" customFormat="1" hidden="1">
      <c r="A102" s="79" t="s">
        <v>364</v>
      </c>
      <c r="B102" s="171">
        <f>'Data Sheet'!B17/Customization!B82</f>
        <v>4.5475421348314615</v>
      </c>
      <c r="C102" s="171">
        <f>'Data Sheet'!C17/Customization!C82</f>
        <v>8.8279209107249859</v>
      </c>
      <c r="D102" s="171">
        <f>'Data Sheet'!D17/Customization!D82</f>
        <v>7.6691705507036518</v>
      </c>
      <c r="E102" s="171">
        <f>'Data Sheet'!E17/Customization!E82</f>
        <v>5.9342606592077418</v>
      </c>
      <c r="F102" s="171">
        <f>'Data Sheet'!F17/Customization!F82</f>
        <v>5.9518875292892472</v>
      </c>
      <c r="G102" s="171">
        <f>'Data Sheet'!G17/Customization!G82</f>
        <v>6.185077163329046</v>
      </c>
      <c r="H102" s="171">
        <f>'Data Sheet'!H17/Customization!H82</f>
        <v>6.4621622173655506</v>
      </c>
      <c r="I102" s="171">
        <f>'Data Sheet'!I17/Customization!I82</f>
        <v>5.96587650863506</v>
      </c>
      <c r="J102" s="171">
        <f>'Data Sheet'!J17/Customization!J82</f>
        <v>5.1692024093883058</v>
      </c>
      <c r="K102" s="171">
        <f>'Data Sheet'!K17/Customization!K82</f>
        <v>4.0827979244117039</v>
      </c>
      <c r="L102" s="171"/>
      <c r="M102" s="136">
        <f t="shared" si="3"/>
        <v>4.7420434962330305</v>
      </c>
      <c r="N102" s="32">
        <f t="shared" si="4"/>
        <v>6.5214319438725399</v>
      </c>
      <c r="O102" s="32">
        <f t="shared" si="5"/>
        <v>5.0726256141450232</v>
      </c>
    </row>
    <row r="103" spans="1:15" s="18" customFormat="1" hidden="1">
      <c r="A103" s="79" t="s">
        <v>487</v>
      </c>
      <c r="B103" s="171"/>
      <c r="C103" s="45">
        <f>(C102-B102)/B102</f>
        <v>0.94125104264749404</v>
      </c>
      <c r="D103" s="45">
        <f t="shared" ref="D103:K103" si="12">(D102-C102)/C102</f>
        <v>-0.1312597124214803</v>
      </c>
      <c r="E103" s="45">
        <f t="shared" si="12"/>
        <v>-0.22621871296586707</v>
      </c>
      <c r="F103" s="45">
        <f t="shared" si="12"/>
        <v>2.9703565606197554E-3</v>
      </c>
      <c r="G103" s="45">
        <f t="shared" si="12"/>
        <v>3.9179106273811833E-2</v>
      </c>
      <c r="H103" s="45">
        <f t="shared" si="12"/>
        <v>4.4798964785649792E-2</v>
      </c>
      <c r="I103" s="45">
        <f t="shared" si="12"/>
        <v>-7.6798707930425938E-2</v>
      </c>
      <c r="J103" s="45">
        <f t="shared" si="12"/>
        <v>-0.13353848308687608</v>
      </c>
      <c r="K103" s="45">
        <f t="shared" si="12"/>
        <v>-0.21016868734013472</v>
      </c>
      <c r="L103" s="45"/>
      <c r="M103" s="136">
        <f t="shared" si="3"/>
        <v>-6.9103587612470263E-2</v>
      </c>
      <c r="N103" s="32">
        <f t="shared" si="4"/>
        <v>-8.1126278982089073E-2</v>
      </c>
      <c r="O103" s="32">
        <f t="shared" si="5"/>
        <v>-0.14016862611914557</v>
      </c>
    </row>
    <row r="104" spans="1:15" s="18" customFormat="1" hidden="1">
      <c r="A104" s="79" t="s">
        <v>365</v>
      </c>
      <c r="B104" s="171">
        <f>'Data Sheet'!B17/Customization!B83</f>
        <v>7.4828980818118813</v>
      </c>
      <c r="C104" s="171">
        <f>'Data Sheet'!C17/Customization!C83</f>
        <v>65.078621908127175</v>
      </c>
      <c r="D104" s="171">
        <f>'Data Sheet'!D17/Customization!D83</f>
        <v>-56.212603648424533</v>
      </c>
      <c r="E104" s="171">
        <f>'Data Sheet'!E17/Customization!E83</f>
        <v>-116.25947867298582</v>
      </c>
      <c r="F104" s="171">
        <f>'Data Sheet'!F17/Customization!F83</f>
        <v>-206.88868778280627</v>
      </c>
      <c r="G104" s="171">
        <f>'Data Sheet'!G17/Customization!G83</f>
        <v>21.436087233365164</v>
      </c>
      <c r="H104" s="171">
        <f>'Data Sheet'!H17/Customization!H83</f>
        <v>52.044908702089138</v>
      </c>
      <c r="I104" s="171">
        <f>'Data Sheet'!I17/Customization!I83</f>
        <v>11.379364069952304</v>
      </c>
      <c r="J104" s="171">
        <f>'Data Sheet'!J17/Customization!J83</f>
        <v>7.7188826642371122</v>
      </c>
      <c r="K104" s="171">
        <f>'Data Sheet'!K17/Customization!K83</f>
        <v>5.6926432977282975</v>
      </c>
      <c r="L104" s="171"/>
      <c r="M104" s="136">
        <f t="shared" si="3"/>
        <v>-28.108888413684458</v>
      </c>
      <c r="N104" s="32">
        <f t="shared" si="4"/>
        <v>14.032599510737512</v>
      </c>
      <c r="O104" s="32">
        <f t="shared" si="5"/>
        <v>8.263630010639238</v>
      </c>
    </row>
    <row r="105" spans="1:15" s="18" customFormat="1" hidden="1">
      <c r="A105" s="79" t="s">
        <v>487</v>
      </c>
      <c r="B105" s="171"/>
      <c r="C105" s="45">
        <f>(C104-B104)/B104</f>
        <v>7.6969809285935478</v>
      </c>
      <c r="D105" s="45">
        <f t="shared" ref="D105:K105" si="13">(D104-C104)/C104</f>
        <v>-1.8637645051516458</v>
      </c>
      <c r="E105" s="45">
        <f t="shared" si="13"/>
        <v>1.0682101722261039</v>
      </c>
      <c r="F105" s="45">
        <f t="shared" si="13"/>
        <v>0.779542538331364</v>
      </c>
      <c r="G105" s="45">
        <f t="shared" si="13"/>
        <v>-1.1036116931432662</v>
      </c>
      <c r="H105" s="45">
        <f t="shared" si="13"/>
        <v>1.4279108465784509</v>
      </c>
      <c r="I105" s="45">
        <f t="shared" si="13"/>
        <v>-0.78135490379877404</v>
      </c>
      <c r="J105" s="45">
        <f t="shared" si="13"/>
        <v>-0.32167715025313665</v>
      </c>
      <c r="K105" s="45">
        <f t="shared" si="13"/>
        <v>-0.26250423210819412</v>
      </c>
      <c r="L105" s="45"/>
      <c r="M105" s="136">
        <f t="shared" si="3"/>
        <v>-0.1057248927319098</v>
      </c>
      <c r="N105" s="32">
        <f t="shared" si="4"/>
        <v>-0.22939240509136599</v>
      </c>
      <c r="O105" s="32">
        <f t="shared" si="5"/>
        <v>-0.45517876205336827</v>
      </c>
    </row>
    <row r="106" spans="1:15" s="18" customFormat="1" hidden="1">
      <c r="A106" s="79" t="s">
        <v>366</v>
      </c>
      <c r="B106" s="171">
        <f>'Data Sheet'!B17/Customization!B84</f>
        <v>8.551036577314143</v>
      </c>
      <c r="C106" s="171">
        <f>'Data Sheet'!C17/Customization!C84</f>
        <v>15.622733538331028</v>
      </c>
      <c r="D106" s="171">
        <f>'Data Sheet'!D17/Customization!D84</f>
        <v>9.2784955655315908</v>
      </c>
      <c r="E106" s="171">
        <f>'Data Sheet'!E17/Customization!E84</f>
        <v>6.3366483693897315</v>
      </c>
      <c r="F106" s="171">
        <f>'Data Sheet'!F17/Customization!F84</f>
        <v>6.6195274496177898</v>
      </c>
      <c r="G106" s="171">
        <f>'Data Sheet'!G17/Customization!G84</f>
        <v>6.9355943551709922</v>
      </c>
      <c r="H106" s="171">
        <f>'Data Sheet'!H17/Customization!H84</f>
        <v>7.1503378760141922</v>
      </c>
      <c r="I106" s="171">
        <f>'Data Sheet'!I17/Customization!I84</f>
        <v>6.3595024433585072</v>
      </c>
      <c r="J106" s="171">
        <f>'Data Sheet'!J17/Customization!J84</f>
        <v>5.4309796914851534</v>
      </c>
      <c r="K106" s="171">
        <f>'Data Sheet'!K17/Customization!K84</f>
        <v>4.2071380920613741</v>
      </c>
      <c r="L106" s="171"/>
      <c r="M106" s="136">
        <f t="shared" si="3"/>
        <v>5.2318223842629337</v>
      </c>
      <c r="N106" s="32">
        <f t="shared" si="4"/>
        <v>7.0630749684706302</v>
      </c>
      <c r="O106" s="32">
        <f t="shared" si="5"/>
        <v>5.3325400756350119</v>
      </c>
    </row>
    <row r="107" spans="1:15" s="18" customFormat="1" hidden="1">
      <c r="A107" s="79" t="s">
        <v>487</v>
      </c>
      <c r="B107" s="171"/>
      <c r="C107" s="45">
        <f>(C106-B106)/B106</f>
        <v>0.82699879682166966</v>
      </c>
      <c r="D107" s="45">
        <f t="shared" ref="D107:K107" si="14">(D106-C106)/C106</f>
        <v>-0.40609013507358266</v>
      </c>
      <c r="E107" s="45">
        <f t="shared" si="14"/>
        <v>-0.31706079669536519</v>
      </c>
      <c r="F107" s="45">
        <f t="shared" si="14"/>
        <v>4.464175124416786E-2</v>
      </c>
      <c r="G107" s="45">
        <f t="shared" si="14"/>
        <v>4.7747653885996354E-2</v>
      </c>
      <c r="H107" s="45">
        <f t="shared" si="14"/>
        <v>3.09625260426445E-2</v>
      </c>
      <c r="I107" s="45">
        <f t="shared" si="14"/>
        <v>-0.11060112771852955</v>
      </c>
      <c r="J107" s="45">
        <f t="shared" si="14"/>
        <v>-0.14600556570947604</v>
      </c>
      <c r="K107" s="45">
        <f t="shared" si="14"/>
        <v>-0.22534453615110242</v>
      </c>
      <c r="L107" s="45"/>
      <c r="M107" s="136">
        <f t="shared" si="3"/>
        <v>-0.10817502301752473</v>
      </c>
      <c r="N107" s="32">
        <f t="shared" si="4"/>
        <v>-0.10228321453359837</v>
      </c>
      <c r="O107" s="32">
        <f t="shared" si="5"/>
        <v>-0.16065040985970266</v>
      </c>
    </row>
    <row r="108" spans="1:15" s="18" customFormat="1" hidden="1">
      <c r="A108" s="79" t="s">
        <v>367</v>
      </c>
      <c r="B108" s="171">
        <f>'Data Sheet'!B17/Customization!B85</f>
        <v>32.590337191746343</v>
      </c>
      <c r="C108" s="171">
        <f>'Data Sheet'!C17/Customization!C85</f>
        <v>-29.497097097097139</v>
      </c>
      <c r="D108" s="171">
        <f>'Data Sheet'!D17/Customization!D85</f>
        <v>-24.748977803738299</v>
      </c>
      <c r="E108" s="171">
        <f>'Data Sheet'!E17/Customization!E85</f>
        <v>-51.807286166842744</v>
      </c>
      <c r="F108" s="171">
        <f>'Data Sheet'!F17/Customization!F85</f>
        <v>-45.915244024904631</v>
      </c>
      <c r="G108" s="171">
        <f>'Data Sheet'!G17/Customization!G85</f>
        <v>34.299923586347411</v>
      </c>
      <c r="H108" s="171">
        <f>'Data Sheet'!H17/Customization!H85</f>
        <v>231.4418434528161</v>
      </c>
      <c r="I108" s="171">
        <f>'Data Sheet'!I17/Customization!I85</f>
        <v>12.902657100623715</v>
      </c>
      <c r="J108" s="171">
        <f>'Data Sheet'!J17/Customization!J85</f>
        <v>8.3175418807703547</v>
      </c>
      <c r="K108" s="171">
        <f>'Data Sheet'!K17/Customization!K85</f>
        <v>5.9373074289626846</v>
      </c>
      <c r="L108" s="171"/>
      <c r="M108" s="136">
        <f t="shared" si="3"/>
        <v>17.042776545403463</v>
      </c>
      <c r="N108" s="32">
        <f t="shared" si="4"/>
        <v>61.98840999898475</v>
      </c>
      <c r="O108" s="32">
        <f t="shared" si="5"/>
        <v>9.0525021367855842</v>
      </c>
    </row>
    <row r="109" spans="1:15" s="18" customFormat="1" hidden="1">
      <c r="A109" s="79" t="s">
        <v>487</v>
      </c>
      <c r="B109" s="171"/>
      <c r="C109" s="45">
        <f>(C108-B108)/B108</f>
        <v>-1.9050872018767397</v>
      </c>
      <c r="D109" s="45">
        <f t="shared" ref="D109:K109" si="15">(D108-C108)/C108</f>
        <v>-0.16096903629971476</v>
      </c>
      <c r="E109" s="45">
        <f t="shared" si="15"/>
        <v>1.0933101390158153</v>
      </c>
      <c r="F109" s="45">
        <f t="shared" si="15"/>
        <v>-0.11372999008214962</v>
      </c>
      <c r="G109" s="45">
        <f t="shared" si="15"/>
        <v>-1.747026925692543</v>
      </c>
      <c r="H109" s="45">
        <f t="shared" si="15"/>
        <v>5.7475906431738579</v>
      </c>
      <c r="I109" s="45">
        <f t="shared" si="15"/>
        <v>-0.94425097506944911</v>
      </c>
      <c r="J109" s="45">
        <f t="shared" si="15"/>
        <v>-0.35536209201682306</v>
      </c>
      <c r="K109" s="45">
        <f t="shared" si="15"/>
        <v>-0.28617041981004337</v>
      </c>
      <c r="L109" s="45"/>
      <c r="M109" s="136">
        <f t="shared" si="3"/>
        <v>0.32333913432189504</v>
      </c>
      <c r="N109" s="32">
        <f t="shared" si="4"/>
        <v>0.54762387298137893</v>
      </c>
      <c r="O109" s="32">
        <f t="shared" si="5"/>
        <v>-0.52859449563210525</v>
      </c>
    </row>
    <row r="110" spans="1:15" s="18" customFormat="1" hidden="1">
      <c r="A110" s="57" t="s">
        <v>88</v>
      </c>
      <c r="B110" s="45">
        <f>B94*(1-B98)</f>
        <v>0.3782307045558535</v>
      </c>
      <c r="C110" s="45">
        <f t="shared" ref="C110:K110" si="16">C94*(1-C98)</f>
        <v>0.99214349217720776</v>
      </c>
      <c r="D110" s="45">
        <f t="shared" si="16"/>
        <v>0.90762614802872754</v>
      </c>
      <c r="E110" s="45">
        <f t="shared" si="16"/>
        <v>1.0239129120048385</v>
      </c>
      <c r="F110" s="45">
        <f t="shared" si="16"/>
        <v>0.96822498905081655</v>
      </c>
      <c r="G110" s="45">
        <f t="shared" si="16"/>
        <v>0.9396294409100997</v>
      </c>
      <c r="H110" s="45">
        <f t="shared" si="16"/>
        <v>0.93825157068015896</v>
      </c>
      <c r="I110" s="45">
        <f t="shared" si="16"/>
        <v>0.75816186233015614</v>
      </c>
      <c r="J110" s="45">
        <f t="shared" si="16"/>
        <v>0.69480332424332958</v>
      </c>
      <c r="K110" s="45">
        <f t="shared" si="16"/>
        <v>0.53845215185425799</v>
      </c>
      <c r="L110" s="45"/>
      <c r="M110" s="136">
        <f t="shared" si="3"/>
        <v>0.67690623991023846</v>
      </c>
      <c r="N110" s="32">
        <f t="shared" si="4"/>
        <v>0.90924091798564821</v>
      </c>
      <c r="O110" s="32">
        <f t="shared" si="5"/>
        <v>0.66380577947591457</v>
      </c>
    </row>
    <row r="111" spans="1:15" s="18" customFormat="1" hidden="1">
      <c r="A111" s="57" t="s">
        <v>89</v>
      </c>
      <c r="B111" s="45">
        <f>B95*(1-B98)</f>
        <v>0.62237176252315174</v>
      </c>
      <c r="C111" s="45">
        <f t="shared" ref="C111:K111" si="17">C95*(1-C98)</f>
        <v>7.3139906733381563</v>
      </c>
      <c r="D111" s="45">
        <f t="shared" si="17"/>
        <v>-6.6526136800288036</v>
      </c>
      <c r="E111" s="45">
        <f t="shared" si="17"/>
        <v>-20.059715639810435</v>
      </c>
      <c r="F111" s="45">
        <f t="shared" si="17"/>
        <v>-33.655675863748435</v>
      </c>
      <c r="G111" s="45">
        <f t="shared" si="17"/>
        <v>3.2565444424537864</v>
      </c>
      <c r="H111" s="45">
        <f t="shared" si="17"/>
        <v>7.5564827519213509</v>
      </c>
      <c r="I111" s="45">
        <f t="shared" si="17"/>
        <v>1.446124445070315</v>
      </c>
      <c r="J111" s="45">
        <f t="shared" si="17"/>
        <v>1.0375111883441983</v>
      </c>
      <c r="K111" s="45">
        <f t="shared" si="17"/>
        <v>0.75076359157358785</v>
      </c>
      <c r="L111" s="45"/>
      <c r="M111" s="136">
        <f t="shared" si="3"/>
        <v>-4.6320578764224427</v>
      </c>
      <c r="N111" s="32">
        <f t="shared" si="4"/>
        <v>1.8830737085881588</v>
      </c>
      <c r="O111" s="32">
        <f t="shared" si="5"/>
        <v>1.0781330749960338</v>
      </c>
    </row>
    <row r="112" spans="1:15" s="2" customFormat="1" hidden="1">
      <c r="A112" s="138" t="s">
        <v>485</v>
      </c>
      <c r="B112" s="140">
        <f>B96*(1-B98)</f>
        <v>0.71121157175166416</v>
      </c>
      <c r="C112" s="140">
        <f t="shared" ref="C112:K112" si="18">C96*(1-C98)</f>
        <v>1.7557920564561114</v>
      </c>
      <c r="D112" s="140">
        <f t="shared" si="18"/>
        <v>1.0980855274984591</v>
      </c>
      <c r="E112" s="140">
        <f t="shared" si="18"/>
        <v>1.0933419438165968</v>
      </c>
      <c r="F112" s="140">
        <f t="shared" si="18"/>
        <v>1.0768335021265307</v>
      </c>
      <c r="G112" s="140">
        <f t="shared" si="18"/>
        <v>1.0536471048359441</v>
      </c>
      <c r="H112" s="140">
        <f t="shared" si="18"/>
        <v>1.0381688848719666</v>
      </c>
      <c r="I112" s="140">
        <f t="shared" si="18"/>
        <v>0.80818505193178858</v>
      </c>
      <c r="J112" s="140">
        <f t="shared" si="18"/>
        <v>0.72998935709859869</v>
      </c>
      <c r="K112" s="140">
        <f t="shared" si="18"/>
        <v>0.55485052181339112</v>
      </c>
      <c r="L112" s="140"/>
      <c r="M112" s="136">
        <f t="shared" si="3"/>
        <v>0.74531018939932747</v>
      </c>
      <c r="N112" s="32">
        <f t="shared" si="4"/>
        <v>0.98603022199020318</v>
      </c>
      <c r="O112" s="32">
        <f t="shared" si="5"/>
        <v>0.69767497694792613</v>
      </c>
    </row>
    <row r="113" spans="1:15" s="18" customFormat="1" hidden="1">
      <c r="A113" s="57" t="s">
        <v>137</v>
      </c>
      <c r="B113" s="45">
        <f>B97*(1-B98)</f>
        <v>2.7106216572095381</v>
      </c>
      <c r="C113" s="45">
        <f t="shared" ref="C113:K113" si="19">C97*(1-C98)</f>
        <v>-3.3150900669544785</v>
      </c>
      <c r="D113" s="45">
        <f t="shared" si="19"/>
        <v>-2.9289763792766985</v>
      </c>
      <c r="E113" s="45">
        <f t="shared" si="19"/>
        <v>-8.9389651531151149</v>
      </c>
      <c r="F113" s="45">
        <f t="shared" si="19"/>
        <v>-7.4692753222417938</v>
      </c>
      <c r="G113" s="45">
        <f t="shared" si="19"/>
        <v>5.2108029005335412</v>
      </c>
      <c r="H113" s="45">
        <f t="shared" si="19"/>
        <v>33.603407936305672</v>
      </c>
      <c r="I113" s="45">
        <f t="shared" si="19"/>
        <v>1.6397091897992357</v>
      </c>
      <c r="J113" s="45">
        <f t="shared" si="19"/>
        <v>1.1179782277042269</v>
      </c>
      <c r="K113" s="45">
        <f t="shared" si="19"/>
        <v>0.78303066194633741</v>
      </c>
      <c r="L113" s="45"/>
      <c r="M113" s="136">
        <f t="shared" si="3"/>
        <v>2.3017712061655407</v>
      </c>
      <c r="N113" s="32">
        <f t="shared" si="4"/>
        <v>8.9313400244909111</v>
      </c>
      <c r="O113" s="32">
        <f t="shared" si="5"/>
        <v>1.1802393598166001</v>
      </c>
    </row>
    <row r="114" spans="1:15" s="18" customFormat="1" hidden="1">
      <c r="A114" s="57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136">
        <f t="shared" si="3"/>
        <v>0</v>
      </c>
      <c r="N114" s="32">
        <f t="shared" si="4"/>
        <v>0</v>
      </c>
      <c r="O114" s="32">
        <f t="shared" si="5"/>
        <v>0</v>
      </c>
    </row>
    <row r="115" spans="1:15" s="18" customFormat="1" hidden="1">
      <c r="A115" s="57" t="s">
        <v>330</v>
      </c>
      <c r="B115" s="45"/>
      <c r="C115" s="45"/>
      <c r="D115" s="45">
        <f>SUM(B110:D110)/3</f>
        <v>0.75933344825392968</v>
      </c>
      <c r="E115" s="45">
        <f t="shared" ref="E115:K118" si="20">SUM(C110:E110)/3</f>
        <v>0.97456085073692467</v>
      </c>
      <c r="F115" s="45">
        <f t="shared" si="20"/>
        <v>0.96658801636146086</v>
      </c>
      <c r="G115" s="45">
        <f t="shared" si="20"/>
        <v>0.97725578065525154</v>
      </c>
      <c r="H115" s="45">
        <f t="shared" si="20"/>
        <v>0.94870200021369167</v>
      </c>
      <c r="I115" s="45">
        <f t="shared" si="20"/>
        <v>0.87868095797347168</v>
      </c>
      <c r="J115" s="45">
        <f t="shared" si="20"/>
        <v>0.7970722524178816</v>
      </c>
      <c r="K115" s="45">
        <f t="shared" si="20"/>
        <v>0.66380577947591457</v>
      </c>
      <c r="L115" s="45"/>
      <c r="M115" s="136">
        <f t="shared" si="3"/>
        <v>0.69659990860885257</v>
      </c>
      <c r="N115" s="32">
        <f t="shared" si="4"/>
        <v>0.99242333586901277</v>
      </c>
      <c r="O115" s="32">
        <f t="shared" si="5"/>
        <v>0.77985299662242269</v>
      </c>
    </row>
    <row r="116" spans="1:15" s="18" customFormat="1" hidden="1">
      <c r="A116" s="57" t="s">
        <v>331</v>
      </c>
      <c r="B116" s="45"/>
      <c r="C116" s="45"/>
      <c r="D116" s="45">
        <f t="shared" ref="D116:D118" si="21">SUM(B111:D111)/3</f>
        <v>0.4279162519441681</v>
      </c>
      <c r="E116" s="45">
        <f t="shared" si="20"/>
        <v>-6.4661128821670273</v>
      </c>
      <c r="F116" s="45">
        <f t="shared" si="20"/>
        <v>-20.122668394529224</v>
      </c>
      <c r="G116" s="45">
        <f t="shared" si="20"/>
        <v>-16.819615687035029</v>
      </c>
      <c r="H116" s="45">
        <f t="shared" si="20"/>
        <v>-7.6142162231244326</v>
      </c>
      <c r="I116" s="45">
        <f t="shared" si="20"/>
        <v>4.0863838798151511</v>
      </c>
      <c r="J116" s="45">
        <f t="shared" si="20"/>
        <v>3.3467061284452875</v>
      </c>
      <c r="K116" s="45">
        <f t="shared" si="20"/>
        <v>1.0781330749960338</v>
      </c>
      <c r="L116" s="45"/>
      <c r="M116" s="136">
        <f t="shared" si="3"/>
        <v>-4.2083473851655073</v>
      </c>
      <c r="N116" s="32">
        <f t="shared" si="4"/>
        <v>-4.0261912424136996</v>
      </c>
      <c r="O116" s="32">
        <f t="shared" si="5"/>
        <v>2.8370743610854912</v>
      </c>
    </row>
    <row r="117" spans="1:15" s="2" customFormat="1" hidden="1">
      <c r="A117" s="138" t="s">
        <v>332</v>
      </c>
      <c r="B117" s="140"/>
      <c r="C117" s="140"/>
      <c r="D117" s="140">
        <f t="shared" si="21"/>
        <v>1.1883630519020782</v>
      </c>
      <c r="E117" s="140">
        <f t="shared" si="20"/>
        <v>1.3157398425903892</v>
      </c>
      <c r="F117" s="140">
        <f t="shared" si="20"/>
        <v>1.0894203244805289</v>
      </c>
      <c r="G117" s="140">
        <f t="shared" si="20"/>
        <v>1.0746075169263571</v>
      </c>
      <c r="H117" s="140">
        <f t="shared" si="20"/>
        <v>1.0562164972781471</v>
      </c>
      <c r="I117" s="140">
        <f t="shared" si="20"/>
        <v>0.96666701387989973</v>
      </c>
      <c r="J117" s="140">
        <f t="shared" si="20"/>
        <v>0.85878109796745117</v>
      </c>
      <c r="K117" s="140">
        <f t="shared" si="20"/>
        <v>0.69767497694792613</v>
      </c>
      <c r="L117" s="140"/>
      <c r="M117" s="136">
        <f t="shared" si="3"/>
        <v>0.82474703219727774</v>
      </c>
      <c r="N117" s="32">
        <f t="shared" si="4"/>
        <v>1.0957388270394117</v>
      </c>
      <c r="O117" s="32">
        <f t="shared" si="5"/>
        <v>0.84104102959842564</v>
      </c>
    </row>
    <row r="118" spans="1:15" s="18" customFormat="1" hidden="1">
      <c r="A118" s="57" t="s">
        <v>333</v>
      </c>
      <c r="B118" s="45"/>
      <c r="C118" s="45"/>
      <c r="D118" s="45">
        <f t="shared" si="21"/>
        <v>-1.1778149296738796</v>
      </c>
      <c r="E118" s="45">
        <f t="shared" si="20"/>
        <v>-5.0610105331154305</v>
      </c>
      <c r="F118" s="45">
        <f t="shared" si="20"/>
        <v>-6.4457389515445369</v>
      </c>
      <c r="G118" s="45">
        <f t="shared" si="20"/>
        <v>-3.7324791916077893</v>
      </c>
      <c r="H118" s="45">
        <f t="shared" si="20"/>
        <v>10.448311838199141</v>
      </c>
      <c r="I118" s="45">
        <f t="shared" si="20"/>
        <v>13.484640008879483</v>
      </c>
      <c r="J118" s="45">
        <f t="shared" si="20"/>
        <v>12.120365117936378</v>
      </c>
      <c r="K118" s="45">
        <f t="shared" si="20"/>
        <v>1.1802393598166001</v>
      </c>
      <c r="L118" s="45"/>
      <c r="M118" s="136">
        <f t="shared" si="3"/>
        <v>2.0816512718889966</v>
      </c>
      <c r="N118" s="32">
        <f t="shared" si="4"/>
        <v>7.1165456810225622</v>
      </c>
      <c r="O118" s="32">
        <f t="shared" si="5"/>
        <v>8.9284148288774876</v>
      </c>
    </row>
    <row r="119" spans="1:15" s="18" customFormat="1" hidden="1">
      <c r="A119" s="57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36">
        <f t="shared" si="3"/>
        <v>0</v>
      </c>
      <c r="N119" s="32">
        <f t="shared" si="4"/>
        <v>0</v>
      </c>
      <c r="O119" s="32">
        <f t="shared" si="5"/>
        <v>0</v>
      </c>
    </row>
    <row r="120" spans="1:15" s="18" customFormat="1" hidden="1">
      <c r="A120" s="57" t="s">
        <v>334</v>
      </c>
      <c r="B120" s="45"/>
      <c r="C120" s="45"/>
      <c r="D120" s="45"/>
      <c r="E120" s="45"/>
      <c r="F120" s="45">
        <f>SUM(B110:F110)/5</f>
        <v>0.85402764916348883</v>
      </c>
      <c r="G120" s="45">
        <f t="shared" ref="G120:K123" si="22">SUM(C110:G110)/5</f>
        <v>0.96630739643433805</v>
      </c>
      <c r="H120" s="45">
        <f t="shared" si="22"/>
        <v>0.95552901213492825</v>
      </c>
      <c r="I120" s="45">
        <f t="shared" si="22"/>
        <v>0.9256361549952139</v>
      </c>
      <c r="J120" s="45">
        <f t="shared" si="22"/>
        <v>0.85981423744291219</v>
      </c>
      <c r="K120" s="45">
        <f t="shared" si="22"/>
        <v>0.77385967000360045</v>
      </c>
      <c r="L120" s="45"/>
      <c r="M120" s="136">
        <f t="shared" si="3"/>
        <v>0.53351741201744818</v>
      </c>
      <c r="N120" s="32">
        <f t="shared" si="4"/>
        <v>1.0029327766056881</v>
      </c>
      <c r="O120" s="32">
        <f t="shared" si="5"/>
        <v>0.85310335414724214</v>
      </c>
    </row>
    <row r="121" spans="1:15" s="18" customFormat="1" hidden="1">
      <c r="A121" s="57" t="s">
        <v>335</v>
      </c>
      <c r="B121" s="45"/>
      <c r="C121" s="45"/>
      <c r="D121" s="45"/>
      <c r="E121" s="45"/>
      <c r="F121" s="45">
        <f t="shared" ref="F121:F123" si="23">SUM(B111:F111)/5</f>
        <v>-10.486328549545274</v>
      </c>
      <c r="G121" s="45">
        <f t="shared" si="22"/>
        <v>-9.9594940135591461</v>
      </c>
      <c r="H121" s="45">
        <f t="shared" si="22"/>
        <v>-9.9109955978425059</v>
      </c>
      <c r="I121" s="45">
        <f t="shared" si="22"/>
        <v>-8.2912479728226831</v>
      </c>
      <c r="J121" s="45">
        <f t="shared" si="22"/>
        <v>-4.0718026071917572</v>
      </c>
      <c r="K121" s="45">
        <f t="shared" si="22"/>
        <v>2.8094852838726476</v>
      </c>
      <c r="L121" s="45"/>
      <c r="M121" s="136">
        <f t="shared" si="3"/>
        <v>-3.9910383457088718</v>
      </c>
      <c r="N121" s="32">
        <f t="shared" si="4"/>
        <v>-6.683018650650463</v>
      </c>
      <c r="O121" s="32">
        <f t="shared" si="5"/>
        <v>-3.1845217653805982</v>
      </c>
    </row>
    <row r="122" spans="1:15" s="2" customFormat="1" hidden="1">
      <c r="A122" s="138" t="s">
        <v>336</v>
      </c>
      <c r="B122" s="140"/>
      <c r="C122" s="140"/>
      <c r="D122" s="140"/>
      <c r="E122" s="140"/>
      <c r="F122" s="140">
        <f t="shared" si="23"/>
        <v>1.1470529203298725</v>
      </c>
      <c r="G122" s="140">
        <f t="shared" si="22"/>
        <v>1.2155400269467287</v>
      </c>
      <c r="H122" s="140">
        <f t="shared" si="22"/>
        <v>1.0720153926298994</v>
      </c>
      <c r="I122" s="140">
        <f t="shared" si="22"/>
        <v>1.0140352975165654</v>
      </c>
      <c r="J122" s="140">
        <f t="shared" si="22"/>
        <v>0.94136478017296576</v>
      </c>
      <c r="K122" s="140">
        <f t="shared" si="22"/>
        <v>0.83696818411033769</v>
      </c>
      <c r="L122" s="140"/>
      <c r="M122" s="136">
        <f t="shared" si="3"/>
        <v>0.62269766017063688</v>
      </c>
      <c r="N122" s="32">
        <f t="shared" si="4"/>
        <v>1.1405242683094268</v>
      </c>
      <c r="O122" s="32">
        <f t="shared" si="5"/>
        <v>0.9307894205999564</v>
      </c>
    </row>
    <row r="123" spans="1:15" s="18" customFormat="1" hidden="1">
      <c r="A123" s="57" t="s">
        <v>337</v>
      </c>
      <c r="B123" s="45"/>
      <c r="C123" s="45"/>
      <c r="D123" s="45"/>
      <c r="E123" s="45"/>
      <c r="F123" s="45">
        <f t="shared" si="23"/>
        <v>-3.9883370528757096</v>
      </c>
      <c r="G123" s="45">
        <f t="shared" si="22"/>
        <v>-3.4883008042109092</v>
      </c>
      <c r="H123" s="45">
        <f t="shared" si="22"/>
        <v>3.8953987964411203</v>
      </c>
      <c r="I123" s="45">
        <f t="shared" si="22"/>
        <v>4.8091359102563072</v>
      </c>
      <c r="J123" s="45">
        <f t="shared" si="22"/>
        <v>6.8205245864201771</v>
      </c>
      <c r="K123" s="45">
        <f t="shared" si="22"/>
        <v>8.4709857832578024</v>
      </c>
      <c r="L123" s="45"/>
      <c r="M123" s="136">
        <f t="shared" si="3"/>
        <v>1.6519407219288786</v>
      </c>
      <c r="N123" s="32">
        <f t="shared" si="4"/>
        <v>4.4319369988186752</v>
      </c>
      <c r="O123" s="32">
        <f t="shared" si="5"/>
        <v>6.7002154266447631</v>
      </c>
    </row>
    <row r="124" spans="1:15" s="18" customFormat="1" hidden="1">
      <c r="A124" s="57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36">
        <f t="shared" si="3"/>
        <v>0</v>
      </c>
      <c r="N124" s="32">
        <f t="shared" si="4"/>
        <v>0</v>
      </c>
      <c r="O124" s="32">
        <f t="shared" si="5"/>
        <v>0</v>
      </c>
    </row>
    <row r="125" spans="1:15" s="18" customFormat="1" hidden="1">
      <c r="A125" s="57" t="s">
        <v>467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>
        <f>SUM(B110:K110)/10</f>
        <v>0.81394365958354464</v>
      </c>
      <c r="L125" s="45"/>
      <c r="M125" s="136">
        <f t="shared" si="3"/>
        <v>8.1394365958354462E-2</v>
      </c>
      <c r="N125" s="32">
        <f t="shared" si="4"/>
        <v>0.17906760510837982</v>
      </c>
      <c r="O125" s="32">
        <f t="shared" si="5"/>
        <v>0.27131455319451486</v>
      </c>
    </row>
    <row r="126" spans="1:15" s="18" customFormat="1" hidden="1">
      <c r="A126" s="57" t="s">
        <v>468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>
        <f>SUM(B111:K111)/10</f>
        <v>-3.8384216328363125</v>
      </c>
      <c r="L126" s="45"/>
      <c r="M126" s="136">
        <f t="shared" si="3"/>
        <v>-0.38384216328363124</v>
      </c>
      <c r="N126" s="32">
        <f t="shared" si="4"/>
        <v>-0.84445275922398877</v>
      </c>
      <c r="O126" s="32">
        <f t="shared" si="5"/>
        <v>-1.2794738776121042</v>
      </c>
    </row>
    <row r="127" spans="1:15" s="18" customFormat="1" hidden="1">
      <c r="A127" s="138" t="s">
        <v>469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>
        <f>SUM(B112:K112)/10</f>
        <v>0.99201055222010515</v>
      </c>
      <c r="L127" s="45"/>
      <c r="M127" s="136">
        <f t="shared" si="3"/>
        <v>9.9201055222010517E-2</v>
      </c>
      <c r="N127" s="32">
        <f t="shared" si="4"/>
        <v>0.21824232148842312</v>
      </c>
      <c r="O127" s="32">
        <f t="shared" si="5"/>
        <v>0.3306701840733684</v>
      </c>
    </row>
    <row r="128" spans="1:15" s="18" customFormat="1" hidden="1">
      <c r="A128" s="57" t="s">
        <v>470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>
        <f>SUM(B113:K113)/10</f>
        <v>2.2413243651910468</v>
      </c>
      <c r="L128" s="45"/>
      <c r="M128" s="136">
        <f t="shared" si="3"/>
        <v>0.22413243651910469</v>
      </c>
      <c r="N128" s="32">
        <f t="shared" si="4"/>
        <v>0.49309136034203033</v>
      </c>
      <c r="O128" s="32">
        <f t="shared" si="5"/>
        <v>0.74710812173034891</v>
      </c>
    </row>
    <row r="129" spans="1:15" s="18" customFormat="1" hidden="1">
      <c r="A129" s="57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136">
        <f t="shared" si="3"/>
        <v>0</v>
      </c>
      <c r="N129" s="32">
        <f t="shared" si="4"/>
        <v>0</v>
      </c>
      <c r="O129" s="32">
        <f t="shared" si="5"/>
        <v>0</v>
      </c>
    </row>
    <row r="130" spans="1:15" s="18" customFormat="1" hidden="1">
      <c r="A130" s="57" t="s">
        <v>446</v>
      </c>
      <c r="B130" s="141">
        <f t="shared" ref="B130:K130" si="24">B82*(B110-0.12)</f>
        <v>73.544104657507063</v>
      </c>
      <c r="C130" s="141">
        <f t="shared" si="24"/>
        <v>145.56074884437598</v>
      </c>
      <c r="D130" s="141">
        <f t="shared" si="24"/>
        <v>174.05750245286848</v>
      </c>
      <c r="E130" s="141">
        <f t="shared" si="24"/>
        <v>298.92400000000009</v>
      </c>
      <c r="F130" s="141">
        <f t="shared" si="24"/>
        <v>325.80321829441868</v>
      </c>
      <c r="G130" s="141">
        <f t="shared" si="24"/>
        <v>356.89944374989386</v>
      </c>
      <c r="H130" s="141">
        <f t="shared" si="24"/>
        <v>400.60778648929903</v>
      </c>
      <c r="I130" s="141">
        <f t="shared" si="24"/>
        <v>382.82053797461407</v>
      </c>
      <c r="J130" s="141">
        <f t="shared" si="24"/>
        <v>442.78249673112168</v>
      </c>
      <c r="K130" s="141">
        <f t="shared" si="24"/>
        <v>426.59941525086043</v>
      </c>
      <c r="L130" s="141"/>
      <c r="M130" s="136">
        <f t="shared" si="3"/>
        <v>280.84944009430762</v>
      </c>
      <c r="N130" s="32">
        <f t="shared" si="4"/>
        <v>458.11182405801935</v>
      </c>
      <c r="O130" s="32">
        <f t="shared" si="5"/>
        <v>417.40081665219873</v>
      </c>
    </row>
    <row r="131" spans="1:15" s="18" customFormat="1" hidden="1">
      <c r="A131" s="57" t="s">
        <v>447</v>
      </c>
      <c r="B131" s="141">
        <f t="shared" ref="B131:K131" si="25">B83*(B111-0.12)</f>
        <v>86.950504657507082</v>
      </c>
      <c r="C131" s="141">
        <f t="shared" si="25"/>
        <v>162.87194884437596</v>
      </c>
      <c r="D131" s="141">
        <f t="shared" si="25"/>
        <v>204.19430245286847</v>
      </c>
      <c r="E131" s="141">
        <f t="shared" si="25"/>
        <v>340.63360000000006</v>
      </c>
      <c r="F131" s="141">
        <f t="shared" si="25"/>
        <v>373.22121829441863</v>
      </c>
      <c r="G131" s="141">
        <f t="shared" si="25"/>
        <v>394.07544374989385</v>
      </c>
      <c r="H131" s="141">
        <f t="shared" si="25"/>
        <v>452.06378648929905</v>
      </c>
      <c r="I131" s="141">
        <f t="shared" si="25"/>
        <v>417.06613797461404</v>
      </c>
      <c r="J131" s="141">
        <f t="shared" si="25"/>
        <v>473.31649673112167</v>
      </c>
      <c r="K131" s="141">
        <f t="shared" si="25"/>
        <v>461.19541525086026</v>
      </c>
      <c r="L131" s="141"/>
      <c r="M131" s="136">
        <f t="shared" si="3"/>
        <v>311.57664009430761</v>
      </c>
      <c r="N131" s="32">
        <f t="shared" si="4"/>
        <v>501.85878405801924</v>
      </c>
      <c r="O131" s="32">
        <f t="shared" si="5"/>
        <v>450.52601665219862</v>
      </c>
    </row>
    <row r="132" spans="1:15" s="26" customFormat="1" hidden="1">
      <c r="A132" s="135" t="s">
        <v>448</v>
      </c>
      <c r="B132" s="142">
        <f t="shared" ref="B132:K132" si="26">B84*(B112-0.12)</f>
        <v>89.544904657507061</v>
      </c>
      <c r="C132" s="142">
        <f t="shared" si="26"/>
        <v>154.27154884437596</v>
      </c>
      <c r="D132" s="142">
        <f t="shared" si="26"/>
        <v>178.65710245286849</v>
      </c>
      <c r="E132" s="142">
        <f t="shared" si="26"/>
        <v>301.44400000000007</v>
      </c>
      <c r="F132" s="142">
        <f t="shared" si="26"/>
        <v>330.45201829441868</v>
      </c>
      <c r="G132" s="142">
        <f t="shared" si="26"/>
        <v>362.55384374989387</v>
      </c>
      <c r="H132" s="142">
        <f t="shared" si="26"/>
        <v>406.2621864892991</v>
      </c>
      <c r="I132" s="142">
        <f t="shared" si="26"/>
        <v>387.27613797461402</v>
      </c>
      <c r="J132" s="142">
        <f t="shared" si="26"/>
        <v>447.23809673112163</v>
      </c>
      <c r="K132" s="142">
        <f t="shared" si="26"/>
        <v>430.21501525086035</v>
      </c>
      <c r="L132" s="142"/>
      <c r="M132" s="136">
        <f t="shared" si="3"/>
        <v>284.40984009430758</v>
      </c>
      <c r="N132" s="32">
        <f t="shared" si="4"/>
        <v>463.59102405801934</v>
      </c>
      <c r="O132" s="32">
        <f t="shared" si="5"/>
        <v>421.5764166521987</v>
      </c>
    </row>
    <row r="133" spans="1:15" s="18" customFormat="1" hidden="1">
      <c r="A133" s="57" t="s">
        <v>449</v>
      </c>
      <c r="B133" s="143">
        <f t="shared" ref="B133:K133" si="27">B85*(B113-0.12)</f>
        <v>102.95130465750707</v>
      </c>
      <c r="C133" s="143">
        <f t="shared" si="27"/>
        <v>171.58274884437597</v>
      </c>
      <c r="D133" s="143">
        <f t="shared" si="27"/>
        <v>208.79390245286845</v>
      </c>
      <c r="E133" s="143">
        <f t="shared" si="27"/>
        <v>343.15359999999998</v>
      </c>
      <c r="F133" s="143">
        <f t="shared" si="27"/>
        <v>377.87001829441863</v>
      </c>
      <c r="G133" s="143">
        <f t="shared" si="27"/>
        <v>399.72984374989386</v>
      </c>
      <c r="H133" s="143">
        <f t="shared" si="27"/>
        <v>457.71818648929911</v>
      </c>
      <c r="I133" s="143">
        <f t="shared" si="27"/>
        <v>421.52173797461398</v>
      </c>
      <c r="J133" s="143">
        <f t="shared" si="27"/>
        <v>477.77209673112168</v>
      </c>
      <c r="K133" s="143">
        <f t="shared" si="27"/>
        <v>464.81101525086035</v>
      </c>
      <c r="L133" s="143"/>
      <c r="M133" s="136">
        <f t="shared" ref="M133:M196" si="28">SUM(D133:K133)/10</f>
        <v>315.13704009430757</v>
      </c>
      <c r="N133" s="32">
        <f t="shared" ref="N133:N196" si="29">SUM(G133:M133)/5</f>
        <v>507.33798405801929</v>
      </c>
      <c r="O133" s="32">
        <f t="shared" ref="O133:O196" si="30">SUM(I133:K133)/3</f>
        <v>454.70161665219865</v>
      </c>
    </row>
    <row r="134" spans="1:15" s="18" customFormat="1" hidden="1">
      <c r="A134" s="57" t="s">
        <v>582</v>
      </c>
      <c r="B134" s="45">
        <f>B130/'Data Sheet'!B17</f>
        <v>5.6784675523500978E-2</v>
      </c>
      <c r="C134" s="45">
        <f>C130/'Data Sheet'!C17</f>
        <v>9.8793759141820828E-2</v>
      </c>
      <c r="D134" s="45">
        <f>D130/'Data Sheet'!D17</f>
        <v>0.10270030413607925</v>
      </c>
      <c r="E134" s="45">
        <f>E130/'Data Sheet'!E17</f>
        <v>0.15232106641664039</v>
      </c>
      <c r="F134" s="45">
        <f>F130/'Data Sheet'!F17</f>
        <v>0.142513611837707</v>
      </c>
      <c r="G134" s="45">
        <f>G130/'Data Sheet'!G17</f>
        <v>0.1325172539106923</v>
      </c>
      <c r="H134" s="45">
        <f>H130/'Data Sheet'!H17</f>
        <v>0.12662194837531301</v>
      </c>
      <c r="I134" s="45">
        <f>I130/'Data Sheet'!I17</f>
        <v>0.10696866779030294</v>
      </c>
      <c r="J134" s="45">
        <f>J130/'Data Sheet'!J17</f>
        <v>0.11119768171572693</v>
      </c>
      <c r="K134" s="45">
        <f>K130/'Data Sheet'!K17</f>
        <v>0.10249151674940007</v>
      </c>
      <c r="L134" s="45"/>
      <c r="M134" s="136">
        <f t="shared" si="28"/>
        <v>9.7733205093186198E-2</v>
      </c>
      <c r="N134" s="32">
        <f t="shared" si="29"/>
        <v>0.13550605472692429</v>
      </c>
      <c r="O134" s="32">
        <f t="shared" si="30"/>
        <v>0.10688595541847663</v>
      </c>
    </row>
    <row r="135" spans="1:15" s="18" customFormat="1" hidden="1">
      <c r="A135" s="57" t="s">
        <v>93</v>
      </c>
      <c r="B135" s="45">
        <f>B131/'Data Sheet'!B17</f>
        <v>6.7135988895028392E-2</v>
      </c>
      <c r="C135" s="45">
        <f>C131/'Data Sheet'!C17</f>
        <v>0.11054307024961378</v>
      </c>
      <c r="D135" s="45">
        <f>D131/'Data Sheet'!D17</f>
        <v>0.12048212038686842</v>
      </c>
      <c r="E135" s="45">
        <f>E131/'Data Sheet'!E17</f>
        <v>0.17357479897679445</v>
      </c>
      <c r="F135" s="45">
        <f>F131/'Data Sheet'!F17</f>
        <v>0.16325530518713743</v>
      </c>
      <c r="G135" s="45">
        <f>G131/'Data Sheet'!G17</f>
        <v>0.14632075379744539</v>
      </c>
      <c r="H135" s="45">
        <f>H131/'Data Sheet'!H17</f>
        <v>0.14288588331451607</v>
      </c>
      <c r="I135" s="45">
        <f>I131/'Data Sheet'!I17</f>
        <v>0.11653765860009725</v>
      </c>
      <c r="J135" s="45">
        <f>J131/'Data Sheet'!J17</f>
        <v>0.11886580328461044</v>
      </c>
      <c r="K135" s="45">
        <f>K131/'Data Sheet'!K17</f>
        <v>0.11080328743332643</v>
      </c>
      <c r="L135" s="45"/>
      <c r="M135" s="136">
        <f t="shared" si="28"/>
        <v>0.10927256109807959</v>
      </c>
      <c r="N135" s="32">
        <f t="shared" si="29"/>
        <v>0.14893718950561502</v>
      </c>
      <c r="O135" s="32">
        <f t="shared" si="30"/>
        <v>0.11540224977267803</v>
      </c>
    </row>
    <row r="136" spans="1:15" s="2" customFormat="1" hidden="1">
      <c r="A136" s="138" t="s">
        <v>583</v>
      </c>
      <c r="B136" s="140">
        <f>B132/'Data Sheet'!B17</f>
        <v>6.9139170018304622E-2</v>
      </c>
      <c r="C136" s="140">
        <f>C132/'Data Sheet'!C17</f>
        <v>0.10470587957239541</v>
      </c>
      <c r="D136" s="140">
        <f>D132/'Data Sheet'!D17</f>
        <v>0.1054142366712897</v>
      </c>
      <c r="E136" s="140">
        <f>E132/'Data Sheet'!E17</f>
        <v>0.15360516902255336</v>
      </c>
      <c r="F136" s="140">
        <f>F132/'Data Sheet'!F17</f>
        <v>0.14454710089339959</v>
      </c>
      <c r="G136" s="140">
        <f>G132/'Data Sheet'!G17</f>
        <v>0.1346167404008918</v>
      </c>
      <c r="H136" s="140">
        <f>H132/'Data Sheet'!H17</f>
        <v>0.12840916062889335</v>
      </c>
      <c r="I136" s="140">
        <f>I132/'Data Sheet'!I17</f>
        <v>0.10821366263495799</v>
      </c>
      <c r="J136" s="140">
        <f>J132/'Data Sheet'!J17</f>
        <v>0.1123166337843166</v>
      </c>
      <c r="K136" s="140">
        <f>K132/'Data Sheet'!K17</f>
        <v>0.10336017318612119</v>
      </c>
      <c r="L136" s="140"/>
      <c r="M136" s="136">
        <f t="shared" si="28"/>
        <v>9.9048287722242362E-2</v>
      </c>
      <c r="N136" s="32">
        <f t="shared" si="29"/>
        <v>0.13719293167148466</v>
      </c>
      <c r="O136" s="32">
        <f t="shared" si="30"/>
        <v>0.10796348986846525</v>
      </c>
    </row>
    <row r="137" spans="1:15" s="18" customFormat="1" hidden="1">
      <c r="A137" s="57" t="s">
        <v>138</v>
      </c>
      <c r="B137" s="45">
        <f>B133/'Data Sheet'!B17</f>
        <v>7.9490483389832028E-2</v>
      </c>
      <c r="C137" s="45">
        <f>C133/'Data Sheet'!C17</f>
        <v>0.11645519068018838</v>
      </c>
      <c r="D137" s="45">
        <f>D133/'Data Sheet'!D17</f>
        <v>0.12319605292207886</v>
      </c>
      <c r="E137" s="45">
        <f>E133/'Data Sheet'!E17</f>
        <v>0.17485890158270739</v>
      </c>
      <c r="F137" s="45">
        <f>F133/'Data Sheet'!F17</f>
        <v>0.16528879424283005</v>
      </c>
      <c r="G137" s="45">
        <f>G133/'Data Sheet'!G17</f>
        <v>0.14842024028764489</v>
      </c>
      <c r="H137" s="45">
        <f>H133/'Data Sheet'!H17</f>
        <v>0.1446730955680964</v>
      </c>
      <c r="I137" s="45">
        <f>I133/'Data Sheet'!I17</f>
        <v>0.11778265344475231</v>
      </c>
      <c r="J137" s="45">
        <f>J133/'Data Sheet'!J17</f>
        <v>0.11998475535320012</v>
      </c>
      <c r="K137" s="45">
        <f>K133/'Data Sheet'!K17</f>
        <v>0.11167194387004759</v>
      </c>
      <c r="L137" s="45"/>
      <c r="M137" s="136">
        <f t="shared" si="28"/>
        <v>0.11058764372713574</v>
      </c>
      <c r="N137" s="32">
        <f t="shared" si="29"/>
        <v>0.1506240664501754</v>
      </c>
      <c r="O137" s="32">
        <f t="shared" si="30"/>
        <v>0.11647978422266668</v>
      </c>
    </row>
    <row r="138" spans="1:15" s="18" customFormat="1" hidden="1">
      <c r="A138" s="57" t="s">
        <v>450</v>
      </c>
      <c r="B138" s="141">
        <f t="shared" ref="B138:K138" si="31">B82*(B110-0.1)</f>
        <v>79.240104657507075</v>
      </c>
      <c r="C138" s="141">
        <f t="shared" si="31"/>
        <v>148.89874884437597</v>
      </c>
      <c r="D138" s="141">
        <f t="shared" si="31"/>
        <v>178.47730245286849</v>
      </c>
      <c r="E138" s="141">
        <f t="shared" si="31"/>
        <v>305.53800000000007</v>
      </c>
      <c r="F138" s="141">
        <f t="shared" si="31"/>
        <v>333.48521829441864</v>
      </c>
      <c r="G138" s="141">
        <f t="shared" si="31"/>
        <v>365.60824374989386</v>
      </c>
      <c r="H138" s="141">
        <f t="shared" si="31"/>
        <v>410.39958648929905</v>
      </c>
      <c r="I138" s="141">
        <f t="shared" si="31"/>
        <v>394.8181379746141</v>
      </c>
      <c r="J138" s="141">
        <f t="shared" si="31"/>
        <v>458.1888967311217</v>
      </c>
      <c r="K138" s="141">
        <f t="shared" si="31"/>
        <v>446.9888152508604</v>
      </c>
      <c r="L138" s="141"/>
      <c r="M138" s="136">
        <f t="shared" si="28"/>
        <v>289.35042009430765</v>
      </c>
      <c r="N138" s="32">
        <f t="shared" si="29"/>
        <v>473.07082005801942</v>
      </c>
      <c r="O138" s="32">
        <f t="shared" si="30"/>
        <v>433.33194998553205</v>
      </c>
    </row>
    <row r="139" spans="1:15" s="18" customFormat="1" hidden="1">
      <c r="A139" s="57" t="s">
        <v>451</v>
      </c>
      <c r="B139" s="141">
        <f t="shared" ref="B139:K139" si="32">B83*(B111-0.1)</f>
        <v>90.412104657507086</v>
      </c>
      <c r="C139" s="141">
        <f t="shared" si="32"/>
        <v>163.32474884437596</v>
      </c>
      <c r="D139" s="141">
        <f t="shared" si="32"/>
        <v>203.59130245286846</v>
      </c>
      <c r="E139" s="141">
        <f t="shared" si="32"/>
        <v>340.29600000000005</v>
      </c>
      <c r="F139" s="141">
        <f t="shared" si="32"/>
        <v>373.00021829441869</v>
      </c>
      <c r="G139" s="141">
        <f t="shared" si="32"/>
        <v>396.58824374989382</v>
      </c>
      <c r="H139" s="141">
        <f t="shared" si="32"/>
        <v>453.27958648929911</v>
      </c>
      <c r="I139" s="141">
        <f t="shared" si="32"/>
        <v>423.35613797461406</v>
      </c>
      <c r="J139" s="141">
        <f t="shared" si="32"/>
        <v>483.63389673112169</v>
      </c>
      <c r="K139" s="141">
        <f t="shared" si="32"/>
        <v>475.81881525086027</v>
      </c>
      <c r="L139" s="141"/>
      <c r="M139" s="136">
        <f t="shared" si="28"/>
        <v>314.95642009430765</v>
      </c>
      <c r="N139" s="32">
        <f t="shared" si="29"/>
        <v>509.52662005801932</v>
      </c>
      <c r="O139" s="32">
        <f t="shared" si="30"/>
        <v>460.93628331886538</v>
      </c>
    </row>
    <row r="140" spans="1:15" s="26" customFormat="1" hidden="1">
      <c r="A140" s="135" t="s">
        <v>452</v>
      </c>
      <c r="B140" s="144">
        <f t="shared" ref="B140:K140" si="33">B84*(B112-0.1)</f>
        <v>92.574104657507064</v>
      </c>
      <c r="C140" s="144">
        <f t="shared" si="33"/>
        <v>156.15774884437596</v>
      </c>
      <c r="D140" s="144">
        <f t="shared" si="33"/>
        <v>182.31030245286848</v>
      </c>
      <c r="E140" s="144">
        <f t="shared" si="33"/>
        <v>307.63800000000009</v>
      </c>
      <c r="F140" s="144">
        <f t="shared" si="33"/>
        <v>337.35921829441867</v>
      </c>
      <c r="G140" s="144">
        <f t="shared" si="33"/>
        <v>370.3202437498939</v>
      </c>
      <c r="H140" s="144">
        <f t="shared" si="33"/>
        <v>415.1115864892991</v>
      </c>
      <c r="I140" s="144">
        <f t="shared" si="33"/>
        <v>398.53113797461401</v>
      </c>
      <c r="J140" s="144">
        <f t="shared" si="33"/>
        <v>461.90189673112161</v>
      </c>
      <c r="K140" s="144">
        <f t="shared" si="33"/>
        <v>450.00181525086037</v>
      </c>
      <c r="L140" s="144"/>
      <c r="M140" s="136">
        <f t="shared" si="28"/>
        <v>292.31742009430764</v>
      </c>
      <c r="N140" s="32">
        <f t="shared" si="29"/>
        <v>477.6368200580194</v>
      </c>
      <c r="O140" s="32">
        <f t="shared" si="30"/>
        <v>436.81161665219867</v>
      </c>
    </row>
    <row r="141" spans="1:15" s="18" customFormat="1" hidden="1">
      <c r="A141" s="57" t="s">
        <v>453</v>
      </c>
      <c r="B141" s="141">
        <f t="shared" ref="B141:K141" si="34">B85*(B113-0.1)</f>
        <v>103.74610465750706</v>
      </c>
      <c r="C141" s="141">
        <f t="shared" si="34"/>
        <v>170.58374884437598</v>
      </c>
      <c r="D141" s="141">
        <f t="shared" si="34"/>
        <v>207.42430245286846</v>
      </c>
      <c r="E141" s="141">
        <f t="shared" si="34"/>
        <v>342.39599999999996</v>
      </c>
      <c r="F141" s="141">
        <f t="shared" si="34"/>
        <v>376.8742182944186</v>
      </c>
      <c r="G141" s="141">
        <f t="shared" si="34"/>
        <v>401.30024374989387</v>
      </c>
      <c r="H141" s="141">
        <f t="shared" si="34"/>
        <v>457.99158648929904</v>
      </c>
      <c r="I141" s="141">
        <f t="shared" si="34"/>
        <v>427.06913797461402</v>
      </c>
      <c r="J141" s="141">
        <f t="shared" si="34"/>
        <v>487.34689673112166</v>
      </c>
      <c r="K141" s="141">
        <f t="shared" si="34"/>
        <v>478.83181525086036</v>
      </c>
      <c r="L141" s="141"/>
      <c r="M141" s="136">
        <f t="shared" si="28"/>
        <v>317.92342009430763</v>
      </c>
      <c r="N141" s="32">
        <f t="shared" si="29"/>
        <v>514.09262005801941</v>
      </c>
      <c r="O141" s="32">
        <f t="shared" si="30"/>
        <v>464.415949985532</v>
      </c>
    </row>
    <row r="142" spans="1:15" s="18" customFormat="1" hidden="1">
      <c r="A142" s="57" t="s">
        <v>562</v>
      </c>
      <c r="B142" s="45">
        <f>B138/'Data Sheet'!B17</f>
        <v>6.118265566464403E-2</v>
      </c>
      <c r="C142" s="45">
        <f>C138/'Data Sheet'!C17</f>
        <v>0.10105929824239229</v>
      </c>
      <c r="D142" s="45">
        <f>D138/'Data Sheet'!D17</f>
        <v>0.10530814808318838</v>
      </c>
      <c r="E142" s="45">
        <f>E138/'Data Sheet'!E17</f>
        <v>0.15569132619263581</v>
      </c>
      <c r="F142" s="45">
        <f>F138/'Data Sheet'!F17</f>
        <v>0.14587389038826426</v>
      </c>
      <c r="G142" s="45">
        <f>G138/'Data Sheet'!G17</f>
        <v>0.13575084331820672</v>
      </c>
      <c r="H142" s="45">
        <f>H138/'Data Sheet'!H17</f>
        <v>0.12971688770479234</v>
      </c>
      <c r="I142" s="45">
        <f>I138/'Data Sheet'!I17</f>
        <v>0.11032106705150989</v>
      </c>
      <c r="J142" s="45">
        <f>J138/'Data Sheet'!J17</f>
        <v>0.1150667505615659</v>
      </c>
      <c r="K142" s="45">
        <f>K138/'Data Sheet'!K17</f>
        <v>0.10739011824040622</v>
      </c>
      <c r="L142" s="45"/>
      <c r="M142" s="136">
        <f t="shared" si="28"/>
        <v>0.10051190315405693</v>
      </c>
      <c r="N142" s="32">
        <f t="shared" si="29"/>
        <v>0.13975151400610758</v>
      </c>
      <c r="O142" s="32">
        <f t="shared" si="30"/>
        <v>0.11092597861782734</v>
      </c>
    </row>
    <row r="143" spans="1:15" s="18" customFormat="1" hidden="1">
      <c r="A143" s="57" t="s">
        <v>93</v>
      </c>
      <c r="B143" s="45">
        <f>B139/'Data Sheet'!B17</f>
        <v>6.9808750140916878E-2</v>
      </c>
      <c r="C143" s="45">
        <f>C139/'Data Sheet'!C17</f>
        <v>0.11085039083221976</v>
      </c>
      <c r="D143" s="45">
        <f>D139/'Data Sheet'!D17</f>
        <v>0.12012632829217934</v>
      </c>
      <c r="E143" s="45">
        <f>E139/'Data Sheet'!E17</f>
        <v>0.17340276999276422</v>
      </c>
      <c r="F143" s="45">
        <f>F139/'Data Sheet'!F17</f>
        <v>0.163158634846123</v>
      </c>
      <c r="G143" s="45">
        <f>G139/'Data Sheet'!G17</f>
        <v>0.14725375989050093</v>
      </c>
      <c r="H143" s="45">
        <f>H139/'Data Sheet'!H17</f>
        <v>0.14327016682079491</v>
      </c>
      <c r="I143" s="45">
        <f>I139/'Data Sheet'!I17</f>
        <v>0.11829522605967181</v>
      </c>
      <c r="J143" s="45">
        <f>J139/'Data Sheet'!J17</f>
        <v>0.12145685186896882</v>
      </c>
      <c r="K143" s="45">
        <f>K139/'Data Sheet'!K17</f>
        <v>0.11431659381034485</v>
      </c>
      <c r="L143" s="45"/>
      <c r="M143" s="136">
        <f t="shared" si="28"/>
        <v>0.11012803315813477</v>
      </c>
      <c r="N143" s="32">
        <f t="shared" si="29"/>
        <v>0.15094412632168322</v>
      </c>
      <c r="O143" s="32">
        <f t="shared" si="30"/>
        <v>0.11802289057966182</v>
      </c>
    </row>
    <row r="144" spans="1:15" s="2" customFormat="1" hidden="1">
      <c r="A144" s="138" t="s">
        <v>584</v>
      </c>
      <c r="B144" s="140">
        <f>B140/'Data Sheet'!B17</f>
        <v>7.1478067743647067E-2</v>
      </c>
      <c r="C144" s="140">
        <f>C140/'Data Sheet'!C17</f>
        <v>0.10598606526787112</v>
      </c>
      <c r="D144" s="140">
        <f>D140/'Data Sheet'!D17</f>
        <v>0.10756975852919708</v>
      </c>
      <c r="E144" s="140">
        <f>E140/'Data Sheet'!E17</f>
        <v>0.1567614116975633</v>
      </c>
      <c r="F144" s="140">
        <f>F140/'Data Sheet'!F17</f>
        <v>0.14756846460134143</v>
      </c>
      <c r="G144" s="140">
        <f>G140/'Data Sheet'!G17</f>
        <v>0.13750041539337299</v>
      </c>
      <c r="H144" s="140">
        <f>H140/'Data Sheet'!H17</f>
        <v>0.13120623124944264</v>
      </c>
      <c r="I144" s="140">
        <f>I140/'Data Sheet'!I17</f>
        <v>0.11135856275538909</v>
      </c>
      <c r="J144" s="140">
        <f>J140/'Data Sheet'!J17</f>
        <v>0.11599921061872394</v>
      </c>
      <c r="K144" s="140">
        <f>K140/'Data Sheet'!K17</f>
        <v>0.10811399860434048</v>
      </c>
      <c r="L144" s="140"/>
      <c r="M144" s="136">
        <f t="shared" si="28"/>
        <v>0.10160780534493712</v>
      </c>
      <c r="N144" s="32">
        <f t="shared" si="29"/>
        <v>0.14115724479324124</v>
      </c>
      <c r="O144" s="32">
        <f t="shared" si="30"/>
        <v>0.11182392399281783</v>
      </c>
    </row>
    <row r="145" spans="1:15" s="18" customFormat="1" hidden="1">
      <c r="A145" s="57" t="s">
        <v>138</v>
      </c>
      <c r="B145" s="45">
        <f>B141/'Data Sheet'!B17</f>
        <v>8.0104162219919894E-2</v>
      </c>
      <c r="C145" s="45">
        <f>C141/'Data Sheet'!C17</f>
        <v>0.1157771578576986</v>
      </c>
      <c r="D145" s="45">
        <f>D141/'Data Sheet'!D17</f>
        <v>0.12238793873818804</v>
      </c>
      <c r="E145" s="45">
        <f>E141/'Data Sheet'!E17</f>
        <v>0.17447285549769165</v>
      </c>
      <c r="F145" s="45">
        <f>F141/'Data Sheet'!F17</f>
        <v>0.16485320905920015</v>
      </c>
      <c r="G145" s="45">
        <f>G141/'Data Sheet'!G17</f>
        <v>0.1490033319656672</v>
      </c>
      <c r="H145" s="45">
        <f>H141/'Data Sheet'!H17</f>
        <v>0.14475951036544515</v>
      </c>
      <c r="I145" s="45">
        <f>I141/'Data Sheet'!I17</f>
        <v>0.11933272176355102</v>
      </c>
      <c r="J145" s="45">
        <f>J141/'Data Sheet'!J17</f>
        <v>0.12238931192612687</v>
      </c>
      <c r="K145" s="45">
        <f>K141/'Data Sheet'!K17</f>
        <v>0.11504047417427915</v>
      </c>
      <c r="L145" s="45"/>
      <c r="M145" s="136">
        <f t="shared" si="28"/>
        <v>0.11122393534901494</v>
      </c>
      <c r="N145" s="32">
        <f t="shared" si="29"/>
        <v>0.15234985710881688</v>
      </c>
      <c r="O145" s="32">
        <f t="shared" si="30"/>
        <v>0.11892083595465235</v>
      </c>
    </row>
    <row r="146" spans="1:15" ht="18" hidden="1">
      <c r="A146" s="68" t="s">
        <v>139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136">
        <f t="shared" si="28"/>
        <v>0</v>
      </c>
      <c r="N146" s="32">
        <f t="shared" si="29"/>
        <v>0</v>
      </c>
      <c r="O146" s="32">
        <f t="shared" si="30"/>
        <v>0</v>
      </c>
    </row>
    <row r="147" spans="1:15" s="18" customFormat="1" hidden="1">
      <c r="A147" s="172" t="s">
        <v>103</v>
      </c>
      <c r="B147" s="141">
        <f>'Data Sheet'!B17/'Data Sheet'!B66</f>
        <v>1.7995803748836305</v>
      </c>
      <c r="C147" s="141">
        <f>'Data Sheet'!C17/'Data Sheet'!C66</f>
        <v>2.0565582122468351</v>
      </c>
      <c r="D147" s="141">
        <f>'Data Sheet'!D17/'Data Sheet'!D66</f>
        <v>2.1460897533302941</v>
      </c>
      <c r="E147" s="141">
        <f>'Data Sheet'!E17/'Data Sheet'!E66</f>
        <v>2.1769554172629149</v>
      </c>
      <c r="F147" s="141">
        <f>'Data Sheet'!F17/'Data Sheet'!F66</f>
        <v>2.173241819875658</v>
      </c>
      <c r="G147" s="141">
        <f>'Data Sheet'!G17/'Data Sheet'!G66</f>
        <v>2.3485968920592288</v>
      </c>
      <c r="H147" s="141">
        <f>'Data Sheet'!H17/'Data Sheet'!H66</f>
        <v>2.3879613555740056</v>
      </c>
      <c r="I147" s="141">
        <f>'Data Sheet'!I17/'Data Sheet'!I66</f>
        <v>2.3571941379878147</v>
      </c>
      <c r="J147" s="141">
        <f>'Data Sheet'!J17/'Data Sheet'!J66</f>
        <v>2.2979005805431485</v>
      </c>
      <c r="K147" s="141">
        <f>'Data Sheet'!K17/'Data Sheet'!K66</f>
        <v>2.1091652604855504</v>
      </c>
      <c r="L147" s="141"/>
      <c r="M147" s="136">
        <f t="shared" si="28"/>
        <v>1.7997105217118616</v>
      </c>
      <c r="N147" s="32">
        <f t="shared" si="29"/>
        <v>2.6601057496723222</v>
      </c>
      <c r="O147" s="32">
        <f t="shared" si="30"/>
        <v>2.2547533263388377</v>
      </c>
    </row>
    <row r="148" spans="1:15" s="18" customFormat="1" hidden="1">
      <c r="A148" s="172" t="s">
        <v>106</v>
      </c>
      <c r="B148" s="141">
        <f>'Data Sheet'!B61/('Data Sheet'!B57+'Data Sheet'!B58)</f>
        <v>2.5655568230429204</v>
      </c>
      <c r="C148" s="141">
        <f>'Data Sheet'!C61/('Data Sheet'!C57+'Data Sheet'!C58)</f>
        <v>4.4166820787867573</v>
      </c>
      <c r="D148" s="141">
        <f>'Data Sheet'!D61/('Data Sheet'!D57+'Data Sheet'!D58)</f>
        <v>3.6510402219140086</v>
      </c>
      <c r="E148" s="141">
        <f>'Data Sheet'!E61/('Data Sheet'!E57+'Data Sheet'!E58)</f>
        <v>2.7643126552390296</v>
      </c>
      <c r="F148" s="141">
        <f>'Data Sheet'!F61/('Data Sheet'!F57+'Data Sheet'!F58)</f>
        <v>2.7390704335372997</v>
      </c>
      <c r="G148" s="141">
        <f>'Data Sheet'!G61/('Data Sheet'!G57+'Data Sheet'!G58)</f>
        <v>2.6338225498977925</v>
      </c>
      <c r="H148" s="141">
        <f>'Data Sheet'!H61/('Data Sheet'!H57+'Data Sheet'!H58)</f>
        <v>2.7061418738127823</v>
      </c>
      <c r="I148" s="141">
        <f>'Data Sheet'!I61/('Data Sheet'!I57+'Data Sheet'!I58)</f>
        <v>2.5309228512369142</v>
      </c>
      <c r="J148" s="141">
        <f>'Data Sheet'!J61/('Data Sheet'!J57+'Data Sheet'!J58)</f>
        <v>2.2495326617509606</v>
      </c>
      <c r="K148" s="141">
        <f>'Data Sheet'!K61/('Data Sheet'!K57+'Data Sheet'!K58)</f>
        <v>1.935741120386083</v>
      </c>
      <c r="L148" s="141"/>
      <c r="M148" s="136">
        <f t="shared" si="28"/>
        <v>2.1210584367774872</v>
      </c>
      <c r="N148" s="32">
        <f t="shared" si="29"/>
        <v>2.8354438987724038</v>
      </c>
      <c r="O148" s="32">
        <f t="shared" si="30"/>
        <v>2.2387322111246526</v>
      </c>
    </row>
    <row r="149" spans="1:15" s="18" customFormat="1" hidden="1">
      <c r="A149" s="79" t="s">
        <v>140</v>
      </c>
      <c r="B149" s="45">
        <f>'Data Sheet'!B30/'Data Sheet'!B17</f>
        <v>0.12367002795064624</v>
      </c>
      <c r="C149" s="45">
        <f>'Data Sheet'!C30/'Data Sheet'!C17</f>
        <v>0.15726424954865684</v>
      </c>
      <c r="D149" s="45">
        <f>'Data Sheet'!D30/'Data Sheet'!D17</f>
        <v>0.17124043403095335</v>
      </c>
      <c r="E149" s="45">
        <f>'Data Sheet'!E30/'Data Sheet'!E17</f>
        <v>0.21567828134076616</v>
      </c>
      <c r="F149" s="45">
        <f>'Data Sheet'!F30/'Data Sheet'!F17</f>
        <v>0.17609749269504663</v>
      </c>
      <c r="G149" s="45">
        <f>'Data Sheet'!G30/'Data Sheet'!G17</f>
        <v>0.16577492453299569</v>
      </c>
      <c r="H149" s="45">
        <f>'Data Sheet'!H30/'Data Sheet'!H17</f>
        <v>0.15701006065471695</v>
      </c>
      <c r="I149" s="45">
        <f>'Data Sheet'!I30/'Data Sheet'!I17</f>
        <v>0.15085181945954101</v>
      </c>
      <c r="J149" s="45">
        <f>'Data Sheet'!J30/'Data Sheet'!J17</f>
        <v>0.14037881032863378</v>
      </c>
      <c r="K149" s="45">
        <f>'Data Sheet'!K30/'Data Sheet'!K17</f>
        <v>0.13850788868627606</v>
      </c>
      <c r="L149" s="45">
        <f>'Profit &amp; Loss'!L12/'Profit &amp; Loss'!L4</f>
        <v>0.14363659747917451</v>
      </c>
      <c r="M149" s="136">
        <f t="shared" si="28"/>
        <v>0.13155397117289297</v>
      </c>
      <c r="N149" s="32">
        <f t="shared" si="29"/>
        <v>0.20554281446284622</v>
      </c>
      <c r="O149" s="32">
        <f t="shared" si="30"/>
        <v>0.14324617282481697</v>
      </c>
    </row>
    <row r="150" spans="1:15" s="18" customFormat="1" hidden="1">
      <c r="A150" s="57" t="s">
        <v>94</v>
      </c>
      <c r="B150" s="45">
        <f>B147*B148*B149</f>
        <v>0.57097533152716384</v>
      </c>
      <c r="C150" s="45">
        <f t="shared" ref="C150:K150" si="35">C147*C148*C149</f>
        <v>1.4284569385364652</v>
      </c>
      <c r="D150" s="45">
        <f t="shared" si="35"/>
        <v>1.3417475728155341</v>
      </c>
      <c r="E150" s="45">
        <f t="shared" si="35"/>
        <v>1.2979056146698964</v>
      </c>
      <c r="F150" s="45">
        <f t="shared" si="35"/>
        <v>1.0482489259211039</v>
      </c>
      <c r="G150" s="45">
        <f t="shared" si="35"/>
        <v>1.0254484485174211</v>
      </c>
      <c r="H150" s="45">
        <f t="shared" si="35"/>
        <v>1.0146244817091854</v>
      </c>
      <c r="I150" s="45">
        <f t="shared" si="35"/>
        <v>0.8999633259985329</v>
      </c>
      <c r="J150" s="45">
        <f t="shared" si="35"/>
        <v>0.72564648457783787</v>
      </c>
      <c r="K150" s="45">
        <f t="shared" si="35"/>
        <v>0.56549972044297525</v>
      </c>
      <c r="L150" s="45"/>
      <c r="M150" s="136">
        <f t="shared" si="28"/>
        <v>0.79190845746524863</v>
      </c>
      <c r="N150" s="32">
        <f t="shared" si="29"/>
        <v>1.0046181837422403</v>
      </c>
      <c r="O150" s="32">
        <f t="shared" si="30"/>
        <v>0.7303698436731153</v>
      </c>
    </row>
    <row r="151" spans="1:15" s="32" customFormat="1" hidden="1">
      <c r="A151" s="45" t="s">
        <v>246</v>
      </c>
      <c r="B151" s="45">
        <f>('Profit &amp; Loss'!B10+'Profit &amp; Loss'!B9)*(1-B98)/('Balance Sheet'!B4+'Balance Sheet'!B5+'Balance Sheet'!B6-'Data Sheet'!B69)</f>
        <v>0.92990851367774396</v>
      </c>
      <c r="C151" s="45">
        <f>('Profit &amp; Loss'!C10+'Profit &amp; Loss'!C9)*(1-C98)/('Balance Sheet'!C4+'Balance Sheet'!C5+'Balance Sheet'!C6-'Data Sheet'!C69)</f>
        <v>10.28500370235262</v>
      </c>
      <c r="D151" s="45">
        <f>('Profit &amp; Loss'!D10+'Profit &amp; Loss'!D9)*(1-D98)/('Balance Sheet'!D4+'Balance Sheet'!D5+'Balance Sheet'!D6-'Data Sheet'!D69)</f>
        <v>-9.6565342757124562</v>
      </c>
      <c r="E151" s="45">
        <f>('Profit &amp; Loss'!E10+'Profit &amp; Loss'!E9)*(1-E98)/('Balance Sheet'!E4+'Balance Sheet'!E5+'Balance Sheet'!E6-'Data Sheet'!E69)</f>
        <v>-25.152226989582854</v>
      </c>
      <c r="F151" s="45">
        <f>('Profit &amp; Loss'!F10+'Profit &amp; Loss'!F9)*(1-F98)/('Balance Sheet'!F4+'Balance Sheet'!F5+'Balance Sheet'!F6-'Data Sheet'!F69)</f>
        <v>-36.545393072678053</v>
      </c>
      <c r="G151" s="45">
        <f>('Profit &amp; Loss'!G10+'Profit &amp; Loss'!G9)*(1-G98)/('Balance Sheet'!G4+'Balance Sheet'!G5+'Balance Sheet'!G6-'Data Sheet'!G69)</f>
        <v>3.5626853482010499</v>
      </c>
      <c r="H151" s="45">
        <f>('Profit &amp; Loss'!H10+'Profit &amp; Loss'!H9)*(1-H98)/('Balance Sheet'!H4+'Balance Sheet'!H5+'Balance Sheet'!H6-'Data Sheet'!H69)</f>
        <v>8.1717387728244741</v>
      </c>
      <c r="I151" s="45">
        <f>('Profit &amp; Loss'!I10+'Profit &amp; Loss'!I9)*(1-I98)/('Balance Sheet'!I4+'Balance Sheet'!I5+'Balance Sheet'!I6-'Data Sheet'!I69)</f>
        <v>1.7165977742448335</v>
      </c>
      <c r="J151" s="45">
        <f>('Profit &amp; Loss'!J10+'Profit &amp; Loss'!J9)*(1-J98)/('Balance Sheet'!J4+'Balance Sheet'!J5+'Balance Sheet'!J6-'Data Sheet'!J69)</f>
        <v>1.083567565471921</v>
      </c>
      <c r="K151" s="45">
        <f>('Profit &amp; Loss'!K10+'Profit &amp; Loss'!K9)*(1-K98)/('Balance Sheet'!K4+'Balance Sheet'!K5+'Balance Sheet'!K6-'Data Sheet'!K69)</f>
        <v>0.78847600421242658</v>
      </c>
      <c r="L151" s="45"/>
      <c r="M151" s="136">
        <f t="shared" si="28"/>
        <v>-5.6031088873018664</v>
      </c>
      <c r="N151" s="32">
        <f t="shared" si="29"/>
        <v>1.9439913155305679</v>
      </c>
      <c r="O151" s="32">
        <f t="shared" si="30"/>
        <v>1.1962137813097271</v>
      </c>
    </row>
    <row r="152" spans="1:15" s="53" customFormat="1" hidden="1">
      <c r="A152" s="56" t="s">
        <v>247</v>
      </c>
      <c r="B152" s="58">
        <f>'Balance Sheet'!B6/('Balance Sheet'!B4+'Balance Sheet'!B5)</f>
        <v>1.5257379153001571E-2</v>
      </c>
      <c r="C152" s="58">
        <f>'Balance Sheet'!C6/('Balance Sheet'!C4+'Balance Sheet'!C5)</f>
        <v>2.8913137291165774E-2</v>
      </c>
      <c r="D152" s="58">
        <f>'Balance Sheet'!D6/('Balance Sheet'!D4+'Balance Sheet'!D5)</f>
        <v>2.1682847896440132E-2</v>
      </c>
      <c r="E152" s="58">
        <f>'Balance Sheet'!E6/('Balance Sheet'!E4+'Balance Sheet'!E5)</f>
        <v>1.4075005366287448E-2</v>
      </c>
      <c r="F152" s="58">
        <f>'Balance Sheet'!F6/('Balance Sheet'!F4+'Balance Sheet'!F5)</f>
        <v>1.3019138133055593E-4</v>
      </c>
      <c r="G152" s="58">
        <f>'Balance Sheet'!G6/('Balance Sheet'!G4+'Balance Sheet'!G5)</f>
        <v>1.1483956912193665E-4</v>
      </c>
      <c r="H152" s="58">
        <f>'Balance Sheet'!H6/('Balance Sheet'!H4+'Balance Sheet'!H5)</f>
        <v>0</v>
      </c>
      <c r="I152" s="58">
        <f>'Balance Sheet'!I6/('Balance Sheet'!I4+'Balance Sheet'!I5)</f>
        <v>0</v>
      </c>
      <c r="J152" s="58">
        <f>'Balance Sheet'!J6/('Balance Sheet'!J4+'Balance Sheet'!J5)</f>
        <v>0</v>
      </c>
      <c r="K152" s="58">
        <f>'Balance Sheet'!K6/('Balance Sheet'!K4+'Balance Sheet'!K5)</f>
        <v>0</v>
      </c>
      <c r="L152" s="58"/>
      <c r="M152" s="136">
        <f t="shared" si="28"/>
        <v>3.6002884213180075E-3</v>
      </c>
      <c r="N152" s="32">
        <f t="shared" si="29"/>
        <v>7.4302559808798877E-4</v>
      </c>
      <c r="O152" s="32">
        <f t="shared" si="30"/>
        <v>0</v>
      </c>
    </row>
    <row r="153" spans="1:15" s="18" customFormat="1" hidden="1">
      <c r="A153" s="57" t="s">
        <v>249</v>
      </c>
      <c r="B153" s="45"/>
      <c r="C153" s="45">
        <f>'Profit &amp; Loss'!C9/'Balance Sheet'!B6</f>
        <v>0.3364485981308411</v>
      </c>
      <c r="D153" s="45">
        <f>'Profit &amp; Loss'!D9/'Balance Sheet'!C6</f>
        <v>0.23454157782515991</v>
      </c>
      <c r="E153" s="45">
        <f>'Profit &amp; Loss'!E9/'Balance Sheet'!D6</f>
        <v>0.3198294243070362</v>
      </c>
      <c r="F153" s="45">
        <f>'Profit &amp; Loss'!F9/'Balance Sheet'!E6</f>
        <v>0.35076252723311552</v>
      </c>
      <c r="G153" s="45">
        <f>'Profit &amp; Loss'!G9/'Balance Sheet'!F6</f>
        <v>30.2</v>
      </c>
      <c r="H153" s="45">
        <f>'Profit &amp; Loss'!H9/'Balance Sheet'!G6</f>
        <v>0</v>
      </c>
      <c r="I153" s="45" t="e">
        <f>'Profit &amp; Loss'!I9/'Balance Sheet'!H6</f>
        <v>#DIV/0!</v>
      </c>
      <c r="J153" s="45" t="e">
        <f>'Profit &amp; Loss'!J9/'Balance Sheet'!I6</f>
        <v>#DIV/0!</v>
      </c>
      <c r="K153" s="45" t="e">
        <f>'Profit &amp; Loss'!K9/'Balance Sheet'!J6</f>
        <v>#DIV/0!</v>
      </c>
      <c r="L153" s="45"/>
      <c r="M153" s="136" t="e">
        <f t="shared" si="28"/>
        <v>#DIV/0!</v>
      </c>
      <c r="N153" s="32" t="e">
        <f t="shared" si="29"/>
        <v>#DIV/0!</v>
      </c>
      <c r="O153" s="32" t="e">
        <f t="shared" si="30"/>
        <v>#DIV/0!</v>
      </c>
    </row>
    <row r="154" spans="1:15" s="18" customFormat="1" hidden="1">
      <c r="A154" s="57" t="s">
        <v>248</v>
      </c>
      <c r="B154" s="45"/>
      <c r="C154" s="45">
        <f t="shared" ref="C154:K154" si="36">C152*(C151-C153)</f>
        <v>0.28764393957709233</v>
      </c>
      <c r="D154" s="45">
        <f t="shared" si="36"/>
        <v>-0.2144666932644079</v>
      </c>
      <c r="E154" s="45">
        <f t="shared" si="36"/>
        <v>-0.35851933071587683</v>
      </c>
      <c r="F154" s="45">
        <f t="shared" si="36"/>
        <v>-4.8035614633395616E-3</v>
      </c>
      <c r="G154" s="45">
        <f t="shared" si="36"/>
        <v>-3.0590177371780411E-3</v>
      </c>
      <c r="H154" s="45">
        <f t="shared" si="36"/>
        <v>0</v>
      </c>
      <c r="I154" s="45" t="e">
        <f t="shared" si="36"/>
        <v>#DIV/0!</v>
      </c>
      <c r="J154" s="45" t="e">
        <f t="shared" si="36"/>
        <v>#DIV/0!</v>
      </c>
      <c r="K154" s="45" t="e">
        <f t="shared" si="36"/>
        <v>#DIV/0!</v>
      </c>
      <c r="L154" s="45"/>
      <c r="M154" s="136" t="e">
        <f t="shared" si="28"/>
        <v>#DIV/0!</v>
      </c>
      <c r="N154" s="32" t="e">
        <f t="shared" si="29"/>
        <v>#DIV/0!</v>
      </c>
      <c r="O154" s="32" t="e">
        <f t="shared" si="30"/>
        <v>#DIV/0!</v>
      </c>
    </row>
    <row r="155" spans="1:15" s="18" customFormat="1" hidden="1">
      <c r="A155" s="57" t="s">
        <v>250</v>
      </c>
      <c r="B155" s="45"/>
      <c r="C155" s="45">
        <f t="shared" ref="C155:K155" si="37">C151+C154</f>
        <v>10.572647641929713</v>
      </c>
      <c r="D155" s="45">
        <f t="shared" si="37"/>
        <v>-9.8710009689768636</v>
      </c>
      <c r="E155" s="45">
        <f t="shared" si="37"/>
        <v>-25.510746320298729</v>
      </c>
      <c r="F155" s="45">
        <f t="shared" si="37"/>
        <v>-36.550196634141393</v>
      </c>
      <c r="G155" s="45">
        <f t="shared" si="37"/>
        <v>3.559626330463872</v>
      </c>
      <c r="H155" s="45">
        <f t="shared" si="37"/>
        <v>8.1717387728244741</v>
      </c>
      <c r="I155" s="45" t="e">
        <f t="shared" si="37"/>
        <v>#DIV/0!</v>
      </c>
      <c r="J155" s="45" t="e">
        <f t="shared" si="37"/>
        <v>#DIV/0!</v>
      </c>
      <c r="K155" s="45" t="e">
        <f t="shared" si="37"/>
        <v>#DIV/0!</v>
      </c>
      <c r="L155" s="45"/>
      <c r="M155" s="136" t="e">
        <f t="shared" si="28"/>
        <v>#DIV/0!</v>
      </c>
      <c r="N155" s="32" t="e">
        <f t="shared" si="29"/>
        <v>#DIV/0!</v>
      </c>
      <c r="O155" s="32" t="e">
        <f t="shared" si="30"/>
        <v>#DIV/0!</v>
      </c>
    </row>
    <row r="156" spans="1:15" s="18" customFormat="1" hidden="1">
      <c r="A156" s="57" t="s">
        <v>95</v>
      </c>
      <c r="B156" s="78">
        <f>'Balance Sheet'!B24</f>
        <v>0.74063876651982496</v>
      </c>
      <c r="C156" s="78">
        <f>'Balance Sheet'!C24</f>
        <v>1.7109086715867168</v>
      </c>
      <c r="D156" s="78">
        <f>'Balance Sheet'!D24</f>
        <v>1.0312938929153321</v>
      </c>
      <c r="E156" s="78">
        <f>'Balance Sheet'!E24</f>
        <v>1.0750881354815327</v>
      </c>
      <c r="F156" s="78">
        <f>'Balance Sheet'!F24</f>
        <v>1.0765238024618113</v>
      </c>
      <c r="G156" s="78">
        <f>'Balance Sheet'!G24</f>
        <v>1.2456574904370743</v>
      </c>
      <c r="H156" s="78">
        <f>'Balance Sheet'!H24</f>
        <v>1.3122668937769812</v>
      </c>
      <c r="I156" s="78">
        <f>'Balance Sheet'!I24</f>
        <v>1.0093295983287431</v>
      </c>
      <c r="J156" s="78">
        <f>'Balance Sheet'!J24</f>
        <v>0.88817756456816643</v>
      </c>
      <c r="K156" s="78">
        <f>'Balance Sheet'!K24</f>
        <v>0.58938274586429862</v>
      </c>
      <c r="L156" s="78"/>
      <c r="M156" s="136">
        <f t="shared" si="28"/>
        <v>0.82277201238339404</v>
      </c>
      <c r="N156" s="32">
        <f t="shared" si="29"/>
        <v>1.1735172610717317</v>
      </c>
      <c r="O156" s="32">
        <f t="shared" si="30"/>
        <v>0.82896330292040277</v>
      </c>
    </row>
    <row r="157" spans="1:15" s="18" customFormat="1" hidden="1">
      <c r="A157" s="57" t="s">
        <v>222</v>
      </c>
      <c r="B157" s="78">
        <f>B88/('Data Sheet'!B62+'Balance Sheet'!B16-'Data Sheet'!B69)</f>
        <v>8.8045454545454511</v>
      </c>
      <c r="C157" s="78">
        <f>C88/('Data Sheet'!C62+'Balance Sheet'!C16-'Data Sheet'!C69)</f>
        <v>-3.6272158498435911</v>
      </c>
      <c r="D157" s="78">
        <f>D88/('Data Sheet'!D62+'Balance Sheet'!D16-'Data Sheet'!D69)</f>
        <v>-3.2624743677375245</v>
      </c>
      <c r="E157" s="78">
        <f>E88/('Data Sheet'!E62+'Balance Sheet'!E16-'Data Sheet'!E69)</f>
        <v>-8.8005445881552209</v>
      </c>
      <c r="F157" s="78">
        <f>F88/('Data Sheet'!F62+'Balance Sheet'!F16-'Data Sheet'!F69)</f>
        <v>-8.2812068965517334</v>
      </c>
      <c r="G157" s="78">
        <f>G88/('Data Sheet'!G62+'Balance Sheet'!G16-'Data Sheet'!G69)</f>
        <v>58.994529540481125</v>
      </c>
      <c r="H157" s="78">
        <f>H88/('Data Sheet'!H62+'Balance Sheet'!H16-'Data Sheet'!H69)</f>
        <v>-6.9442745497791396</v>
      </c>
      <c r="I157" s="78">
        <f>I88/('Data Sheet'!I62+'Balance Sheet'!I16-'Data Sheet'!I69)</f>
        <v>4.5139113793611063</v>
      </c>
      <c r="J157" s="78">
        <f>J88/('Data Sheet'!J62+'Balance Sheet'!J16-'Data Sheet'!J69)</f>
        <v>2.2135916577793568</v>
      </c>
      <c r="K157" s="78">
        <f>K88/('Data Sheet'!K62+'Balance Sheet'!K16-'Data Sheet'!K69)</f>
        <v>1.2663850835916299</v>
      </c>
      <c r="L157" s="78"/>
      <c r="M157" s="136">
        <f t="shared" si="28"/>
        <v>3.9699917258989594</v>
      </c>
      <c r="N157" s="32">
        <f t="shared" si="29"/>
        <v>12.802826967466606</v>
      </c>
      <c r="O157" s="32">
        <f t="shared" si="30"/>
        <v>2.6646293735773647</v>
      </c>
    </row>
    <row r="158" spans="1:15" ht="18" hidden="1">
      <c r="A158" s="68" t="s">
        <v>481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136">
        <f t="shared" si="28"/>
        <v>0</v>
      </c>
      <c r="N158" s="32">
        <f t="shared" si="29"/>
        <v>0</v>
      </c>
      <c r="O158" s="32">
        <f t="shared" si="30"/>
        <v>0</v>
      </c>
    </row>
    <row r="159" spans="1:15" s="18" customFormat="1" hidden="1">
      <c r="A159" s="79" t="s">
        <v>483</v>
      </c>
      <c r="B159" s="78">
        <f>'Profit &amp; Loss'!B12/'Profit &amp; Loss'!B4</f>
        <v>0.12367002795064624</v>
      </c>
      <c r="C159" s="78">
        <f>'Profit &amp; Loss'!C12/'Profit &amp; Loss'!C4</f>
        <v>0.15726424954865684</v>
      </c>
      <c r="D159" s="78">
        <f>'Profit &amp; Loss'!D12/'Profit &amp; Loss'!D4</f>
        <v>0.17124043403095335</v>
      </c>
      <c r="E159" s="78">
        <f>'Profit &amp; Loss'!E12/'Profit &amp; Loss'!E4</f>
        <v>0.21567828134076616</v>
      </c>
      <c r="F159" s="78">
        <f>'Profit &amp; Loss'!F12/'Profit &amp; Loss'!F4</f>
        <v>0.17609749269504663</v>
      </c>
      <c r="G159" s="78">
        <f>'Profit &amp; Loss'!G12/'Profit &amp; Loss'!G4</f>
        <v>0.16577492453299569</v>
      </c>
      <c r="H159" s="78">
        <f>'Profit &amp; Loss'!H12/'Profit &amp; Loss'!H4</f>
        <v>0.15701006065471695</v>
      </c>
      <c r="I159" s="78">
        <f>'Profit &amp; Loss'!I12/'Profit &amp; Loss'!I4</f>
        <v>0.15085181945954101</v>
      </c>
      <c r="J159" s="78">
        <f>'Profit &amp; Loss'!J12/'Profit &amp; Loss'!J4</f>
        <v>0.14037881032863378</v>
      </c>
      <c r="K159" s="78">
        <f>'Profit &amp; Loss'!K12/'Profit &amp; Loss'!K4</f>
        <v>0.13850788868627606</v>
      </c>
      <c r="L159" s="78">
        <f>L149</f>
        <v>0.14363659747917451</v>
      </c>
      <c r="M159" s="136">
        <f t="shared" si="28"/>
        <v>0.13155397117289297</v>
      </c>
      <c r="N159" s="32">
        <f t="shared" si="29"/>
        <v>0.20554281446284622</v>
      </c>
      <c r="O159" s="32">
        <f t="shared" si="30"/>
        <v>0.14324617282481697</v>
      </c>
    </row>
    <row r="160" spans="1:15" s="18" customFormat="1" hidden="1">
      <c r="A160" s="79" t="s">
        <v>484</v>
      </c>
      <c r="B160" s="78">
        <f>'Profit &amp; Loss'!B4/'Data Sheet'!B61</f>
        <v>1.7995803748836305</v>
      </c>
      <c r="C160" s="78">
        <f>'Profit &amp; Loss'!C4/'Data Sheet'!C61</f>
        <v>2.0565582122468351</v>
      </c>
      <c r="D160" s="78">
        <f>'Profit &amp; Loss'!D4/'Data Sheet'!D61</f>
        <v>2.1460897533302941</v>
      </c>
      <c r="E160" s="78">
        <f>'Profit &amp; Loss'!E4/'Data Sheet'!E61</f>
        <v>2.1769554172629149</v>
      </c>
      <c r="F160" s="78">
        <f>'Profit &amp; Loss'!F4/'Data Sheet'!F61</f>
        <v>2.173241819875658</v>
      </c>
      <c r="G160" s="78">
        <f>'Profit &amp; Loss'!G4/'Data Sheet'!G61</f>
        <v>2.3485968920592288</v>
      </c>
      <c r="H160" s="78">
        <f>'Profit &amp; Loss'!H4/'Data Sheet'!H61</f>
        <v>2.3879613555740056</v>
      </c>
      <c r="I160" s="78">
        <f>'Profit &amp; Loss'!I4/'Data Sheet'!I61</f>
        <v>2.3571941379878147</v>
      </c>
      <c r="J160" s="78">
        <f>'Profit &amp; Loss'!J4/'Data Sheet'!J61</f>
        <v>2.2979005805431485</v>
      </c>
      <c r="K160" s="78">
        <f>'Profit &amp; Loss'!K4/'Data Sheet'!K61</f>
        <v>2.1091652604855504</v>
      </c>
      <c r="L160" s="78"/>
      <c r="M160" s="136">
        <f t="shared" si="28"/>
        <v>1.7997105217118616</v>
      </c>
      <c r="N160" s="32">
        <f t="shared" si="29"/>
        <v>2.6601057496723222</v>
      </c>
      <c r="O160" s="32">
        <f t="shared" si="30"/>
        <v>2.2547533263388377</v>
      </c>
    </row>
    <row r="161" spans="1:15" s="18" customFormat="1" hidden="1">
      <c r="A161" s="57" t="s">
        <v>482</v>
      </c>
      <c r="B161" s="45">
        <f>'Data Sheet'!B30/'Data Sheet'!B61</f>
        <v>0.22255415526129302</v>
      </c>
      <c r="C161" s="45">
        <f>'Data Sheet'!C30/'Data Sheet'!C61</f>
        <v>0.32342308390212587</v>
      </c>
      <c r="D161" s="45">
        <f>'Data Sheet'!D30/'Data Sheet'!D61</f>
        <v>0.36749734082966118</v>
      </c>
      <c r="E161" s="45">
        <f>'Data Sheet'!E30/'Data Sheet'!E61</f>
        <v>0.46952200295073598</v>
      </c>
      <c r="F161" s="45">
        <f>'Data Sheet'!F30/'Data Sheet'!F61</f>
        <v>0.38270243550012356</v>
      </c>
      <c r="G161" s="45">
        <f>'Data Sheet'!G30/'Data Sheet'!G61</f>
        <v>0.3893384725395469</v>
      </c>
      <c r="H161" s="45">
        <f>'Data Sheet'!H30/'Data Sheet'!H61</f>
        <v>0.37493395727979467</v>
      </c>
      <c r="I161" s="45">
        <f>'Data Sheet'!I30/'Data Sheet'!I61</f>
        <v>0.35558702453482627</v>
      </c>
      <c r="J161" s="45">
        <f>'Data Sheet'!J30/'Data Sheet'!J61</f>
        <v>0.32257654975012412</v>
      </c>
      <c r="K161" s="45">
        <f>'Data Sheet'!K30/'Data Sheet'!K61</f>
        <v>0.29213602712029307</v>
      </c>
      <c r="L161" s="45"/>
      <c r="M161" s="136">
        <f t="shared" si="28"/>
        <v>0.29542938105051064</v>
      </c>
      <c r="N161" s="32">
        <f t="shared" si="29"/>
        <v>0.40600028245501907</v>
      </c>
      <c r="O161" s="32">
        <f t="shared" si="30"/>
        <v>0.32343320046841445</v>
      </c>
    </row>
    <row r="162" spans="1:15" s="18" customFormat="1" ht="18" hidden="1">
      <c r="A162" s="137" t="s">
        <v>314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136">
        <f t="shared" si="28"/>
        <v>0</v>
      </c>
      <c r="N162" s="32">
        <f t="shared" si="29"/>
        <v>0</v>
      </c>
      <c r="O162" s="32">
        <f t="shared" si="30"/>
        <v>0</v>
      </c>
    </row>
    <row r="163" spans="1:15" s="49" customFormat="1" hidden="1">
      <c r="A163" s="159" t="s">
        <v>96</v>
      </c>
      <c r="B163" s="143">
        <f t="shared" ref="B163:K163" si="38">B88*(1-B98)</f>
        <v>107.72010465750706</v>
      </c>
      <c r="C163" s="143">
        <f t="shared" si="38"/>
        <v>165.58874884437597</v>
      </c>
      <c r="D163" s="143">
        <f t="shared" si="38"/>
        <v>200.57630245286845</v>
      </c>
      <c r="E163" s="143">
        <f t="shared" si="38"/>
        <v>338.60800000000006</v>
      </c>
      <c r="F163" s="143">
        <f t="shared" si="38"/>
        <v>371.89521829441867</v>
      </c>
      <c r="G163" s="143">
        <f t="shared" si="38"/>
        <v>409.15224374989384</v>
      </c>
      <c r="H163" s="143">
        <f t="shared" si="38"/>
        <v>459.35858648929906</v>
      </c>
      <c r="I163" s="143">
        <f t="shared" si="38"/>
        <v>454.80613797461405</v>
      </c>
      <c r="J163" s="143">
        <f t="shared" si="38"/>
        <v>535.22089673112157</v>
      </c>
      <c r="K163" s="143">
        <f t="shared" si="38"/>
        <v>548.9358152508604</v>
      </c>
      <c r="L163" s="143">
        <f>('Profit &amp; Loss'!L10+'Profit &amp; Loss'!L9-'Profit &amp; Loss'!L7)*(1-Customization!L98)</f>
        <v>551.44183319705644</v>
      </c>
      <c r="M163" s="136">
        <f t="shared" si="28"/>
        <v>331.85532009430756</v>
      </c>
      <c r="N163" s="32">
        <f t="shared" si="29"/>
        <v>658.15416669743058</v>
      </c>
      <c r="O163" s="32">
        <f t="shared" si="30"/>
        <v>512.98761665219865</v>
      </c>
    </row>
    <row r="164" spans="1:15" s="49" customFormat="1" hidden="1">
      <c r="A164" s="159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36">
        <f t="shared" si="28"/>
        <v>0</v>
      </c>
      <c r="N164" s="32">
        <f t="shared" si="29"/>
        <v>0</v>
      </c>
      <c r="O164" s="32">
        <f t="shared" si="30"/>
        <v>0</v>
      </c>
    </row>
    <row r="165" spans="1:15" s="173" customFormat="1" hidden="1">
      <c r="A165" s="165" t="s">
        <v>454</v>
      </c>
      <c r="B165" s="160"/>
      <c r="C165" s="160">
        <f>C163-B163</f>
        <v>57.868644186868906</v>
      </c>
      <c r="D165" s="160">
        <f t="shared" ref="D165:L165" si="39">D163-C163</f>
        <v>34.987553608492476</v>
      </c>
      <c r="E165" s="160">
        <f t="shared" si="39"/>
        <v>138.03169754713161</v>
      </c>
      <c r="F165" s="160">
        <f t="shared" si="39"/>
        <v>33.287218294418608</v>
      </c>
      <c r="G165" s="160">
        <f t="shared" si="39"/>
        <v>37.257025455475173</v>
      </c>
      <c r="H165" s="160">
        <f t="shared" si="39"/>
        <v>50.206342739405216</v>
      </c>
      <c r="I165" s="160">
        <f t="shared" si="39"/>
        <v>-4.5524485146850111</v>
      </c>
      <c r="J165" s="160">
        <f t="shared" si="39"/>
        <v>80.414758756507524</v>
      </c>
      <c r="K165" s="160">
        <f t="shared" si="39"/>
        <v>13.714918519738831</v>
      </c>
      <c r="L165" s="160">
        <f t="shared" si="39"/>
        <v>2.5060179461960388</v>
      </c>
      <c r="M165" s="136">
        <f t="shared" si="28"/>
        <v>38.334706640648442</v>
      </c>
      <c r="N165" s="32">
        <f t="shared" si="29"/>
        <v>43.576264308657244</v>
      </c>
      <c r="O165" s="32">
        <f t="shared" si="30"/>
        <v>29.859076253853782</v>
      </c>
    </row>
    <row r="166" spans="1:15" s="49" customFormat="1" hidden="1">
      <c r="A166" s="159" t="s">
        <v>455</v>
      </c>
      <c r="B166" s="143"/>
      <c r="C166" s="143"/>
      <c r="D166" s="143">
        <f t="shared" ref="D166:K169" si="40">C82-B82</f>
        <v>-117.89999999999995</v>
      </c>
      <c r="E166" s="143">
        <f t="shared" si="40"/>
        <v>54.089999999999975</v>
      </c>
      <c r="F166" s="143">
        <f t="shared" si="40"/>
        <v>109.71000000000001</v>
      </c>
      <c r="G166" s="143">
        <f t="shared" si="40"/>
        <v>53.400000000000034</v>
      </c>
      <c r="H166" s="143">
        <f t="shared" si="40"/>
        <v>51.340000000000032</v>
      </c>
      <c r="I166" s="143">
        <f t="shared" si="40"/>
        <v>54.149999999999977</v>
      </c>
      <c r="J166" s="143">
        <f t="shared" si="40"/>
        <v>110.28999999999996</v>
      </c>
      <c r="K166" s="143">
        <f t="shared" si="40"/>
        <v>170.44000000000005</v>
      </c>
      <c r="L166" s="143"/>
      <c r="M166" s="136">
        <f t="shared" si="28"/>
        <v>48.552000000000007</v>
      </c>
      <c r="N166" s="32">
        <f t="shared" si="29"/>
        <v>97.634400000000014</v>
      </c>
      <c r="O166" s="32">
        <f t="shared" si="30"/>
        <v>111.62666666666667</v>
      </c>
    </row>
    <row r="167" spans="1:15" s="49" customFormat="1" hidden="1">
      <c r="A167" s="159" t="s">
        <v>456</v>
      </c>
      <c r="B167" s="143"/>
      <c r="C167" s="143"/>
      <c r="D167" s="143">
        <f t="shared" si="40"/>
        <v>-150.43999999999994</v>
      </c>
      <c r="E167" s="143">
        <f t="shared" si="40"/>
        <v>-52.79000000000002</v>
      </c>
      <c r="F167" s="143">
        <f t="shared" si="40"/>
        <v>13.27000000000001</v>
      </c>
      <c r="G167" s="143">
        <f t="shared" si="40"/>
        <v>5.8300000000000409</v>
      </c>
      <c r="H167" s="143">
        <f t="shared" si="40"/>
        <v>136.69</v>
      </c>
      <c r="I167" s="143">
        <f t="shared" si="40"/>
        <v>-64.850000000000023</v>
      </c>
      <c r="J167" s="143">
        <f t="shared" si="40"/>
        <v>253.70999999999998</v>
      </c>
      <c r="K167" s="143">
        <f t="shared" si="40"/>
        <v>201.37000000000012</v>
      </c>
      <c r="L167" s="143"/>
      <c r="M167" s="136">
        <f t="shared" si="28"/>
        <v>34.279000000000018</v>
      </c>
      <c r="N167" s="32">
        <f t="shared" si="29"/>
        <v>113.40580000000003</v>
      </c>
      <c r="O167" s="32">
        <f t="shared" si="30"/>
        <v>130.07666666666668</v>
      </c>
    </row>
    <row r="168" spans="1:15" s="173" customFormat="1" hidden="1">
      <c r="A168" s="165" t="s">
        <v>457</v>
      </c>
      <c r="B168" s="160"/>
      <c r="C168" s="160"/>
      <c r="D168" s="160">
        <f t="shared" si="40"/>
        <v>-57.149999999999949</v>
      </c>
      <c r="E168" s="160">
        <f t="shared" si="40"/>
        <v>88.349999999999881</v>
      </c>
      <c r="F168" s="160">
        <f t="shared" si="40"/>
        <v>127.04000000000011</v>
      </c>
      <c r="G168" s="160">
        <f t="shared" si="40"/>
        <v>35.659999999999968</v>
      </c>
      <c r="H168" s="160">
        <f t="shared" si="40"/>
        <v>42.960000000000036</v>
      </c>
      <c r="I168" s="160">
        <f t="shared" si="40"/>
        <v>54.149999999999977</v>
      </c>
      <c r="J168" s="160">
        <f t="shared" si="40"/>
        <v>120.27999999999997</v>
      </c>
      <c r="K168" s="160">
        <f t="shared" si="40"/>
        <v>170.44000000000005</v>
      </c>
      <c r="L168" s="160"/>
      <c r="M168" s="136">
        <f t="shared" si="28"/>
        <v>58.173000000000002</v>
      </c>
      <c r="N168" s="32">
        <f t="shared" si="29"/>
        <v>96.332599999999999</v>
      </c>
      <c r="O168" s="32">
        <f t="shared" si="30"/>
        <v>114.95666666666666</v>
      </c>
    </row>
    <row r="169" spans="1:15" s="49" customFormat="1" hidden="1">
      <c r="A169" s="159" t="s">
        <v>458</v>
      </c>
      <c r="B169" s="143"/>
      <c r="C169" s="143"/>
      <c r="D169" s="143">
        <f t="shared" si="40"/>
        <v>-89.689999999999941</v>
      </c>
      <c r="E169" s="143">
        <f t="shared" si="40"/>
        <v>-18.530000000000115</v>
      </c>
      <c r="F169" s="143">
        <f t="shared" si="40"/>
        <v>30.600000000000108</v>
      </c>
      <c r="G169" s="143">
        <f t="shared" si="40"/>
        <v>-11.910000000000025</v>
      </c>
      <c r="H169" s="143">
        <f t="shared" si="40"/>
        <v>128.31</v>
      </c>
      <c r="I169" s="143">
        <f t="shared" si="40"/>
        <v>-64.850000000000023</v>
      </c>
      <c r="J169" s="143">
        <f t="shared" si="40"/>
        <v>263.7</v>
      </c>
      <c r="K169" s="143">
        <f t="shared" si="40"/>
        <v>201.37000000000006</v>
      </c>
      <c r="L169" s="143"/>
      <c r="M169" s="136">
        <f t="shared" si="28"/>
        <v>43.900000000000006</v>
      </c>
      <c r="N169" s="32">
        <f t="shared" si="29"/>
        <v>112.104</v>
      </c>
      <c r="O169" s="32">
        <f t="shared" si="30"/>
        <v>133.40666666666667</v>
      </c>
    </row>
    <row r="170" spans="1:15" s="18" customFormat="1" hidden="1">
      <c r="A170" s="57" t="s">
        <v>97</v>
      </c>
      <c r="B170" s="46"/>
      <c r="C170" s="69"/>
      <c r="D170" s="45">
        <f t="shared" ref="D170:K170" si="41">(D163-C163)/(C82-B82)</f>
        <v>-0.29675617988543251</v>
      </c>
      <c r="E170" s="45">
        <f t="shared" si="41"/>
        <v>2.5518893981721518</v>
      </c>
      <c r="F170" s="45">
        <f t="shared" si="41"/>
        <v>0.30341097707062809</v>
      </c>
      <c r="G170" s="45">
        <f t="shared" si="41"/>
        <v>0.69769710590777434</v>
      </c>
      <c r="H170" s="45">
        <f t="shared" si="41"/>
        <v>0.97791863536044377</v>
      </c>
      <c r="I170" s="45">
        <f t="shared" si="41"/>
        <v>-8.4071071369991007E-2</v>
      </c>
      <c r="J170" s="45">
        <f t="shared" si="41"/>
        <v>0.72912103324424293</v>
      </c>
      <c r="K170" s="45">
        <f t="shared" si="41"/>
        <v>8.0467721894736124E-2</v>
      </c>
      <c r="L170" s="45"/>
      <c r="M170" s="136">
        <f t="shared" si="28"/>
        <v>0.49596776203945547</v>
      </c>
      <c r="N170" s="32">
        <f t="shared" si="29"/>
        <v>0.57942023741533233</v>
      </c>
      <c r="O170" s="32">
        <f t="shared" si="30"/>
        <v>0.24183922792299603</v>
      </c>
    </row>
    <row r="171" spans="1:15" s="18" customFormat="1" hidden="1">
      <c r="A171" s="57" t="s">
        <v>98</v>
      </c>
      <c r="B171" s="46"/>
      <c r="C171" s="69"/>
      <c r="D171" s="45">
        <f t="shared" ref="D171:K171" si="42">(D163-C163)/(C83-B83)</f>
        <v>-0.2325681574613965</v>
      </c>
      <c r="E171" s="45">
        <f t="shared" si="42"/>
        <v>-2.6147319103453599</v>
      </c>
      <c r="F171" s="45">
        <f t="shared" si="42"/>
        <v>2.5084565406494788</v>
      </c>
      <c r="G171" s="45">
        <f t="shared" si="42"/>
        <v>6.3905704040265716</v>
      </c>
      <c r="H171" s="45">
        <f t="shared" si="42"/>
        <v>0.36730077357089191</v>
      </c>
      <c r="I171" s="45">
        <f t="shared" si="42"/>
        <v>7.0199668692135841E-2</v>
      </c>
      <c r="J171" s="45">
        <f t="shared" si="42"/>
        <v>0.31695541664304733</v>
      </c>
      <c r="K171" s="45">
        <f t="shared" si="42"/>
        <v>6.8108052439483646E-2</v>
      </c>
      <c r="L171" s="45"/>
      <c r="M171" s="136">
        <f t="shared" si="28"/>
        <v>0.6874290788214853</v>
      </c>
      <c r="N171" s="32">
        <f t="shared" si="29"/>
        <v>1.5801126788387232</v>
      </c>
      <c r="O171" s="32">
        <f t="shared" si="30"/>
        <v>0.15175437925822227</v>
      </c>
    </row>
    <row r="172" spans="1:15" s="2" customFormat="1" hidden="1">
      <c r="A172" s="138" t="s">
        <v>101</v>
      </c>
      <c r="B172" s="145"/>
      <c r="C172" s="146"/>
      <c r="D172" s="140">
        <f t="shared" ref="D172:K172" si="43">(D163-C163)/(C84-B84)</f>
        <v>-0.61220566244081376</v>
      </c>
      <c r="E172" s="140">
        <f t="shared" si="43"/>
        <v>1.5623282121916446</v>
      </c>
      <c r="F172" s="140">
        <f t="shared" si="43"/>
        <v>0.26202155458452914</v>
      </c>
      <c r="G172" s="140">
        <f t="shared" si="43"/>
        <v>1.0447847856274595</v>
      </c>
      <c r="H172" s="140">
        <f t="shared" si="43"/>
        <v>1.1686765069693941</v>
      </c>
      <c r="I172" s="140">
        <f t="shared" si="43"/>
        <v>-8.4071071369991007E-2</v>
      </c>
      <c r="J172" s="140">
        <f t="shared" si="43"/>
        <v>0.66856300928257018</v>
      </c>
      <c r="K172" s="140">
        <f t="shared" si="43"/>
        <v>8.0467721894736124E-2</v>
      </c>
      <c r="L172" s="140"/>
      <c r="M172" s="136">
        <f t="shared" si="28"/>
        <v>0.40905650567395291</v>
      </c>
      <c r="N172" s="32">
        <f t="shared" si="29"/>
        <v>0.65749549161562437</v>
      </c>
      <c r="O172" s="32">
        <f t="shared" si="30"/>
        <v>0.22165321993577178</v>
      </c>
    </row>
    <row r="173" spans="1:15" s="18" customFormat="1" hidden="1">
      <c r="A173" s="57" t="s">
        <v>141</v>
      </c>
      <c r="B173" s="46"/>
      <c r="C173" s="69"/>
      <c r="D173" s="45">
        <f t="shared" ref="D173:K173" si="44">(D163-C163)/(C85-B85)</f>
        <v>-0.39009425363465827</v>
      </c>
      <c r="E173" s="45">
        <f t="shared" si="44"/>
        <v>-7.4490932297426209</v>
      </c>
      <c r="F173" s="45">
        <f t="shared" si="44"/>
        <v>1.0878175913208656</v>
      </c>
      <c r="G173" s="45">
        <f t="shared" si="44"/>
        <v>-3.1282137242212507</v>
      </c>
      <c r="H173" s="45">
        <f t="shared" si="44"/>
        <v>0.39128939863927376</v>
      </c>
      <c r="I173" s="45">
        <f t="shared" si="44"/>
        <v>7.0199668692135841E-2</v>
      </c>
      <c r="J173" s="45">
        <f t="shared" si="44"/>
        <v>0.30494789062005129</v>
      </c>
      <c r="K173" s="45">
        <f t="shared" si="44"/>
        <v>6.8108052439483674E-2</v>
      </c>
      <c r="L173" s="45"/>
      <c r="M173" s="136">
        <f t="shared" si="28"/>
        <v>-0.90450386058867205</v>
      </c>
      <c r="N173" s="32">
        <f t="shared" si="29"/>
        <v>-0.63963451488379564</v>
      </c>
      <c r="O173" s="32">
        <f t="shared" si="30"/>
        <v>0.14775187058389028</v>
      </c>
    </row>
    <row r="174" spans="1:15" s="18" customFormat="1" hidden="1">
      <c r="A174" s="57"/>
      <c r="B174" s="46"/>
      <c r="C174" s="69"/>
      <c r="D174" s="45"/>
      <c r="E174" s="45"/>
      <c r="F174" s="45"/>
      <c r="G174" s="45"/>
      <c r="H174" s="45"/>
      <c r="I174" s="45"/>
      <c r="J174" s="45"/>
      <c r="K174" s="45"/>
      <c r="L174" s="45"/>
      <c r="M174" s="136">
        <f t="shared" si="28"/>
        <v>0</v>
      </c>
      <c r="N174" s="32">
        <f t="shared" si="29"/>
        <v>0</v>
      </c>
      <c r="O174" s="32">
        <f t="shared" si="30"/>
        <v>0</v>
      </c>
    </row>
    <row r="175" spans="1:15" s="18" customFormat="1" hidden="1">
      <c r="A175" s="57" t="s">
        <v>290</v>
      </c>
      <c r="B175" s="46"/>
      <c r="C175" s="69"/>
      <c r="D175" s="45"/>
      <c r="E175" s="45"/>
      <c r="F175" s="45">
        <f t="shared" ref="F175:K175" si="45">(F163-C163)/(E82-B82)</f>
        <v>4.4946943235303385</v>
      </c>
      <c r="G175" s="45">
        <f t="shared" si="45"/>
        <v>0.96029438902866193</v>
      </c>
      <c r="H175" s="45">
        <f t="shared" si="45"/>
        <v>0.56307104914571671</v>
      </c>
      <c r="I175" s="45">
        <f t="shared" si="45"/>
        <v>0.52181332796397106</v>
      </c>
      <c r="J175" s="45">
        <f t="shared" si="45"/>
        <v>0.58424623682096466</v>
      </c>
      <c r="K175" s="45">
        <f t="shared" si="45"/>
        <v>0.26749053022444264</v>
      </c>
      <c r="L175" s="45"/>
      <c r="M175" s="136">
        <f t="shared" si="28"/>
        <v>0.73916098567140964</v>
      </c>
      <c r="N175" s="32">
        <f t="shared" si="29"/>
        <v>0.72721530377103316</v>
      </c>
      <c r="O175" s="32">
        <f t="shared" si="30"/>
        <v>0.45785003166979282</v>
      </c>
    </row>
    <row r="176" spans="1:15" s="18" customFormat="1" hidden="1">
      <c r="A176" s="57" t="s">
        <v>291</v>
      </c>
      <c r="B176" s="46"/>
      <c r="C176" s="69"/>
      <c r="D176" s="45"/>
      <c r="E176" s="45"/>
      <c r="F176" s="45">
        <f t="shared" ref="F176:K176" si="46">(F163-C163)/(E83-B83)</f>
        <v>-1.0860521659825371</v>
      </c>
      <c r="G176" s="45">
        <f t="shared" si="46"/>
        <v>-6.1910341732569183</v>
      </c>
      <c r="H176" s="45">
        <f t="shared" si="46"/>
        <v>0.77508560555426509</v>
      </c>
      <c r="I176" s="45">
        <f t="shared" si="46"/>
        <v>1.0674767565365695</v>
      </c>
      <c r="J176" s="45">
        <f t="shared" si="46"/>
        <v>0.38724820451920672</v>
      </c>
      <c r="K176" s="45">
        <f t="shared" si="46"/>
        <v>0.2295498264140669</v>
      </c>
      <c r="L176" s="45"/>
      <c r="M176" s="136">
        <f t="shared" si="28"/>
        <v>-0.48177259462153471</v>
      </c>
      <c r="N176" s="32">
        <f t="shared" si="29"/>
        <v>-0.84268927497086898</v>
      </c>
      <c r="O176" s="32">
        <f t="shared" si="30"/>
        <v>0.56142492915661435</v>
      </c>
    </row>
    <row r="177" spans="1:15" s="2" customFormat="1" hidden="1">
      <c r="A177" s="138" t="s">
        <v>292</v>
      </c>
      <c r="B177" s="145"/>
      <c r="C177" s="146"/>
      <c r="D177" s="140"/>
      <c r="E177" s="140"/>
      <c r="F177" s="140">
        <f t="shared" ref="F177:K177" si="47">(F163-C163)/(E84-B84)</f>
        <v>1.3037567584052241</v>
      </c>
      <c r="G177" s="140">
        <f t="shared" si="47"/>
        <v>0.83081434493935646</v>
      </c>
      <c r="H177" s="140">
        <f t="shared" si="47"/>
        <v>0.58713695657541054</v>
      </c>
      <c r="I177" s="140">
        <f t="shared" si="47"/>
        <v>0.62447028455370479</v>
      </c>
      <c r="J177" s="140">
        <f t="shared" si="47"/>
        <v>0.57991928322934694</v>
      </c>
      <c r="K177" s="140">
        <f t="shared" si="47"/>
        <v>0.25974201514066558</v>
      </c>
      <c r="L177" s="140"/>
      <c r="M177" s="136">
        <f t="shared" si="28"/>
        <v>0.41858396428437084</v>
      </c>
      <c r="N177" s="32">
        <f t="shared" si="29"/>
        <v>0.66013336974457104</v>
      </c>
      <c r="O177" s="32">
        <f t="shared" si="30"/>
        <v>0.48804386097457236</v>
      </c>
    </row>
    <row r="178" spans="1:15" s="18" customFormat="1" hidden="1">
      <c r="A178" s="57" t="s">
        <v>293</v>
      </c>
      <c r="B178" s="46"/>
      <c r="C178" s="69"/>
      <c r="D178" s="45"/>
      <c r="E178" s="45"/>
      <c r="F178" s="45">
        <f t="shared" ref="F178:K178" si="48">(F163-C163)/(E85-B85)</f>
        <v>-2.657903497166231</v>
      </c>
      <c r="G178" s="45">
        <f t="shared" si="48"/>
        <v>1303.5996331066681</v>
      </c>
      <c r="H178" s="45">
        <f t="shared" si="48"/>
        <v>0.82143256115169339</v>
      </c>
      <c r="I178" s="45">
        <f t="shared" si="48"/>
        <v>1.6083592566478264</v>
      </c>
      <c r="J178" s="45">
        <f t="shared" si="48"/>
        <v>0.38534250208224641</v>
      </c>
      <c r="K178" s="45">
        <f t="shared" si="48"/>
        <v>0.22381997091989739</v>
      </c>
      <c r="L178" s="45"/>
      <c r="M178" s="136">
        <f t="shared" si="28"/>
        <v>130.39806839003035</v>
      </c>
      <c r="N178" s="32">
        <f t="shared" si="29"/>
        <v>287.40733115750004</v>
      </c>
      <c r="O178" s="32">
        <f t="shared" si="30"/>
        <v>0.73917390988332343</v>
      </c>
    </row>
    <row r="179" spans="1:15" s="18" customFormat="1" hidden="1">
      <c r="A179" s="57"/>
      <c r="B179" s="46"/>
      <c r="C179" s="69"/>
      <c r="D179" s="45"/>
      <c r="E179" s="45"/>
      <c r="F179" s="45"/>
      <c r="G179" s="45"/>
      <c r="H179" s="45"/>
      <c r="I179" s="45"/>
      <c r="J179" s="45"/>
      <c r="K179" s="45"/>
      <c r="L179" s="45"/>
      <c r="M179" s="136">
        <f t="shared" si="28"/>
        <v>0</v>
      </c>
      <c r="N179" s="32">
        <f t="shared" si="29"/>
        <v>0</v>
      </c>
      <c r="O179" s="32">
        <f t="shared" si="30"/>
        <v>0</v>
      </c>
    </row>
    <row r="180" spans="1:15" s="18" customFormat="1" hidden="1">
      <c r="A180" s="57" t="s">
        <v>294</v>
      </c>
      <c r="B180" s="46"/>
      <c r="C180" s="69"/>
      <c r="D180" s="45"/>
      <c r="E180" s="45"/>
      <c r="F180" s="45"/>
      <c r="G180" s="45"/>
      <c r="H180" s="45">
        <f>(H163-C163)/(G82-B82)</f>
        <v>1.9501449657788297</v>
      </c>
      <c r="I180" s="45">
        <f>(I163-D163)/(H82-C82)</f>
        <v>0.78784541052324386</v>
      </c>
      <c r="J180" s="45">
        <f>(J163-E163)/(I82-D82)</f>
        <v>0.51891814703771943</v>
      </c>
      <c r="K180" s="45">
        <f>(K163-F163)/(J82-E82)</f>
        <v>0.40271279049279313</v>
      </c>
      <c r="L180" s="45"/>
      <c r="M180" s="136">
        <f t="shared" si="28"/>
        <v>0.36596213138325862</v>
      </c>
      <c r="N180" s="32">
        <f t="shared" si="29"/>
        <v>0.80511668904316891</v>
      </c>
      <c r="O180" s="32">
        <f t="shared" si="30"/>
        <v>0.56982544935125212</v>
      </c>
    </row>
    <row r="181" spans="1:15" s="18" customFormat="1" hidden="1">
      <c r="A181" s="57" t="s">
        <v>295</v>
      </c>
      <c r="B181" s="46"/>
      <c r="C181" s="69"/>
      <c r="D181" s="45"/>
      <c r="E181" s="45"/>
      <c r="F181" s="45"/>
      <c r="G181" s="45"/>
      <c r="H181" s="45">
        <f>(H163-C163)/(G83-B83)</f>
        <v>-6.1924502033078337</v>
      </c>
      <c r="I181" s="45">
        <f>(I163-D163)/(H83-C83)</f>
        <v>6.663953748931732</v>
      </c>
      <c r="J181" s="45">
        <f>(J163-E163)/(I83-D83)</f>
        <v>0.5704711931847426</v>
      </c>
      <c r="K181" s="45">
        <f>(K163-F163)/(J83-E83)</f>
        <v>0.33231458837436262</v>
      </c>
      <c r="L181" s="45"/>
      <c r="M181" s="136">
        <f t="shared" si="28"/>
        <v>0.13742893271830034</v>
      </c>
      <c r="N181" s="32">
        <f t="shared" si="29"/>
        <v>0.30234365198026075</v>
      </c>
      <c r="O181" s="32">
        <f t="shared" si="30"/>
        <v>2.5222465101636122</v>
      </c>
    </row>
    <row r="182" spans="1:15" s="2" customFormat="1" hidden="1">
      <c r="A182" s="138" t="s">
        <v>296</v>
      </c>
      <c r="B182" s="145"/>
      <c r="C182" s="146"/>
      <c r="D182" s="140"/>
      <c r="E182" s="140"/>
      <c r="F182" s="140"/>
      <c r="G182" s="140"/>
      <c r="H182" s="140">
        <f>(H163-C163)/(G84-B84)</f>
        <v>1.2402678275982566</v>
      </c>
      <c r="I182" s="140">
        <f>(I163-E163)/(H84-D84)</f>
        <v>0.44724274652482182</v>
      </c>
      <c r="J182" s="140">
        <f>(J163-F163)/(I84-E84)</f>
        <v>0.64542848621498883</v>
      </c>
      <c r="K182" s="140">
        <f>(K163-G163)/(J84-F84)</f>
        <v>0.36042485496471788</v>
      </c>
      <c r="L182" s="140"/>
      <c r="M182" s="136">
        <f t="shared" si="28"/>
        <v>0.26933639153027855</v>
      </c>
      <c r="N182" s="32">
        <f t="shared" si="29"/>
        <v>0.59254006136661275</v>
      </c>
      <c r="O182" s="32">
        <f t="shared" si="30"/>
        <v>0.48436536256817614</v>
      </c>
    </row>
    <row r="183" spans="1:15" s="18" customFormat="1" hidden="1">
      <c r="A183" s="57" t="s">
        <v>297</v>
      </c>
      <c r="B183" s="46"/>
      <c r="C183" s="69"/>
      <c r="D183" s="45"/>
      <c r="E183" s="45"/>
      <c r="F183" s="45"/>
      <c r="G183" s="45"/>
      <c r="H183" s="45">
        <f>(H163-C163)/(G85-B85)</f>
        <v>7.5752923580433951</v>
      </c>
      <c r="I183" s="45">
        <f>(I163-D163)/(H85-C85)</f>
        <v>3.9960678327844357</v>
      </c>
      <c r="J183" s="45">
        <f>(J163-E163)/(I85-D85)</f>
        <v>0.56849182226723005</v>
      </c>
      <c r="K183" s="45">
        <f>(K163-F163)/(J85-E85)</f>
        <v>0.34269017257644252</v>
      </c>
      <c r="L183" s="45"/>
      <c r="M183" s="136">
        <f t="shared" si="28"/>
        <v>1.2482542185671504</v>
      </c>
      <c r="N183" s="32">
        <f t="shared" si="29"/>
        <v>2.7461592808477304</v>
      </c>
      <c r="O183" s="32">
        <f t="shared" si="30"/>
        <v>1.6357499425427025</v>
      </c>
    </row>
    <row r="184" spans="1:15" s="18" customFormat="1" hidden="1">
      <c r="A184" s="57"/>
      <c r="B184" s="46"/>
      <c r="C184" s="69"/>
      <c r="D184" s="45"/>
      <c r="E184" s="45"/>
      <c r="F184" s="45"/>
      <c r="G184" s="45"/>
      <c r="H184" s="45"/>
      <c r="I184" s="45"/>
      <c r="J184" s="45"/>
      <c r="K184" s="45"/>
      <c r="L184" s="45"/>
      <c r="M184" s="136">
        <f t="shared" si="28"/>
        <v>0</v>
      </c>
      <c r="N184" s="32">
        <f t="shared" si="29"/>
        <v>0</v>
      </c>
      <c r="O184" s="32">
        <f t="shared" si="30"/>
        <v>0</v>
      </c>
    </row>
    <row r="185" spans="1:15" s="18" customFormat="1" hidden="1">
      <c r="A185" s="57" t="s">
        <v>459</v>
      </c>
      <c r="B185" s="46"/>
      <c r="C185" s="69"/>
      <c r="D185" s="45"/>
      <c r="E185" s="45"/>
      <c r="F185" s="45"/>
      <c r="G185" s="45"/>
      <c r="H185" s="45"/>
      <c r="I185" s="45"/>
      <c r="J185" s="45"/>
      <c r="K185" s="45">
        <f>(K163-B163)/(K82-B82)</f>
        <v>0.60056312438694004</v>
      </c>
      <c r="L185" s="45"/>
      <c r="M185" s="136">
        <f t="shared" si="28"/>
        <v>6.0056312438694005E-2</v>
      </c>
      <c r="N185" s="32">
        <f t="shared" si="29"/>
        <v>0.13212388736512681</v>
      </c>
      <c r="O185" s="32">
        <f t="shared" si="30"/>
        <v>0.20018770812898001</v>
      </c>
    </row>
    <row r="186" spans="1:15" s="18" customFormat="1" hidden="1">
      <c r="A186" s="57" t="s">
        <v>460</v>
      </c>
      <c r="B186" s="46"/>
      <c r="C186" s="69"/>
      <c r="D186" s="45"/>
      <c r="E186" s="45"/>
      <c r="F186" s="45"/>
      <c r="G186" s="45"/>
      <c r="H186" s="45"/>
      <c r="I186" s="45"/>
      <c r="J186" s="45"/>
      <c r="K186" s="45">
        <f>(K163-B163)/(K83-B83)</f>
        <v>0.79058164560080491</v>
      </c>
      <c r="L186" s="45"/>
      <c r="M186" s="136">
        <f t="shared" si="28"/>
        <v>7.9058164560080496E-2</v>
      </c>
      <c r="N186" s="32">
        <f t="shared" si="29"/>
        <v>0.17392796203217709</v>
      </c>
      <c r="O186" s="32">
        <f t="shared" si="30"/>
        <v>0.26352721520026828</v>
      </c>
    </row>
    <row r="187" spans="1:15" s="18" customFormat="1" hidden="1">
      <c r="A187" s="138" t="s">
        <v>461</v>
      </c>
      <c r="B187" s="46"/>
      <c r="C187" s="69"/>
      <c r="D187" s="45"/>
      <c r="E187" s="45"/>
      <c r="F187" s="45"/>
      <c r="G187" s="45"/>
      <c r="H187" s="45"/>
      <c r="I187" s="45"/>
      <c r="J187" s="45"/>
      <c r="K187" s="45">
        <f>(K163-B163)/(K84-B84)</f>
        <v>0.52658580058403759</v>
      </c>
      <c r="L187" s="45"/>
      <c r="M187" s="136">
        <f t="shared" si="28"/>
        <v>5.2658580058403757E-2</v>
      </c>
      <c r="N187" s="32">
        <f t="shared" si="29"/>
        <v>0.11584887612848827</v>
      </c>
      <c r="O187" s="32">
        <f t="shared" si="30"/>
        <v>0.1755286001946792</v>
      </c>
    </row>
    <row r="188" spans="1:15" s="18" customFormat="1" hidden="1">
      <c r="A188" s="57" t="s">
        <v>462</v>
      </c>
      <c r="B188" s="46"/>
      <c r="C188" s="69"/>
      <c r="D188" s="45"/>
      <c r="E188" s="45"/>
      <c r="F188" s="45"/>
      <c r="G188" s="45"/>
      <c r="H188" s="45"/>
      <c r="I188" s="45"/>
      <c r="J188" s="45"/>
      <c r="K188" s="45">
        <f>(K163-B163)/(K85-B85)</f>
        <v>0.66719448146582994</v>
      </c>
      <c r="L188" s="45"/>
      <c r="M188" s="136">
        <f t="shared" si="28"/>
        <v>6.6719448146582996E-2</v>
      </c>
      <c r="N188" s="32">
        <f t="shared" si="29"/>
        <v>0.14678278592248259</v>
      </c>
      <c r="O188" s="32">
        <f t="shared" si="30"/>
        <v>0.22239816048860997</v>
      </c>
    </row>
    <row r="189" spans="1:15" s="18" customFormat="1" hidden="1">
      <c r="A189" s="57"/>
      <c r="B189" s="46"/>
      <c r="C189" s="69"/>
      <c r="D189" s="45"/>
      <c r="E189" s="45"/>
      <c r="F189" s="45"/>
      <c r="G189" s="45"/>
      <c r="H189" s="45"/>
      <c r="I189" s="45"/>
      <c r="J189" s="45"/>
      <c r="K189" s="45"/>
      <c r="L189" s="45"/>
      <c r="M189" s="136">
        <f t="shared" si="28"/>
        <v>0</v>
      </c>
      <c r="N189" s="32">
        <f t="shared" si="29"/>
        <v>0</v>
      </c>
      <c r="O189" s="32">
        <f t="shared" si="30"/>
        <v>0</v>
      </c>
    </row>
    <row r="190" spans="1:15" s="18" customFormat="1" hidden="1">
      <c r="A190" s="57" t="s">
        <v>338</v>
      </c>
      <c r="B190" s="46"/>
      <c r="C190" s="69"/>
      <c r="D190" s="45"/>
      <c r="E190" s="45">
        <f t="shared" ref="E190:K190" si="49">(E82-B82)/SUM(B163:D163)</f>
        <v>9.6858910694351347E-2</v>
      </c>
      <c r="F190" s="45">
        <f t="shared" si="49"/>
        <v>0.3081843149368575</v>
      </c>
      <c r="G190" s="45">
        <f t="shared" si="49"/>
        <v>0.23538011240127926</v>
      </c>
      <c r="H190" s="45">
        <f t="shared" si="49"/>
        <v>0.14190972614905323</v>
      </c>
      <c r="I190" s="45">
        <f t="shared" si="49"/>
        <v>0.17395916462604458</v>
      </c>
      <c r="J190" s="45">
        <f t="shared" si="49"/>
        <v>0.25306106401100248</v>
      </c>
      <c r="K190" s="45">
        <f t="shared" si="49"/>
        <v>0.36558938646231914</v>
      </c>
      <c r="L190" s="45"/>
      <c r="M190" s="136">
        <f t="shared" si="28"/>
        <v>0.15749426792809076</v>
      </c>
      <c r="N190" s="32">
        <f t="shared" si="29"/>
        <v>0.2654787443155579</v>
      </c>
      <c r="O190" s="32">
        <f t="shared" si="30"/>
        <v>0.26420320503312206</v>
      </c>
    </row>
    <row r="191" spans="1:15" s="18" customFormat="1" hidden="1">
      <c r="A191" s="57" t="s">
        <v>339</v>
      </c>
      <c r="B191" s="46"/>
      <c r="C191" s="69"/>
      <c r="D191" s="45"/>
      <c r="E191" s="45">
        <f>(E83-B83)/SUM(B163:D163)</f>
        <v>-0.40085661602394257</v>
      </c>
      <c r="F191" s="45">
        <f>(F83-C83)/SUM(C163:E163)</f>
        <v>-4.7802622330675504E-2</v>
      </c>
      <c r="G191" s="45">
        <f>(G83-D83)/SUM(C163:E163)</f>
        <v>0.22104988224683719</v>
      </c>
      <c r="H191" s="45">
        <f>(H83-E83)/SUM(D163:F163)</f>
        <v>8.5250516811412255E-2</v>
      </c>
      <c r="I191" s="45">
        <f>(I83-F83)/SUM(E163:G163)</f>
        <v>0.29075908709059256</v>
      </c>
      <c r="J191" s="45">
        <f>(J83-G83)/SUM(F163:H163)</f>
        <v>0.31459859492085179</v>
      </c>
      <c r="K191" s="45">
        <f>(K83-H83)/SUM(G163:I163)</f>
        <v>0.50659064766989936</v>
      </c>
      <c r="L191" s="45"/>
      <c r="M191" s="136">
        <f t="shared" si="28"/>
        <v>9.6958949038497513E-2</v>
      </c>
      <c r="N191" s="32">
        <f t="shared" si="29"/>
        <v>0.30304153555561814</v>
      </c>
      <c r="O191" s="32">
        <f t="shared" si="30"/>
        <v>0.37064944322711457</v>
      </c>
    </row>
    <row r="192" spans="1:15" s="2" customFormat="1" hidden="1">
      <c r="A192" s="138" t="s">
        <v>340</v>
      </c>
      <c r="B192" s="145"/>
      <c r="C192" s="146"/>
      <c r="D192" s="140"/>
      <c r="E192" s="140">
        <f t="shared" ref="E192:K192" si="50">(E84-B84)/SUM(B163:D163)</f>
        <v>0.33392056706479628</v>
      </c>
      <c r="F192" s="140">
        <f t="shared" si="50"/>
        <v>0.35621396070395051</v>
      </c>
      <c r="G192" s="140">
        <f t="shared" si="50"/>
        <v>0.22573221691045511</v>
      </c>
      <c r="H192" s="140">
        <f t="shared" si="50"/>
        <v>0.11858112115809546</v>
      </c>
      <c r="I192" s="140">
        <f t="shared" si="50"/>
        <v>0.17525712669411361</v>
      </c>
      <c r="J192" s="140">
        <f t="shared" si="50"/>
        <v>0.26061027575691126</v>
      </c>
      <c r="K192" s="140">
        <f t="shared" si="50"/>
        <v>0.37731159465284292</v>
      </c>
      <c r="L192" s="140"/>
      <c r="M192" s="136">
        <f t="shared" si="28"/>
        <v>0.18476268629411652</v>
      </c>
      <c r="N192" s="32">
        <f t="shared" si="29"/>
        <v>0.26845100429330698</v>
      </c>
      <c r="O192" s="32">
        <f t="shared" si="30"/>
        <v>0.27105966570128925</v>
      </c>
    </row>
    <row r="193" spans="1:15" s="18" customFormat="1" hidden="1">
      <c r="A193" s="57" t="s">
        <v>341</v>
      </c>
      <c r="B193" s="46"/>
      <c r="C193" s="69"/>
      <c r="D193" s="45"/>
      <c r="E193" s="45">
        <f t="shared" ref="E193:K193" si="51">(E85-B85)/SUM(B163:D163)</f>
        <v>-0.16379495965349761</v>
      </c>
      <c r="F193" s="45">
        <f t="shared" si="51"/>
        <v>2.2702343641752939E-4</v>
      </c>
      <c r="G193" s="45">
        <f t="shared" si="51"/>
        <v>0.16134705769637706</v>
      </c>
      <c r="H193" s="45">
        <f t="shared" si="51"/>
        <v>4.6040948977177198E-2</v>
      </c>
      <c r="I193" s="45">
        <f t="shared" si="51"/>
        <v>0.26375234173258294</v>
      </c>
      <c r="J193" s="45">
        <f t="shared" si="51"/>
        <v>0.30243698948424341</v>
      </c>
      <c r="K193" s="45">
        <f t="shared" si="51"/>
        <v>0.47424921977165446</v>
      </c>
      <c r="L193" s="45"/>
      <c r="M193" s="136">
        <f t="shared" si="28"/>
        <v>0.1084258621444955</v>
      </c>
      <c r="N193" s="32">
        <f t="shared" si="29"/>
        <v>0.27125048396130613</v>
      </c>
      <c r="O193" s="32">
        <f t="shared" si="30"/>
        <v>0.3468128503294936</v>
      </c>
    </row>
    <row r="194" spans="1:15" s="18" customFormat="1" hidden="1">
      <c r="A194" s="57"/>
      <c r="B194" s="46"/>
      <c r="C194" s="69"/>
      <c r="D194" s="45"/>
      <c r="E194" s="45"/>
      <c r="F194" s="45"/>
      <c r="G194" s="45"/>
      <c r="H194" s="45"/>
      <c r="I194" s="45"/>
      <c r="J194" s="45"/>
      <c r="K194" s="46"/>
      <c r="L194" s="46"/>
      <c r="M194" s="136">
        <f t="shared" si="28"/>
        <v>0</v>
      </c>
      <c r="N194" s="32">
        <f t="shared" si="29"/>
        <v>0</v>
      </c>
      <c r="O194" s="32">
        <f t="shared" si="30"/>
        <v>0</v>
      </c>
    </row>
    <row r="195" spans="1:15" s="18" customFormat="1" hidden="1">
      <c r="A195" s="57" t="s">
        <v>342</v>
      </c>
      <c r="B195" s="46"/>
      <c r="C195" s="69"/>
      <c r="D195" s="45"/>
      <c r="E195" s="45"/>
      <c r="F195" s="45"/>
      <c r="G195" s="45">
        <f>(G82-B82)/SUM(B163:F163)</f>
        <v>0.12718800967250007</v>
      </c>
      <c r="H195" s="45">
        <f>(H82-C82)/SUM(C163:G163)</f>
        <v>0.21717966409972483</v>
      </c>
      <c r="I195" s="45">
        <f>(I82-D82)/SUM(D163:H163)</f>
        <v>0.21290854931303149</v>
      </c>
      <c r="J195" s="45">
        <f>(J82-E82)/SUM(E163:I163)</f>
        <v>0.21615480213851346</v>
      </c>
      <c r="K195" s="45">
        <f>(K82-F82)/SUM(F163:J163)</f>
        <v>0.28486395972804834</v>
      </c>
      <c r="L195" s="45"/>
      <c r="M195" s="136">
        <f t="shared" si="28"/>
        <v>0.10582949849518182</v>
      </c>
      <c r="N195" s="32">
        <f t="shared" si="29"/>
        <v>0.23282489668939998</v>
      </c>
      <c r="O195" s="32">
        <f t="shared" si="30"/>
        <v>0.23797577039319776</v>
      </c>
    </row>
    <row r="196" spans="1:15" s="18" customFormat="1" hidden="1">
      <c r="A196" s="57" t="s">
        <v>343</v>
      </c>
      <c r="B196" s="46"/>
      <c r="C196" s="69"/>
      <c r="D196" s="45"/>
      <c r="E196" s="45"/>
      <c r="F196" s="45"/>
      <c r="G196" s="45">
        <f>(G83-B83)/SUM(B163:F163)</f>
        <v>-4.0054428962183933E-2</v>
      </c>
      <c r="H196" s="45">
        <f>(H83-C83)/SUM(C163:G163)</f>
        <v>2.5676048794212716E-2</v>
      </c>
      <c r="I196" s="45">
        <f>(I83-D83)/SUM(D163:H163)</f>
        <v>0.19366816627711553</v>
      </c>
      <c r="J196" s="45">
        <f>(J83-E83)/SUM(E163:I163)</f>
        <v>0.26194547754718406</v>
      </c>
      <c r="K196" s="45">
        <f>(K83-F83)/SUM(F163:J163)</f>
        <v>0.33276945431693661</v>
      </c>
      <c r="L196" s="45"/>
      <c r="M196" s="136">
        <f t="shared" si="28"/>
        <v>7.7400471797326495E-2</v>
      </c>
      <c r="N196" s="32">
        <f t="shared" si="29"/>
        <v>0.17028103795411828</v>
      </c>
      <c r="O196" s="32">
        <f t="shared" si="30"/>
        <v>0.26279436604707873</v>
      </c>
    </row>
    <row r="197" spans="1:15" s="2" customFormat="1" hidden="1">
      <c r="A197" s="138" t="s">
        <v>344</v>
      </c>
      <c r="B197" s="145"/>
      <c r="C197" s="146"/>
      <c r="D197" s="140"/>
      <c r="E197" s="140"/>
      <c r="F197" s="140"/>
      <c r="G197" s="140">
        <f>(G84-B84)/SUM(B163:F163)</f>
        <v>0.19998507681245586</v>
      </c>
      <c r="H197" s="140">
        <f>(H84-C84)/SUM(C163:G163)</f>
        <v>0.23432170768527125</v>
      </c>
      <c r="I197" s="140">
        <f>(I84-D84)/SUM(D163:H163)</f>
        <v>0.21358286180260802</v>
      </c>
      <c r="J197" s="140">
        <f>(J84-E84)/SUM(E163:I163)</f>
        <v>0.20822391419325564</v>
      </c>
      <c r="K197" s="140">
        <f>(K84-F84)/SUM(F163:J163)</f>
        <v>0.28872419658729326</v>
      </c>
      <c r="L197" s="140"/>
      <c r="M197" s="136">
        <f t="shared" ref="M197:M260" si="52">SUM(D197:K197)/10</f>
        <v>0.1144837757080884</v>
      </c>
      <c r="N197" s="32">
        <f t="shared" ref="N197:N260" si="53">SUM(G197:M197)/5</f>
        <v>0.25186430655779446</v>
      </c>
      <c r="O197" s="32">
        <f t="shared" ref="O197:O260" si="54">SUM(I197:K197)/3</f>
        <v>0.23684365752771899</v>
      </c>
    </row>
    <row r="198" spans="1:15" s="18" customFormat="1" hidden="1">
      <c r="A198" s="57" t="s">
        <v>345</v>
      </c>
      <c r="B198" s="46"/>
      <c r="C198" s="69"/>
      <c r="D198" s="45"/>
      <c r="E198" s="45"/>
      <c r="F198" s="45"/>
      <c r="G198" s="45">
        <f>(G85-B85)/SUM(B163:F163)</f>
        <v>3.2742638177771864E-2</v>
      </c>
      <c r="H198" s="45">
        <f>(H85-C85)/SUM(C163:G163)</f>
        <v>4.281809237975915E-2</v>
      </c>
      <c r="I198" s="45">
        <f>(I85-D85)/SUM(D163:H163)</f>
        <v>0.19434247876669206</v>
      </c>
      <c r="J198" s="45">
        <f>(J85-E85)/SUM(E163:I163)</f>
        <v>0.25401458960192619</v>
      </c>
      <c r="K198" s="45">
        <f>(K85-F85)/SUM(F163:J163)</f>
        <v>0.33662969117618158</v>
      </c>
      <c r="L198" s="45"/>
      <c r="M198" s="136">
        <f t="shared" si="52"/>
        <v>8.6054749010233078E-2</v>
      </c>
      <c r="N198" s="32">
        <f t="shared" si="53"/>
        <v>0.18932044782251278</v>
      </c>
      <c r="O198" s="32">
        <f t="shared" si="54"/>
        <v>0.26166225318159991</v>
      </c>
    </row>
    <row r="199" spans="1:15" s="18" customFormat="1" hidden="1">
      <c r="A199" s="57"/>
      <c r="B199" s="46"/>
      <c r="C199" s="69"/>
      <c r="D199" s="45"/>
      <c r="E199" s="45"/>
      <c r="F199" s="45"/>
      <c r="G199" s="45"/>
      <c r="H199" s="45"/>
      <c r="I199" s="45"/>
      <c r="J199" s="45"/>
      <c r="K199" s="45"/>
      <c r="L199" s="45"/>
      <c r="M199" s="136">
        <f t="shared" si="52"/>
        <v>0</v>
      </c>
      <c r="N199" s="32">
        <f t="shared" si="53"/>
        <v>0</v>
      </c>
      <c r="O199" s="32">
        <f t="shared" si="54"/>
        <v>0</v>
      </c>
    </row>
    <row r="200" spans="1:15" s="18" customFormat="1" hidden="1">
      <c r="A200" s="57" t="s">
        <v>463</v>
      </c>
      <c r="B200" s="46"/>
      <c r="C200" s="69"/>
      <c r="D200" s="45"/>
      <c r="E200" s="45"/>
      <c r="F200" s="45"/>
      <c r="G200" s="45"/>
      <c r="H200" s="45"/>
      <c r="I200" s="45"/>
      <c r="J200" s="45"/>
      <c r="K200" s="45">
        <f>(K82-B82)/SUM(B163:K163)</f>
        <v>0.20453736498339067</v>
      </c>
      <c r="L200" s="45"/>
      <c r="M200" s="136">
        <f t="shared" si="52"/>
        <v>2.0453736498339068E-2</v>
      </c>
      <c r="N200" s="32">
        <f t="shared" si="53"/>
        <v>4.4998220296345946E-2</v>
      </c>
      <c r="O200" s="32">
        <f t="shared" si="54"/>
        <v>6.8179121661130229E-2</v>
      </c>
    </row>
    <row r="201" spans="1:15" s="18" customFormat="1" hidden="1">
      <c r="A201" s="57" t="s">
        <v>464</v>
      </c>
      <c r="B201" s="46"/>
      <c r="C201" s="69"/>
      <c r="D201" s="45"/>
      <c r="E201" s="45"/>
      <c r="F201" s="45"/>
      <c r="G201" s="45"/>
      <c r="H201" s="45"/>
      <c r="I201" s="45"/>
      <c r="J201" s="45"/>
      <c r="K201" s="45">
        <f>(K83-B83)/SUM(B163:K163)</f>
        <v>0.15537623425970915</v>
      </c>
      <c r="L201" s="45"/>
      <c r="M201" s="136">
        <f t="shared" si="52"/>
        <v>1.5537623425970915E-2</v>
      </c>
      <c r="N201" s="32">
        <f t="shared" si="53"/>
        <v>3.4182771537136017E-2</v>
      </c>
      <c r="O201" s="32">
        <f t="shared" si="54"/>
        <v>5.1792078086569715E-2</v>
      </c>
    </row>
    <row r="202" spans="1:15" s="18" customFormat="1" hidden="1">
      <c r="A202" s="138" t="s">
        <v>465</v>
      </c>
      <c r="B202" s="46"/>
      <c r="C202" s="69"/>
      <c r="D202" s="45"/>
      <c r="E202" s="45"/>
      <c r="F202" s="45"/>
      <c r="G202" s="45"/>
      <c r="H202" s="45"/>
      <c r="I202" s="45"/>
      <c r="J202" s="45"/>
      <c r="K202" s="45">
        <f>(K84-B84)/SUM(B163:K163)</f>
        <v>0.23327176470018285</v>
      </c>
      <c r="L202" s="45"/>
      <c r="M202" s="136">
        <f t="shared" si="52"/>
        <v>2.3327176470018286E-2</v>
      </c>
      <c r="N202" s="32">
        <f t="shared" si="53"/>
        <v>5.131978823404023E-2</v>
      </c>
      <c r="O202" s="32">
        <f t="shared" si="54"/>
        <v>7.7757254900060954E-2</v>
      </c>
    </row>
    <row r="203" spans="1:15" s="18" customFormat="1" hidden="1">
      <c r="A203" s="57" t="s">
        <v>466</v>
      </c>
      <c r="B203" s="46"/>
      <c r="C203" s="69"/>
      <c r="D203" s="45"/>
      <c r="E203" s="45"/>
      <c r="F203" s="45"/>
      <c r="G203" s="45"/>
      <c r="H203" s="45"/>
      <c r="I203" s="45"/>
      <c r="J203" s="45"/>
      <c r="K203" s="45">
        <f>(K85-B85)/SUM(B163:K163)</f>
        <v>0.18411063397650132</v>
      </c>
      <c r="L203" s="45"/>
      <c r="M203" s="136">
        <f t="shared" si="52"/>
        <v>1.8411063397650133E-2</v>
      </c>
      <c r="N203" s="32">
        <f t="shared" si="53"/>
        <v>4.0504339474830293E-2</v>
      </c>
      <c r="O203" s="32">
        <f t="shared" si="54"/>
        <v>6.137021132550044E-2</v>
      </c>
    </row>
    <row r="204" spans="1:15" s="18" customFormat="1" hidden="1">
      <c r="A204" s="57"/>
      <c r="B204" s="46"/>
      <c r="C204" s="69"/>
      <c r="D204" s="45"/>
      <c r="E204" s="45"/>
      <c r="F204" s="45"/>
      <c r="G204" s="45"/>
      <c r="H204" s="45"/>
      <c r="I204" s="45"/>
      <c r="J204" s="45"/>
      <c r="K204" s="46"/>
      <c r="L204" s="46"/>
      <c r="M204" s="136">
        <f t="shared" si="52"/>
        <v>0</v>
      </c>
      <c r="N204" s="32">
        <f t="shared" si="53"/>
        <v>0</v>
      </c>
      <c r="O204" s="32">
        <f t="shared" si="54"/>
        <v>0</v>
      </c>
    </row>
    <row r="205" spans="1:15" s="18" customFormat="1" hidden="1">
      <c r="A205" s="57" t="s">
        <v>322</v>
      </c>
      <c r="B205" s="46"/>
      <c r="C205" s="69"/>
      <c r="D205" s="45"/>
      <c r="E205" s="45">
        <f t="shared" ref="E205:K208" si="55">E115*E190</f>
        <v>9.4394902407738859E-2</v>
      </c>
      <c r="F205" s="45">
        <f t="shared" si="55"/>
        <v>0.2978872656485328</v>
      </c>
      <c r="G205" s="45">
        <f t="shared" si="55"/>
        <v>0.23002657549543301</v>
      </c>
      <c r="H205" s="45">
        <f t="shared" si="55"/>
        <v>0.13463004104738402</v>
      </c>
      <c r="I205" s="45">
        <f t="shared" si="55"/>
        <v>0.1528546054218777</v>
      </c>
      <c r="J205" s="45">
        <f t="shared" si="55"/>
        <v>0.20170795229051547</v>
      </c>
      <c r="K205" s="45">
        <f t="shared" si="55"/>
        <v>0.24268034764874113</v>
      </c>
      <c r="L205" s="45"/>
      <c r="M205" s="136">
        <f t="shared" si="52"/>
        <v>0.1354181689960223</v>
      </c>
      <c r="N205" s="32">
        <f t="shared" si="53"/>
        <v>0.2194635381799947</v>
      </c>
      <c r="O205" s="32">
        <f t="shared" si="54"/>
        <v>0.19908096845371145</v>
      </c>
    </row>
    <row r="206" spans="1:15" s="18" customFormat="1" hidden="1">
      <c r="A206" s="57" t="s">
        <v>323</v>
      </c>
      <c r="B206" s="46"/>
      <c r="C206" s="69"/>
      <c r="D206" s="45"/>
      <c r="E206" s="45">
        <f t="shared" si="55"/>
        <v>2.5919841287742966</v>
      </c>
      <c r="F206" s="45">
        <f t="shared" si="55"/>
        <v>0.9619163175491009</v>
      </c>
      <c r="G206" s="45">
        <f t="shared" si="55"/>
        <v>-3.7179740670561485</v>
      </c>
      <c r="H206" s="45">
        <f t="shared" si="55"/>
        <v>-0.64911586813519739</v>
      </c>
      <c r="I206" s="45">
        <f t="shared" si="55"/>
        <v>1.188153246396767</v>
      </c>
      <c r="J206" s="45">
        <f t="shared" si="55"/>
        <v>1.0528690456218912</v>
      </c>
      <c r="K206" s="45">
        <f t="shared" si="55"/>
        <v>0.54617213273658094</v>
      </c>
      <c r="L206" s="45"/>
      <c r="M206" s="136">
        <f t="shared" si="52"/>
        <v>0.19740049358872908</v>
      </c>
      <c r="N206" s="32">
        <f t="shared" si="53"/>
        <v>-0.27649900336947553</v>
      </c>
      <c r="O206" s="32">
        <f t="shared" si="54"/>
        <v>0.92906480825174642</v>
      </c>
    </row>
    <row r="207" spans="1:15" s="2" customFormat="1" hidden="1">
      <c r="A207" s="138" t="s">
        <v>324</v>
      </c>
      <c r="B207" s="145"/>
      <c r="C207" s="146"/>
      <c r="D207" s="140"/>
      <c r="E207" s="140">
        <f t="shared" si="55"/>
        <v>0.43935259434752855</v>
      </c>
      <c r="F207" s="140">
        <f t="shared" si="55"/>
        <v>0.38806672865459213</v>
      </c>
      <c r="G207" s="140">
        <f t="shared" si="55"/>
        <v>0.24257353710442603</v>
      </c>
      <c r="H207" s="140">
        <f t="shared" si="55"/>
        <v>0.12524733643291919</v>
      </c>
      <c r="I207" s="140">
        <f t="shared" si="55"/>
        <v>0.16941528332257008</v>
      </c>
      <c r="J207" s="140">
        <f t="shared" si="55"/>
        <v>0.22380717875612047</v>
      </c>
      <c r="K207" s="140">
        <f t="shared" si="55"/>
        <v>0.26324085810160741</v>
      </c>
      <c r="L207" s="140"/>
      <c r="M207" s="136">
        <f t="shared" si="52"/>
        <v>0.1851703516719764</v>
      </c>
      <c r="N207" s="32">
        <f t="shared" si="53"/>
        <v>0.24189090907792393</v>
      </c>
      <c r="O207" s="32">
        <f t="shared" si="54"/>
        <v>0.218821106726766</v>
      </c>
    </row>
    <row r="208" spans="1:15" s="18" customFormat="1" hidden="1">
      <c r="A208" s="57" t="s">
        <v>325</v>
      </c>
      <c r="B208" s="46"/>
      <c r="C208" s="69"/>
      <c r="D208" s="45"/>
      <c r="E208" s="45">
        <f t="shared" si="55"/>
        <v>0.82896801607756831</v>
      </c>
      <c r="F208" s="45">
        <f t="shared" si="55"/>
        <v>-1.4633338070299637E-3</v>
      </c>
      <c r="G208" s="45">
        <f t="shared" si="55"/>
        <v>-0.60222453547886878</v>
      </c>
      <c r="H208" s="45">
        <f t="shared" si="55"/>
        <v>0.48105019224016315</v>
      </c>
      <c r="I208" s="45">
        <f t="shared" si="55"/>
        <v>3.5566053797628414</v>
      </c>
      <c r="J208" s="45">
        <f t="shared" si="55"/>
        <v>3.6656467377185153</v>
      </c>
      <c r="K208" s="45">
        <f t="shared" si="55"/>
        <v>0.5597275955368195</v>
      </c>
      <c r="L208" s="45"/>
      <c r="M208" s="136">
        <f t="shared" si="52"/>
        <v>0.84883100520500088</v>
      </c>
      <c r="N208" s="32">
        <f t="shared" si="53"/>
        <v>1.7019272749968941</v>
      </c>
      <c r="O208" s="32">
        <f t="shared" si="54"/>
        <v>2.5939932376727257</v>
      </c>
    </row>
    <row r="209" spans="1:15" hidden="1">
      <c r="A209" s="38"/>
      <c r="B209" s="54"/>
      <c r="C209" s="55"/>
      <c r="D209" s="37"/>
      <c r="E209" s="37"/>
      <c r="F209" s="37"/>
      <c r="G209" s="37"/>
      <c r="H209" s="37"/>
      <c r="I209" s="37"/>
      <c r="J209" s="37"/>
      <c r="K209" s="37"/>
      <c r="L209" s="37"/>
      <c r="M209" s="136">
        <f t="shared" si="52"/>
        <v>0</v>
      </c>
      <c r="N209" s="32">
        <f t="shared" si="53"/>
        <v>0</v>
      </c>
      <c r="O209" s="32">
        <f t="shared" si="54"/>
        <v>0</v>
      </c>
    </row>
    <row r="210" spans="1:15" hidden="1">
      <c r="A210" s="38" t="s">
        <v>326</v>
      </c>
      <c r="B210" s="54"/>
      <c r="C210" s="55"/>
      <c r="D210" s="37"/>
      <c r="E210" s="37"/>
      <c r="F210" s="37"/>
      <c r="G210" s="37">
        <f t="shared" ref="G210:K213" si="56">G195*G120</f>
        <v>0.12290271448429896</v>
      </c>
      <c r="H210" s="37">
        <f t="shared" si="56"/>
        <v>0.2075214698930056</v>
      </c>
      <c r="I210" s="37">
        <f t="shared" si="56"/>
        <v>0.19707585095172336</v>
      </c>
      <c r="J210" s="37">
        <f t="shared" si="56"/>
        <v>0.1858529763703495</v>
      </c>
      <c r="K210" s="37">
        <f t="shared" si="56"/>
        <v>0.22044472987106642</v>
      </c>
      <c r="L210" s="37"/>
      <c r="M210" s="136">
        <f t="shared" si="52"/>
        <v>9.337977415704439E-2</v>
      </c>
      <c r="N210" s="32">
        <f t="shared" si="53"/>
        <v>0.20543550314549766</v>
      </c>
      <c r="O210" s="32">
        <f t="shared" si="54"/>
        <v>0.20112451906437978</v>
      </c>
    </row>
    <row r="211" spans="1:15" hidden="1">
      <c r="A211" s="38" t="s">
        <v>327</v>
      </c>
      <c r="B211" s="54"/>
      <c r="C211" s="55"/>
      <c r="D211" s="37"/>
      <c r="E211" s="37"/>
      <c r="F211" s="37"/>
      <c r="G211" s="37">
        <f t="shared" si="56"/>
        <v>0.39892184546540094</v>
      </c>
      <c r="H211" s="37">
        <f t="shared" si="56"/>
        <v>-0.25447520656943162</v>
      </c>
      <c r="I211" s="37">
        <f t="shared" si="56"/>
        <v>-1.6057507910454205</v>
      </c>
      <c r="J211" s="37">
        <f t="shared" si="56"/>
        <v>-1.066590278418714</v>
      </c>
      <c r="K211" s="37">
        <f t="shared" si="56"/>
        <v>0.93491088482576468</v>
      </c>
      <c r="L211" s="37"/>
      <c r="M211" s="136">
        <f t="shared" si="52"/>
        <v>-0.15929835457424005</v>
      </c>
      <c r="N211" s="32">
        <f t="shared" si="53"/>
        <v>-0.35045638006332813</v>
      </c>
      <c r="O211" s="32">
        <f t="shared" si="54"/>
        <v>-0.57914339487945654</v>
      </c>
    </row>
    <row r="212" spans="1:15" s="8" customFormat="1" hidden="1">
      <c r="A212" s="71" t="s">
        <v>328</v>
      </c>
      <c r="B212" s="73"/>
      <c r="C212" s="74"/>
      <c r="D212" s="72"/>
      <c r="E212" s="72"/>
      <c r="F212" s="72"/>
      <c r="G212" s="72">
        <f t="shared" si="56"/>
        <v>0.24308986565755622</v>
      </c>
      <c r="H212" s="72">
        <f t="shared" si="56"/>
        <v>0.2511964774659346</v>
      </c>
      <c r="I212" s="72">
        <f t="shared" si="56"/>
        <v>0.21658056081244709</v>
      </c>
      <c r="J212" s="72">
        <f t="shared" si="56"/>
        <v>0.19601465921128858</v>
      </c>
      <c r="K212" s="72">
        <f t="shared" si="56"/>
        <v>0.24165296652638299</v>
      </c>
      <c r="L212" s="72"/>
      <c r="M212" s="136">
        <f t="shared" si="52"/>
        <v>0.11485345296736094</v>
      </c>
      <c r="N212" s="32">
        <f t="shared" si="53"/>
        <v>0.25267759652819405</v>
      </c>
      <c r="O212" s="32">
        <f t="shared" si="54"/>
        <v>0.21808272885003954</v>
      </c>
    </row>
    <row r="213" spans="1:15" hidden="1">
      <c r="A213" s="38" t="s">
        <v>329</v>
      </c>
      <c r="B213" s="54"/>
      <c r="C213" s="55"/>
      <c r="D213" s="37"/>
      <c r="E213" s="37"/>
      <c r="F213" s="37"/>
      <c r="G213" s="37">
        <f t="shared" si="56"/>
        <v>-0.11421617108750841</v>
      </c>
      <c r="H213" s="37">
        <f t="shared" si="56"/>
        <v>0.1667935455220185</v>
      </c>
      <c r="I213" s="37">
        <f t="shared" si="56"/>
        <v>0.93461939352512269</v>
      </c>
      <c r="J213" s="37">
        <f t="shared" si="56"/>
        <v>1.7325127536893687</v>
      </c>
      <c r="K213" s="37">
        <f t="shared" si="56"/>
        <v>2.8515853281758985</v>
      </c>
      <c r="L213" s="37"/>
      <c r="M213" s="136">
        <f t="shared" si="52"/>
        <v>0.55712948498249004</v>
      </c>
      <c r="N213" s="32">
        <f t="shared" si="53"/>
        <v>1.2256848669614782</v>
      </c>
      <c r="O213" s="32">
        <f t="shared" si="54"/>
        <v>1.8395724917967966</v>
      </c>
    </row>
    <row r="214" spans="1:15" hidden="1">
      <c r="A214" s="38"/>
      <c r="B214" s="54"/>
      <c r="C214" s="55"/>
      <c r="D214" s="37"/>
      <c r="E214" s="37"/>
      <c r="F214" s="37"/>
      <c r="G214" s="37"/>
      <c r="H214" s="37"/>
      <c r="I214" s="37"/>
      <c r="J214" s="37"/>
      <c r="K214" s="37"/>
      <c r="L214" s="37"/>
      <c r="M214" s="136">
        <f t="shared" si="52"/>
        <v>0</v>
      </c>
      <c r="N214" s="32">
        <f t="shared" si="53"/>
        <v>0</v>
      </c>
      <c r="O214" s="32">
        <f t="shared" si="54"/>
        <v>0</v>
      </c>
    </row>
    <row r="215" spans="1:15" hidden="1">
      <c r="A215" s="38" t="s">
        <v>471</v>
      </c>
      <c r="B215" s="54"/>
      <c r="C215" s="55"/>
      <c r="D215" s="37"/>
      <c r="E215" s="37"/>
      <c r="F215" s="37"/>
      <c r="G215" s="37"/>
      <c r="H215" s="37"/>
      <c r="I215" s="37"/>
      <c r="J215" s="37"/>
      <c r="K215" s="37">
        <f>K200*K125</f>
        <v>0.16648189137615615</v>
      </c>
      <c r="L215" s="37"/>
      <c r="M215" s="136">
        <f t="shared" si="52"/>
        <v>1.6648189137615614E-2</v>
      </c>
      <c r="N215" s="32">
        <f t="shared" si="53"/>
        <v>3.6626016102754358E-2</v>
      </c>
      <c r="O215" s="32">
        <f t="shared" si="54"/>
        <v>5.5493963792052049E-2</v>
      </c>
    </row>
    <row r="216" spans="1:15" hidden="1">
      <c r="A216" s="38" t="s">
        <v>472</v>
      </c>
      <c r="B216" s="54"/>
      <c r="C216" s="55"/>
      <c r="D216" s="37"/>
      <c r="E216" s="37"/>
      <c r="F216" s="37"/>
      <c r="G216" s="37"/>
      <c r="H216" s="37"/>
      <c r="I216" s="37"/>
      <c r="J216" s="37"/>
      <c r="K216" s="37">
        <f>K201*K126</f>
        <v>-0.59639949881111021</v>
      </c>
      <c r="L216" s="37"/>
      <c r="M216" s="136">
        <f t="shared" si="52"/>
        <v>-5.9639949881111022E-2</v>
      </c>
      <c r="N216" s="32">
        <f t="shared" si="53"/>
        <v>-0.13120788973844424</v>
      </c>
      <c r="O216" s="32">
        <f t="shared" si="54"/>
        <v>-0.19879983293703674</v>
      </c>
    </row>
    <row r="217" spans="1:15" hidden="1">
      <c r="A217" s="71" t="s">
        <v>473</v>
      </c>
      <c r="B217" s="54"/>
      <c r="C217" s="55"/>
      <c r="D217" s="37"/>
      <c r="E217" s="37"/>
      <c r="F217" s="37"/>
      <c r="G217" s="37"/>
      <c r="H217" s="37"/>
      <c r="I217" s="37"/>
      <c r="J217" s="37"/>
      <c r="K217" s="37">
        <f>K202*K127</f>
        <v>0.2314080521175868</v>
      </c>
      <c r="L217" s="37"/>
      <c r="M217" s="136">
        <f t="shared" si="52"/>
        <v>2.314080521175868E-2</v>
      </c>
      <c r="N217" s="32">
        <f t="shared" si="53"/>
        <v>5.09097714658691E-2</v>
      </c>
      <c r="O217" s="32">
        <f t="shared" si="54"/>
        <v>7.7136017372528939E-2</v>
      </c>
    </row>
    <row r="218" spans="1:15" hidden="1">
      <c r="A218" s="38" t="s">
        <v>474</v>
      </c>
      <c r="B218" s="54"/>
      <c r="C218" s="55"/>
      <c r="D218" s="37"/>
      <c r="E218" s="37"/>
      <c r="F218" s="37"/>
      <c r="G218" s="37"/>
      <c r="H218" s="37"/>
      <c r="I218" s="37"/>
      <c r="J218" s="37"/>
      <c r="K218" s="37">
        <f>K203*K128</f>
        <v>0.41265164982230301</v>
      </c>
      <c r="L218" s="37"/>
      <c r="M218" s="136">
        <f t="shared" si="52"/>
        <v>4.1265164982230304E-2</v>
      </c>
      <c r="N218" s="32">
        <f t="shared" si="53"/>
        <v>9.0783362960906666E-2</v>
      </c>
      <c r="O218" s="32">
        <f t="shared" si="54"/>
        <v>0.13755054994076768</v>
      </c>
    </row>
    <row r="219" spans="1:15" ht="18" hidden="1">
      <c r="A219" s="68" t="s">
        <v>142</v>
      </c>
      <c r="B219" s="46"/>
      <c r="C219" s="69"/>
      <c r="D219" s="46"/>
      <c r="E219" s="46"/>
      <c r="F219" s="46"/>
      <c r="G219" s="46"/>
      <c r="H219" s="46"/>
      <c r="I219" s="46"/>
      <c r="J219" s="46"/>
      <c r="K219" s="45"/>
      <c r="L219" s="45"/>
      <c r="M219" s="136">
        <f t="shared" si="52"/>
        <v>0</v>
      </c>
      <c r="N219" s="32">
        <f t="shared" si="53"/>
        <v>0</v>
      </c>
      <c r="O219" s="32">
        <f t="shared" si="54"/>
        <v>0</v>
      </c>
    </row>
    <row r="220" spans="1:15" hidden="1">
      <c r="A220" s="41" t="s">
        <v>104</v>
      </c>
      <c r="B220" s="39">
        <f>'Data Sheet'!B17/Customization!B82</f>
        <v>4.5475421348314615</v>
      </c>
      <c r="C220" s="39">
        <f>'Data Sheet'!C17/Customization!C82</f>
        <v>8.8279209107249859</v>
      </c>
      <c r="D220" s="39">
        <f>'Data Sheet'!D17/Customization!D82</f>
        <v>7.6691705507036518</v>
      </c>
      <c r="E220" s="39">
        <f>'Data Sheet'!E17/Customization!E82</f>
        <v>5.9342606592077418</v>
      </c>
      <c r="F220" s="39">
        <f>'Data Sheet'!F17/Customization!F82</f>
        <v>5.9518875292892472</v>
      </c>
      <c r="G220" s="39">
        <f>'Data Sheet'!G17/Customization!G82</f>
        <v>6.185077163329046</v>
      </c>
      <c r="H220" s="39">
        <f>'Data Sheet'!H17/Customization!H82</f>
        <v>6.4621622173655506</v>
      </c>
      <c r="I220" s="39">
        <f>'Data Sheet'!I17/Customization!I82</f>
        <v>5.96587650863506</v>
      </c>
      <c r="J220" s="39">
        <f>'Data Sheet'!J17/Customization!J82</f>
        <v>5.1692024093883058</v>
      </c>
      <c r="K220" s="39">
        <f>'Data Sheet'!K17/Customization!K82</f>
        <v>4.0827979244117039</v>
      </c>
      <c r="L220" s="39"/>
      <c r="M220" s="136">
        <f t="shared" si="52"/>
        <v>4.7420434962330305</v>
      </c>
      <c r="N220" s="32">
        <f t="shared" si="53"/>
        <v>6.5214319438725399</v>
      </c>
      <c r="O220" s="32">
        <f t="shared" si="54"/>
        <v>5.0726256141450232</v>
      </c>
    </row>
    <row r="221" spans="1:15" hidden="1">
      <c r="A221" s="41" t="s">
        <v>105</v>
      </c>
      <c r="B221" s="39">
        <f>'Data Sheet'!B17/Customization!B83</f>
        <v>7.4828980818118813</v>
      </c>
      <c r="C221" s="39">
        <f>'Data Sheet'!C17/Customization!C83</f>
        <v>65.078621908127175</v>
      </c>
      <c r="D221" s="39">
        <f>'Data Sheet'!D17/Customization!D83</f>
        <v>-56.212603648424533</v>
      </c>
      <c r="E221" s="39">
        <f>'Data Sheet'!E17/Customization!E83</f>
        <v>-116.25947867298582</v>
      </c>
      <c r="F221" s="39">
        <f>'Data Sheet'!F17/Customization!F83</f>
        <v>-206.88868778280627</v>
      </c>
      <c r="G221" s="39">
        <f>'Data Sheet'!G17/Customization!G83</f>
        <v>21.436087233365164</v>
      </c>
      <c r="H221" s="39">
        <f>'Data Sheet'!H17/Customization!H83</f>
        <v>52.044908702089138</v>
      </c>
      <c r="I221" s="39">
        <f>'Data Sheet'!I17/Customization!I83</f>
        <v>11.379364069952304</v>
      </c>
      <c r="J221" s="39">
        <f>'Data Sheet'!J17/Customization!J83</f>
        <v>7.7188826642371122</v>
      </c>
      <c r="K221" s="39">
        <f>'Data Sheet'!K17/Customization!K83</f>
        <v>5.6926432977282975</v>
      </c>
      <c r="L221" s="39"/>
      <c r="M221" s="136">
        <f t="shared" si="52"/>
        <v>-28.108888413684458</v>
      </c>
      <c r="N221" s="32">
        <f t="shared" si="53"/>
        <v>14.032599510737512</v>
      </c>
      <c r="O221" s="32">
        <f t="shared" si="54"/>
        <v>8.263630010639238</v>
      </c>
    </row>
    <row r="222" spans="1:15" s="2" customFormat="1" hidden="1">
      <c r="A222" s="164" t="s">
        <v>488</v>
      </c>
      <c r="B222" s="160">
        <f>'Data Sheet'!B17/Customization!B84</f>
        <v>8.551036577314143</v>
      </c>
      <c r="C222" s="160">
        <f>'Data Sheet'!C17/Customization!C84</f>
        <v>15.622733538331028</v>
      </c>
      <c r="D222" s="160">
        <f>'Data Sheet'!D17/Customization!D84</f>
        <v>9.2784955655315908</v>
      </c>
      <c r="E222" s="160">
        <f>'Data Sheet'!E17/Customization!E84</f>
        <v>6.3366483693897315</v>
      </c>
      <c r="F222" s="160">
        <f>'Data Sheet'!F17/Customization!F84</f>
        <v>6.6195274496177898</v>
      </c>
      <c r="G222" s="160">
        <f>'Data Sheet'!G17/Customization!G84</f>
        <v>6.9355943551709922</v>
      </c>
      <c r="H222" s="160">
        <f>'Data Sheet'!H17/Customization!H84</f>
        <v>7.1503378760141922</v>
      </c>
      <c r="I222" s="160">
        <f>'Data Sheet'!I17/Customization!I84</f>
        <v>6.3595024433585072</v>
      </c>
      <c r="J222" s="160">
        <f>'Data Sheet'!J17/Customization!J84</f>
        <v>5.4309796914851534</v>
      </c>
      <c r="K222" s="160">
        <f>'Data Sheet'!K17/Customization!K84</f>
        <v>4.2071380920613741</v>
      </c>
      <c r="L222" s="160"/>
      <c r="M222" s="136">
        <f t="shared" si="52"/>
        <v>5.2318223842629337</v>
      </c>
      <c r="N222" s="32">
        <f t="shared" si="53"/>
        <v>7.0630749684706302</v>
      </c>
      <c r="O222" s="32">
        <f t="shared" si="54"/>
        <v>5.3325400756350119</v>
      </c>
    </row>
    <row r="223" spans="1:15" s="18" customFormat="1" hidden="1">
      <c r="A223" s="147" t="s">
        <v>489</v>
      </c>
      <c r="B223" s="143">
        <f>'Data Sheet'!B17/Customization!B84</f>
        <v>8.551036577314143</v>
      </c>
      <c r="C223" s="143">
        <f>'Data Sheet'!C17/Customization!C84</f>
        <v>15.622733538331028</v>
      </c>
      <c r="D223" s="143">
        <f>'Data Sheet'!D17/Customization!D84</f>
        <v>9.2784955655315908</v>
      </c>
      <c r="E223" s="143">
        <f>'Data Sheet'!E17/Customization!E84</f>
        <v>6.3366483693897315</v>
      </c>
      <c r="F223" s="143">
        <f>'Data Sheet'!F17/Customization!F84</f>
        <v>6.6195274496177898</v>
      </c>
      <c r="G223" s="143">
        <f>'Data Sheet'!G17/Customization!G84</f>
        <v>6.9355943551709922</v>
      </c>
      <c r="H223" s="143">
        <f>'Data Sheet'!H17/Customization!H84</f>
        <v>7.1503378760141922</v>
      </c>
      <c r="I223" s="143">
        <f>'Data Sheet'!I17/Customization!I84</f>
        <v>6.3595024433585072</v>
      </c>
      <c r="J223" s="143">
        <f>'Data Sheet'!J17/Customization!J84</f>
        <v>5.4309796914851534</v>
      </c>
      <c r="K223" s="143">
        <f>'Data Sheet'!K17/Customization!K84</f>
        <v>4.2071380920613741</v>
      </c>
      <c r="L223" s="143"/>
      <c r="M223" s="136">
        <f t="shared" si="52"/>
        <v>5.2318223842629337</v>
      </c>
      <c r="N223" s="32">
        <f t="shared" si="53"/>
        <v>7.0630749684706302</v>
      </c>
      <c r="O223" s="32">
        <f t="shared" si="54"/>
        <v>5.3325400756350119</v>
      </c>
    </row>
    <row r="224" spans="1:15" s="2" customFormat="1" hidden="1">
      <c r="A224" s="164" t="s">
        <v>102</v>
      </c>
      <c r="B224" s="174">
        <f>'Data Sheet'!B17/'Data Sheet'!B62</f>
        <v>7.7234182121772328</v>
      </c>
      <c r="C224" s="174">
        <f>'Data Sheet'!C17*2/('Data Sheet'!B62+'Data Sheet'!C62)</f>
        <v>8.2061878637667434</v>
      </c>
      <c r="D224" s="174">
        <f>'Data Sheet'!D17*2/('Data Sheet'!C62+'Data Sheet'!D62)</f>
        <v>9.2782415897955257</v>
      </c>
      <c r="E224" s="174">
        <f>'Data Sheet'!E17*2/('Data Sheet'!D62+'Data Sheet'!E62)</f>
        <v>9.3255084584679722</v>
      </c>
      <c r="F224" s="174">
        <f>'Data Sheet'!F17*2/('Data Sheet'!E62+'Data Sheet'!F62)</f>
        <v>9.1080478087649404</v>
      </c>
      <c r="G224" s="174">
        <f>'Data Sheet'!G17*2/('Data Sheet'!F62+'Data Sheet'!G62)</f>
        <v>10.572673562722043</v>
      </c>
      <c r="H224" s="174">
        <f>'Data Sheet'!H17*2/('Data Sheet'!G62+'Data Sheet'!H62)</f>
        <v>11.825558794946549</v>
      </c>
      <c r="I224" s="174">
        <f>'Data Sheet'!I17*2/('Data Sheet'!H62+'Data Sheet'!I62)</f>
        <v>8.5559128345506057</v>
      </c>
      <c r="J224" s="174">
        <f>'Data Sheet'!J17*2/('Data Sheet'!I62+'Data Sheet'!J62)</f>
        <v>5.9543473222229704</v>
      </c>
      <c r="K224" s="174">
        <f>'Data Sheet'!K17*2/('Data Sheet'!J62+'Data Sheet'!K62)</f>
        <v>4.6513309344478468</v>
      </c>
      <c r="L224" s="174"/>
      <c r="M224" s="136">
        <f t="shared" si="52"/>
        <v>6.927162130591844</v>
      </c>
      <c r="N224" s="32">
        <f t="shared" si="53"/>
        <v>9.6973971158963721</v>
      </c>
      <c r="O224" s="32">
        <f t="shared" si="54"/>
        <v>6.3871970304071413</v>
      </c>
    </row>
    <row r="225" spans="1:15" s="2" customFormat="1" hidden="1">
      <c r="A225" s="164" t="s">
        <v>484</v>
      </c>
      <c r="B225" s="174">
        <f>'Data Sheet'!B17/'Data Sheet'!B61</f>
        <v>1.7995803748836305</v>
      </c>
      <c r="C225" s="174">
        <f>'Data Sheet'!C17/'Data Sheet'!C61</f>
        <v>2.0565582122468351</v>
      </c>
      <c r="D225" s="174">
        <f>'Data Sheet'!D17/'Data Sheet'!D61</f>
        <v>2.1460897533302941</v>
      </c>
      <c r="E225" s="174">
        <f>'Data Sheet'!E17/'Data Sheet'!E61</f>
        <v>2.1769554172629149</v>
      </c>
      <c r="F225" s="174">
        <f>'Data Sheet'!F17/'Data Sheet'!F61</f>
        <v>2.173241819875658</v>
      </c>
      <c r="G225" s="174">
        <f>'Data Sheet'!G17/'Data Sheet'!G61</f>
        <v>2.3485968920592288</v>
      </c>
      <c r="H225" s="174">
        <f>'Data Sheet'!H17/'Data Sheet'!H61</f>
        <v>2.3879613555740056</v>
      </c>
      <c r="I225" s="174">
        <f>'Data Sheet'!I17/'Data Sheet'!I61</f>
        <v>2.3571941379878147</v>
      </c>
      <c r="J225" s="174">
        <f>'Data Sheet'!J17/'Data Sheet'!J61</f>
        <v>2.2979005805431485</v>
      </c>
      <c r="K225" s="174">
        <f>'Data Sheet'!K17/'Data Sheet'!K61</f>
        <v>2.1091652604855504</v>
      </c>
      <c r="L225" s="174"/>
      <c r="M225" s="136">
        <f t="shared" si="52"/>
        <v>1.7997105217118616</v>
      </c>
      <c r="N225" s="32">
        <f t="shared" si="53"/>
        <v>2.6601057496723222</v>
      </c>
      <c r="O225" s="32">
        <f t="shared" si="54"/>
        <v>2.2547533263388377</v>
      </c>
    </row>
    <row r="226" spans="1:15" s="18" customFormat="1" hidden="1">
      <c r="A226" s="147" t="s">
        <v>143</v>
      </c>
      <c r="B226" s="45">
        <f>B86/'Data Sheet'!B17</f>
        <v>-3.1324798863443325E-2</v>
      </c>
      <c r="C226" s="45">
        <f>C86/'Data Sheet'!C17</f>
        <v>-7.1047523381612313E-2</v>
      </c>
      <c r="D226" s="45">
        <f>D86/'Data Sheet'!D17</f>
        <v>2.3955487635781859E-3</v>
      </c>
      <c r="E226" s="45">
        <f>E86/'Data Sheet'!E17</f>
        <v>2.8820969599380398E-2</v>
      </c>
      <c r="F226" s="45">
        <f>F86/'Data Sheet'!F17</f>
        <v>3.5912375553339294E-2</v>
      </c>
      <c r="G226" s="45">
        <f>G86/'Data Sheet'!G17</f>
        <v>2.3956364662505652E-2</v>
      </c>
      <c r="H226" s="45">
        <f>H86/'Data Sheet'!H17</f>
        <v>1.8917065184066054E-2</v>
      </c>
      <c r="I226" s="45">
        <f>I86/'Data Sheet'!I17</f>
        <v>-3.7629826674229691E-2</v>
      </c>
      <c r="J226" s="45">
        <f>J86/'Data Sheet'!J17</f>
        <v>-4.7607447626031515E-2</v>
      </c>
      <c r="K226" s="45">
        <f>K86/'Data Sheet'!K17</f>
        <v>-2.3345321926151248E-2</v>
      </c>
      <c r="L226" s="45"/>
      <c r="M226" s="136">
        <f t="shared" si="52"/>
        <v>1.4197275364571314E-4</v>
      </c>
      <c r="N226" s="32">
        <f t="shared" si="53"/>
        <v>-1.3113438725239008E-2</v>
      </c>
      <c r="O226" s="32">
        <f t="shared" si="54"/>
        <v>-3.619419874213748E-2</v>
      </c>
    </row>
    <row r="227" spans="1:15" s="32" customFormat="1" hidden="1">
      <c r="A227" s="175" t="s">
        <v>144</v>
      </c>
      <c r="B227" s="45">
        <f>B87/'Data Sheet'!B17</f>
        <v>-0.11758574362617168</v>
      </c>
      <c r="C227" s="45">
        <f>C87/'Data Sheet'!C17</f>
        <v>-0.16895844927988701</v>
      </c>
      <c r="D227" s="45">
        <f>D87/'Data Sheet'!D17</f>
        <v>-0.14578625332633161</v>
      </c>
      <c r="E227" s="45">
        <f>E87/'Data Sheet'!E17</f>
        <v>-0.14829346840190369</v>
      </c>
      <c r="F227" s="45">
        <f>F87/'Data Sheet'!F17</f>
        <v>-0.13693506902524802</v>
      </c>
      <c r="G227" s="45">
        <f>G87/'Data Sheet'!G17</f>
        <v>-9.1072801060436692E-2</v>
      </c>
      <c r="H227" s="45">
        <f>H87/'Data Sheet'!H17</f>
        <v>-0.11661572597595936</v>
      </c>
      <c r="I227" s="45">
        <f>I87/'Data Sheet'!I17</f>
        <v>-0.117371416755849</v>
      </c>
      <c r="J227" s="45">
        <f>J87/'Data Sheet'!J17</f>
        <v>-0.11150846070006075</v>
      </c>
      <c r="K227" s="45">
        <f>K87/'Data Sheet'!K17</f>
        <v>-9.2610077625537884E-2</v>
      </c>
      <c r="L227" s="45"/>
      <c r="M227" s="136">
        <f t="shared" si="52"/>
        <v>-9.6019327287132694E-2</v>
      </c>
      <c r="N227" s="32">
        <f t="shared" si="53"/>
        <v>-0.12503956188099527</v>
      </c>
      <c r="O227" s="32">
        <f t="shared" si="54"/>
        <v>-0.10716331836048254</v>
      </c>
    </row>
    <row r="228" spans="1:15" s="18" customFormat="1" hidden="1">
      <c r="A228" s="147" t="s">
        <v>46</v>
      </c>
      <c r="B228" s="143">
        <f>'Balance Sheet'!B20</f>
        <v>2.6294068594900932</v>
      </c>
      <c r="C228" s="143">
        <f>'Balance Sheet'!C20</f>
        <v>2.2766360341527641</v>
      </c>
      <c r="D228" s="143">
        <f>'Balance Sheet'!D20</f>
        <v>2.3991479870899988</v>
      </c>
      <c r="E228" s="143">
        <f>'Balance Sheet'!E20</f>
        <v>1.8171325784984151</v>
      </c>
      <c r="F228" s="143">
        <f>'Balance Sheet'!F20</f>
        <v>12.022334785575561</v>
      </c>
      <c r="G228" s="143">
        <f>'Balance Sheet'!G20</f>
        <v>11.827266887714751</v>
      </c>
      <c r="H228" s="143">
        <f>'Balance Sheet'!H20</f>
        <v>9.3689728523520692</v>
      </c>
      <c r="I228" s="143">
        <f>'Balance Sheet'!I20</f>
        <v>5.5818693923399119</v>
      </c>
      <c r="J228" s="143">
        <f>'Balance Sheet'!J20</f>
        <v>6.3834713732502246</v>
      </c>
      <c r="K228" s="143">
        <f>'Balance Sheet'!K20</f>
        <v>8.9042570315859795</v>
      </c>
      <c r="L228" s="143"/>
      <c r="M228" s="136">
        <f t="shared" si="52"/>
        <v>5.830445288840691</v>
      </c>
      <c r="N228" s="32">
        <f t="shared" si="53"/>
        <v>9.5792565652167259</v>
      </c>
      <c r="O228" s="32">
        <f t="shared" si="54"/>
        <v>6.956532599058705</v>
      </c>
    </row>
    <row r="229" spans="1:15" s="18" customFormat="1" hidden="1">
      <c r="A229" s="147" t="s">
        <v>112</v>
      </c>
      <c r="B229" s="143">
        <f>365/B232</f>
        <v>22.638826690550825</v>
      </c>
      <c r="C229" s="143">
        <f t="shared" ref="C229:K229" si="57">365/C232</f>
        <v>18.738275258249736</v>
      </c>
      <c r="D229" s="143">
        <f t="shared" si="57"/>
        <v>17.750249290480941</v>
      </c>
      <c r="E229" s="143">
        <f t="shared" si="57"/>
        <v>20.56131080378708</v>
      </c>
      <c r="F229" s="143">
        <f t="shared" si="57"/>
        <v>24.539612968698055</v>
      </c>
      <c r="G229" s="143">
        <f t="shared" si="57"/>
        <v>29.501082343505754</v>
      </c>
      <c r="H229" s="143">
        <f t="shared" si="57"/>
        <v>21.377547956419637</v>
      </c>
      <c r="I229" s="143">
        <f t="shared" si="57"/>
        <v>23.02304397271719</v>
      </c>
      <c r="J229" s="143">
        <f t="shared" si="57"/>
        <v>23.120375997629296</v>
      </c>
      <c r="K229" s="143">
        <f t="shared" si="57"/>
        <v>25.66397343769896</v>
      </c>
      <c r="L229" s="143"/>
      <c r="M229" s="136">
        <f t="shared" si="52"/>
        <v>18.553719677093689</v>
      </c>
      <c r="N229" s="32">
        <f t="shared" si="53"/>
        <v>28.247948677012904</v>
      </c>
      <c r="O229" s="32">
        <f t="shared" si="54"/>
        <v>23.935797802681815</v>
      </c>
    </row>
    <row r="230" spans="1:15" s="18" customFormat="1" hidden="1">
      <c r="A230" s="147" t="s">
        <v>358</v>
      </c>
      <c r="B230" s="143"/>
      <c r="C230" s="143">
        <f t="shared" ref="C230:K230" si="58">365/B233</f>
        <v>-11.433551585156813</v>
      </c>
      <c r="D230" s="143">
        <f t="shared" si="58"/>
        <v>-25.932346034288493</v>
      </c>
      <c r="E230" s="143">
        <f t="shared" si="58"/>
        <v>0.87437529870603792</v>
      </c>
      <c r="F230" s="143">
        <f t="shared" si="58"/>
        <v>10.519653903773845</v>
      </c>
      <c r="G230" s="143">
        <f t="shared" si="58"/>
        <v>13.108017076968842</v>
      </c>
      <c r="H230" s="143">
        <f t="shared" si="58"/>
        <v>8.7440731018145623</v>
      </c>
      <c r="I230" s="143">
        <f t="shared" si="58"/>
        <v>6.9047287921841098</v>
      </c>
      <c r="J230" s="143">
        <f t="shared" si="58"/>
        <v>-13.734886736093836</v>
      </c>
      <c r="K230" s="143">
        <f t="shared" si="58"/>
        <v>-17.376718383501501</v>
      </c>
      <c r="L230" s="143"/>
      <c r="M230" s="136">
        <f t="shared" si="52"/>
        <v>-1.6893102980436432</v>
      </c>
      <c r="N230" s="32">
        <f t="shared" si="53"/>
        <v>-0.80881928933429292</v>
      </c>
      <c r="O230" s="32">
        <f t="shared" si="54"/>
        <v>-8.0689587758037415</v>
      </c>
    </row>
    <row r="231" spans="1:15" s="18" customFormat="1" hidden="1">
      <c r="A231" s="147" t="s">
        <v>116</v>
      </c>
      <c r="B231" s="143">
        <f>'Data Sheet'!B17/'Data Sheet'!B67</f>
        <v>138.81457663451235</v>
      </c>
      <c r="C231" s="143">
        <f>'Data Sheet'!C17/'Data Sheet'!C67</f>
        <v>160.32426550598478</v>
      </c>
      <c r="D231" s="143">
        <f>'Data Sheet'!D17/'Data Sheet'!D67</f>
        <v>152.13734290843806</v>
      </c>
      <c r="E231" s="143">
        <f>'Data Sheet'!E17/'Data Sheet'!E67</f>
        <v>200.86591606960084</v>
      </c>
      <c r="F231" s="143">
        <f>'Data Sheet'!F17/'Data Sheet'!F67</f>
        <v>30.360159362549801</v>
      </c>
      <c r="G231" s="143">
        <f>'Data Sheet'!G17/'Data Sheet'!G67</f>
        <v>30.86089148619228</v>
      </c>
      <c r="H231" s="143">
        <f>'Data Sheet'!H17/'Data Sheet'!H67</f>
        <v>38.958379509912575</v>
      </c>
      <c r="I231" s="143">
        <f>'Data Sheet'!I17/'Data Sheet'!I67</f>
        <v>65.390279554175038</v>
      </c>
      <c r="J231" s="143">
        <f>'Data Sheet'!J17/'Data Sheet'!J67</f>
        <v>57.178920160827111</v>
      </c>
      <c r="K231" s="143">
        <f>'Data Sheet'!K17/'Data Sheet'!K67</f>
        <v>40.991628914713409</v>
      </c>
      <c r="L231" s="143"/>
      <c r="M231" s="136">
        <f t="shared" si="52"/>
        <v>61.674351796640906</v>
      </c>
      <c r="N231" s="32">
        <f t="shared" si="53"/>
        <v>59.010890284492255</v>
      </c>
      <c r="O231" s="32">
        <f t="shared" si="54"/>
        <v>54.520276209905184</v>
      </c>
    </row>
    <row r="232" spans="1:15" s="18" customFormat="1" hidden="1">
      <c r="A232" s="147" t="s">
        <v>113</v>
      </c>
      <c r="B232" s="141">
        <f>'Data Sheet'!B17/'Data Sheet'!B68</f>
        <v>16.122743682310471</v>
      </c>
      <c r="C232" s="141">
        <f>'Data Sheet'!C17/'Data Sheet'!C68</f>
        <v>19.478847170809097</v>
      </c>
      <c r="D232" s="141">
        <f>'Data Sheet'!D17/'Data Sheet'!D68</f>
        <v>20.563091482649842</v>
      </c>
      <c r="E232" s="141">
        <f>'Data Sheet'!E17/'Data Sheet'!E68</f>
        <v>17.751786521935777</v>
      </c>
      <c r="F232" s="141">
        <f>'Data Sheet'!F17/'Data Sheet'!F68</f>
        <v>14.873910214703969</v>
      </c>
      <c r="G232" s="141">
        <f>'Data Sheet'!G17/'Data Sheet'!G68</f>
        <v>12.372427416391032</v>
      </c>
      <c r="H232" s="141">
        <f>'Data Sheet'!H17/'Data Sheet'!H68</f>
        <v>17.073988127361034</v>
      </c>
      <c r="I232" s="141">
        <f>'Data Sheet'!I17/'Data Sheet'!I68</f>
        <v>15.853681226189421</v>
      </c>
      <c r="J232" s="141">
        <f>'Data Sheet'!J17/'Data Sheet'!J68</f>
        <v>15.78694049082187</v>
      </c>
      <c r="K232" s="141">
        <f>'Data Sheet'!K17/'Data Sheet'!K68</f>
        <v>14.222271577940271</v>
      </c>
      <c r="L232" s="141"/>
      <c r="M232" s="136">
        <f t="shared" si="52"/>
        <v>12.849809705799322</v>
      </c>
      <c r="N232" s="32">
        <f t="shared" si="53"/>
        <v>17.63182370890059</v>
      </c>
      <c r="O232" s="32">
        <f t="shared" si="54"/>
        <v>15.287631098317187</v>
      </c>
    </row>
    <row r="233" spans="1:15" s="18" customFormat="1" hidden="1">
      <c r="A233" s="147" t="s">
        <v>359</v>
      </c>
      <c r="B233" s="141">
        <f>'Data Sheet'!B17/'Balance Sheet'!B16</f>
        <v>-31.923588858762642</v>
      </c>
      <c r="C233" s="141">
        <f>'Data Sheet'!C17/'Balance Sheet'!C16</f>
        <v>-14.075085976308758</v>
      </c>
      <c r="D233" s="141">
        <f>'Data Sheet'!D17/'Balance Sheet'!D16</f>
        <v>417.44088669951299</v>
      </c>
      <c r="E233" s="141">
        <f>'Data Sheet'!E17/'Balance Sheet'!E16</f>
        <v>34.696958981612411</v>
      </c>
      <c r="F233" s="141">
        <f>'Data Sheet'!F17/'Balance Sheet'!F16</f>
        <v>27.845554202192439</v>
      </c>
      <c r="G233" s="141">
        <f>'Data Sheet'!G17/'Balance Sheet'!G16</f>
        <v>41.742560446373155</v>
      </c>
      <c r="H233" s="141">
        <f>'Data Sheet'!H17/'Balance Sheet'!H16</f>
        <v>52.862322472848767</v>
      </c>
      <c r="I233" s="141">
        <f>'Data Sheet'!I17/'Balance Sheet'!I16</f>
        <v>-26.574663993465517</v>
      </c>
      <c r="J233" s="141">
        <f>'Data Sheet'!J17/'Balance Sheet'!J16</f>
        <v>-21.0051168433824</v>
      </c>
      <c r="K233" s="141">
        <f>'Data Sheet'!K17/'Balance Sheet'!K16</f>
        <v>-42.835134300710067</v>
      </c>
      <c r="L233" s="141"/>
      <c r="M233" s="136">
        <f t="shared" si="52"/>
        <v>48.417336766498174</v>
      </c>
      <c r="N233" s="32">
        <f t="shared" si="53"/>
        <v>10.521460909632422</v>
      </c>
      <c r="O233" s="32">
        <f t="shared" si="54"/>
        <v>-30.138305045852661</v>
      </c>
    </row>
    <row r="234" spans="1:15" s="18" customFormat="1" hidden="1">
      <c r="A234" s="147" t="s">
        <v>360</v>
      </c>
      <c r="B234" s="58">
        <f>'Data Sheet'!B17/('Balance Sheet'!B17+'Balance Sheet'!B18)</f>
        <v>14.445014499219274</v>
      </c>
      <c r="C234" s="58">
        <f>'Data Sheet'!C17/('Balance Sheet'!C17+'Balance Sheet'!C18)</f>
        <v>17.36861959212543</v>
      </c>
      <c r="D234" s="58">
        <f>'Data Sheet'!D17/('Balance Sheet'!D17+'Balance Sheet'!D18)</f>
        <v>18.114685763146642</v>
      </c>
      <c r="E234" s="58">
        <f>'Data Sheet'!E17/('Balance Sheet'!E17+'Balance Sheet'!E18)</f>
        <v>16.310339095744681</v>
      </c>
      <c r="F234" s="58">
        <f>'Data Sheet'!F17/('Balance Sheet'!F17+'Balance Sheet'!F18)</f>
        <v>9.9830567685589511</v>
      </c>
      <c r="G234" s="58">
        <f>'Data Sheet'!G17/('Balance Sheet'!G17+'Balance Sheet'!G18)</f>
        <v>8.8317101164125269</v>
      </c>
      <c r="H234" s="58">
        <f>'Data Sheet'!H17/('Balance Sheet'!H17+'Balance Sheet'!H18)</f>
        <v>11.87126186634648</v>
      </c>
      <c r="I234" s="58">
        <f>'Data Sheet'!I17/('Balance Sheet'!I17+'Balance Sheet'!I18)</f>
        <v>12.760045637679609</v>
      </c>
      <c r="J234" s="58">
        <f>'Data Sheet'!J17/('Balance Sheet'!J17+'Balance Sheet'!J18)</f>
        <v>12.371267903190729</v>
      </c>
      <c r="K234" s="58">
        <f>'Data Sheet'!K17/('Balance Sheet'!K17+'Balance Sheet'!K18)</f>
        <v>10.558828006088278</v>
      </c>
      <c r="L234" s="58"/>
      <c r="M234" s="136">
        <f t="shared" si="52"/>
        <v>10.080119515716788</v>
      </c>
      <c r="N234" s="32">
        <f t="shared" si="53"/>
        <v>13.294646609086879</v>
      </c>
      <c r="O234" s="32">
        <f t="shared" si="54"/>
        <v>11.896713848986204</v>
      </c>
    </row>
    <row r="235" spans="1:15" s="18" customFormat="1" hidden="1">
      <c r="A235" s="147" t="s">
        <v>362</v>
      </c>
      <c r="B235" s="45">
        <f>'Balance Sheet'!B17/'Data Sheet'!B17</f>
        <v>7.2038544095619E-3</v>
      </c>
      <c r="C235" s="45">
        <f>'Balance Sheet'!C17/'Data Sheet'!C17</f>
        <v>6.237358997678806E-3</v>
      </c>
      <c r="D235" s="45">
        <f>'Balance Sheet'!D17/'Data Sheet'!D17</f>
        <v>6.5730081838082152E-3</v>
      </c>
      <c r="E235" s="45">
        <f>'Balance Sheet'!E17/'Data Sheet'!E17</f>
        <v>4.9784454205436032E-3</v>
      </c>
      <c r="F235" s="45">
        <f>'Balance Sheet'!F17/'Data Sheet'!F17</f>
        <v>3.293790352212482E-2</v>
      </c>
      <c r="G235" s="45">
        <f>'Balance Sheet'!G17/'Data Sheet'!G17</f>
        <v>3.2403470925245891E-2</v>
      </c>
      <c r="H235" s="45">
        <f>'Balance Sheet'!H17/'Data Sheet'!H17</f>
        <v>2.5668418773567313E-2</v>
      </c>
      <c r="I235" s="45">
        <f>'Balance Sheet'!I17/'Data Sheet'!I17</f>
        <v>1.5292792855725785E-2</v>
      </c>
      <c r="J235" s="45">
        <f>'Balance Sheet'!J17/'Data Sheet'!J17</f>
        <v>1.748896266643897E-2</v>
      </c>
      <c r="K235" s="45">
        <f>'Balance Sheet'!K17/'Data Sheet'!K17</f>
        <v>2.4395224744071173E-2</v>
      </c>
      <c r="L235" s="45"/>
      <c r="M235" s="136">
        <f t="shared" si="52"/>
        <v>1.5973822709152579E-2</v>
      </c>
      <c r="N235" s="32">
        <f t="shared" si="53"/>
        <v>2.624453853484034E-2</v>
      </c>
      <c r="O235" s="32">
        <f t="shared" si="54"/>
        <v>1.9058993422078643E-2</v>
      </c>
    </row>
    <row r="236" spans="1:15" s="18" customFormat="1" hidden="1">
      <c r="A236" s="147" t="s">
        <v>363</v>
      </c>
      <c r="B236" s="45">
        <f>'Balance Sheet'!B18/'Data Sheet'!B17</f>
        <v>6.2024182713837882E-2</v>
      </c>
      <c r="C236" s="45">
        <f>'Balance Sheet'!C18/'Data Sheet'!C17</f>
        <v>5.1337740433560923E-2</v>
      </c>
      <c r="D236" s="45">
        <f>'Balance Sheet'!D18/'Data Sheet'!D17</f>
        <v>4.8630819973920381E-2</v>
      </c>
      <c r="E236" s="45">
        <f>'Balance Sheet'!E18/'Data Sheet'!E17</f>
        <v>5.633235836653995E-2</v>
      </c>
      <c r="F236" s="45">
        <f>'Balance Sheet'!F18/'Data Sheet'!F17</f>
        <v>6.7231816352597409E-2</v>
      </c>
      <c r="G236" s="45">
        <f>'Balance Sheet'!G18/'Data Sheet'!G17</f>
        <v>8.0824883132892475E-2</v>
      </c>
      <c r="H236" s="45">
        <f>'Balance Sheet'!H18/'Data Sheet'!H17</f>
        <v>5.8568624538135987E-2</v>
      </c>
      <c r="I236" s="45">
        <f>'Balance Sheet'!I18/'Data Sheet'!I17</f>
        <v>6.3076832801964897E-2</v>
      </c>
      <c r="J236" s="45">
        <f>'Balance Sheet'!J18/'Data Sheet'!J17</f>
        <v>6.3343495883915871E-2</v>
      </c>
      <c r="K236" s="45">
        <f>'Balance Sheet'!K18/'Data Sheet'!K17</f>
        <v>7.0312255993695782E-2</v>
      </c>
      <c r="L236" s="45"/>
      <c r="M236" s="136">
        <f t="shared" si="52"/>
        <v>5.0832108704366274E-2</v>
      </c>
      <c r="N236" s="32">
        <f t="shared" si="53"/>
        <v>7.7391640210994248E-2</v>
      </c>
      <c r="O236" s="32">
        <f t="shared" si="54"/>
        <v>6.5577528226525517E-2</v>
      </c>
    </row>
    <row r="237" spans="1:15" s="18" customFormat="1" hidden="1">
      <c r="A237" s="147" t="s">
        <v>361</v>
      </c>
      <c r="B237" s="45">
        <f>1/B234</f>
        <v>6.9228037123399783E-2</v>
      </c>
      <c r="C237" s="45">
        <f t="shared" ref="C237:K237" si="59">1/C234</f>
        <v>5.7575099431239722E-2</v>
      </c>
      <c r="D237" s="45">
        <f t="shared" si="59"/>
        <v>5.5203828157728597E-2</v>
      </c>
      <c r="E237" s="45">
        <f t="shared" si="59"/>
        <v>6.1310803787083562E-2</v>
      </c>
      <c r="F237" s="45">
        <f t="shared" si="59"/>
        <v>0.10016971987472224</v>
      </c>
      <c r="G237" s="45">
        <f t="shared" si="59"/>
        <v>0.11322835405813837</v>
      </c>
      <c r="H237" s="45">
        <f t="shared" si="59"/>
        <v>8.4237043311703286E-2</v>
      </c>
      <c r="I237" s="45">
        <f t="shared" si="59"/>
        <v>7.8369625657690692E-2</v>
      </c>
      <c r="J237" s="45">
        <f t="shared" si="59"/>
        <v>8.0832458550354855E-2</v>
      </c>
      <c r="K237" s="45">
        <f t="shared" si="59"/>
        <v>9.4707480737766969E-2</v>
      </c>
      <c r="L237" s="45"/>
      <c r="M237" s="136">
        <f t="shared" si="52"/>
        <v>6.6805931413518843E-2</v>
      </c>
      <c r="N237" s="32">
        <f t="shared" si="53"/>
        <v>0.1036361787458346</v>
      </c>
      <c r="O237" s="32">
        <f t="shared" si="54"/>
        <v>8.4636521648604177E-2</v>
      </c>
    </row>
    <row r="238" spans="1:15" s="18" customFormat="1" hidden="1">
      <c r="A238" s="147" t="s">
        <v>151</v>
      </c>
      <c r="B238" s="141">
        <f>'Data Sheet'!B30</f>
        <v>160.16999999999999</v>
      </c>
      <c r="C238" s="141">
        <f>'Data Sheet'!C30</f>
        <v>231.71</v>
      </c>
      <c r="D238" s="141">
        <f>'Data Sheet'!D30</f>
        <v>290.22000000000003</v>
      </c>
      <c r="E238" s="141">
        <f>'Data Sheet'!E30</f>
        <v>423.26</v>
      </c>
      <c r="F238" s="141">
        <f>'Data Sheet'!F30</f>
        <v>402.58</v>
      </c>
      <c r="G238" s="141">
        <f>'Data Sheet'!G30</f>
        <v>446.47</v>
      </c>
      <c r="H238" s="141">
        <f>'Data Sheet'!H30</f>
        <v>496.75</v>
      </c>
      <c r="I238" s="141">
        <f>'Data Sheet'!I30</f>
        <v>539.87</v>
      </c>
      <c r="J238" s="141">
        <f>'Data Sheet'!J30</f>
        <v>558.98</v>
      </c>
      <c r="K238" s="141">
        <f>'Data Sheet'!K30</f>
        <v>576.51</v>
      </c>
      <c r="L238" s="141">
        <f>'Profit &amp; Loss'!L12</f>
        <v>580.74</v>
      </c>
      <c r="M238" s="136">
        <f t="shared" si="52"/>
        <v>373.46399999999994</v>
      </c>
      <c r="N238" s="32">
        <f t="shared" si="53"/>
        <v>714.55679999999995</v>
      </c>
      <c r="O238" s="32">
        <f t="shared" si="54"/>
        <v>558.45333333333326</v>
      </c>
    </row>
    <row r="239" spans="1:15" s="18" customFormat="1" hidden="1">
      <c r="A239" s="147" t="s">
        <v>152</v>
      </c>
      <c r="B239" s="141">
        <f>'Data Sheet'!B82</f>
        <v>154.24</v>
      </c>
      <c r="C239" s="141">
        <f>'Data Sheet'!C82</f>
        <v>281.39999999999998</v>
      </c>
      <c r="D239" s="141">
        <f>'Data Sheet'!D82</f>
        <v>319.38</v>
      </c>
      <c r="E239" s="141">
        <f>'Data Sheet'!E82</f>
        <v>397.35</v>
      </c>
      <c r="F239" s="141">
        <f>'Data Sheet'!F82</f>
        <v>357.91</v>
      </c>
      <c r="G239" s="141">
        <f>'Data Sheet'!G82</f>
        <v>402.84</v>
      </c>
      <c r="H239" s="141">
        <f>'Data Sheet'!H82</f>
        <v>614.9</v>
      </c>
      <c r="I239" s="141">
        <f>'Data Sheet'!I82</f>
        <v>457.38</v>
      </c>
      <c r="J239" s="141">
        <f>'Data Sheet'!J82</f>
        <v>638.15</v>
      </c>
      <c r="K239" s="141">
        <f>'Data Sheet'!K82</f>
        <v>672.93</v>
      </c>
      <c r="L239" s="141"/>
      <c r="M239" s="136">
        <f t="shared" si="52"/>
        <v>386.084</v>
      </c>
      <c r="N239" s="32">
        <f t="shared" si="53"/>
        <v>634.45679999999993</v>
      </c>
      <c r="O239" s="32">
        <f t="shared" si="54"/>
        <v>589.48666666666668</v>
      </c>
    </row>
    <row r="240" spans="1:15" s="18" customFormat="1" hidden="1">
      <c r="A240" s="147" t="s">
        <v>153</v>
      </c>
      <c r="B240" s="141"/>
      <c r="C240" s="141"/>
      <c r="D240" s="141">
        <f>SUM(B238:D238)</f>
        <v>682.1</v>
      </c>
      <c r="E240" s="141">
        <f t="shared" ref="E240:K240" si="60">SUM(C238:E238)</f>
        <v>945.19</v>
      </c>
      <c r="F240" s="141">
        <f t="shared" si="60"/>
        <v>1116.06</v>
      </c>
      <c r="G240" s="141">
        <f t="shared" si="60"/>
        <v>1272.31</v>
      </c>
      <c r="H240" s="141">
        <f t="shared" si="60"/>
        <v>1345.8</v>
      </c>
      <c r="I240" s="141">
        <f t="shared" si="60"/>
        <v>1483.0900000000001</v>
      </c>
      <c r="J240" s="141">
        <f t="shared" si="60"/>
        <v>1595.6</v>
      </c>
      <c r="K240" s="141">
        <f t="shared" si="60"/>
        <v>1675.36</v>
      </c>
      <c r="L240" s="141"/>
      <c r="M240" s="136">
        <f t="shared" si="52"/>
        <v>1011.551</v>
      </c>
      <c r="N240" s="32">
        <f t="shared" si="53"/>
        <v>1676.7421999999999</v>
      </c>
      <c r="O240" s="32">
        <f t="shared" si="54"/>
        <v>1584.6833333333334</v>
      </c>
    </row>
    <row r="241" spans="1:15" s="18" customFormat="1" hidden="1">
      <c r="A241" s="147" t="s">
        <v>150</v>
      </c>
      <c r="B241" s="141"/>
      <c r="C241" s="141"/>
      <c r="D241" s="141">
        <f>SUM(B239:D239)</f>
        <v>755.02</v>
      </c>
      <c r="E241" s="141">
        <f t="shared" ref="E241:K241" si="61">SUM(C239:E239)</f>
        <v>998.13</v>
      </c>
      <c r="F241" s="141">
        <f t="shared" si="61"/>
        <v>1074.6400000000001</v>
      </c>
      <c r="G241" s="141">
        <f t="shared" si="61"/>
        <v>1158.0999999999999</v>
      </c>
      <c r="H241" s="141">
        <f t="shared" si="61"/>
        <v>1375.65</v>
      </c>
      <c r="I241" s="141">
        <f t="shared" si="61"/>
        <v>1475.12</v>
      </c>
      <c r="J241" s="141">
        <f t="shared" si="61"/>
        <v>1710.4299999999998</v>
      </c>
      <c r="K241" s="141">
        <f t="shared" si="61"/>
        <v>1768.46</v>
      </c>
      <c r="L241" s="141"/>
      <c r="M241" s="136">
        <f t="shared" si="52"/>
        <v>1031.5549999999998</v>
      </c>
      <c r="N241" s="32">
        <f t="shared" si="53"/>
        <v>1703.8629999999998</v>
      </c>
      <c r="O241" s="32">
        <f t="shared" si="54"/>
        <v>1651.3366666666668</v>
      </c>
    </row>
    <row r="242" spans="1:15" s="18" customFormat="1" hidden="1">
      <c r="A242" s="147" t="s">
        <v>154</v>
      </c>
      <c r="B242" s="141"/>
      <c r="C242" s="141"/>
      <c r="D242" s="141"/>
      <c r="E242" s="141"/>
      <c r="F242" s="141">
        <f>SUM(B238:F238)</f>
        <v>1507.94</v>
      </c>
      <c r="G242" s="141">
        <f t="shared" ref="G242:K242" si="62">SUM(C238:G238)</f>
        <v>1794.24</v>
      </c>
      <c r="H242" s="141">
        <f t="shared" si="62"/>
        <v>2059.2799999999997</v>
      </c>
      <c r="I242" s="141">
        <f t="shared" si="62"/>
        <v>2308.9299999999998</v>
      </c>
      <c r="J242" s="141">
        <f t="shared" si="62"/>
        <v>2444.65</v>
      </c>
      <c r="K242" s="141">
        <f t="shared" si="62"/>
        <v>2618.58</v>
      </c>
      <c r="L242" s="141"/>
      <c r="M242" s="136">
        <f t="shared" si="52"/>
        <v>1273.3619999999999</v>
      </c>
      <c r="N242" s="32">
        <f t="shared" si="53"/>
        <v>2499.8083999999994</v>
      </c>
      <c r="O242" s="32">
        <f t="shared" si="54"/>
        <v>2457.3866666666668</v>
      </c>
    </row>
    <row r="243" spans="1:15" s="18" customFormat="1" hidden="1">
      <c r="A243" s="147" t="s">
        <v>155</v>
      </c>
      <c r="B243" s="141"/>
      <c r="C243" s="141"/>
      <c r="D243" s="141"/>
      <c r="E243" s="141"/>
      <c r="F243" s="141">
        <f>SUM(B239:F239)</f>
        <v>1510.28</v>
      </c>
      <c r="G243" s="141">
        <f t="shared" ref="G243:K243" si="63">SUM(C239:G239)</f>
        <v>1758.8799999999999</v>
      </c>
      <c r="H243" s="141">
        <f t="shared" si="63"/>
        <v>2092.38</v>
      </c>
      <c r="I243" s="141">
        <f t="shared" si="63"/>
        <v>2230.38</v>
      </c>
      <c r="J243" s="141">
        <f t="shared" si="63"/>
        <v>2471.1800000000003</v>
      </c>
      <c r="K243" s="141">
        <f t="shared" si="63"/>
        <v>2786.2</v>
      </c>
      <c r="L243" s="141"/>
      <c r="M243" s="136">
        <f t="shared" si="52"/>
        <v>1284.9299999999998</v>
      </c>
      <c r="N243" s="32">
        <f t="shared" si="53"/>
        <v>2524.79</v>
      </c>
      <c r="O243" s="32">
        <f t="shared" si="54"/>
        <v>2495.92</v>
      </c>
    </row>
    <row r="244" spans="1:15" s="18" customFormat="1" hidden="1">
      <c r="A244" s="147" t="s">
        <v>216</v>
      </c>
      <c r="B244" s="45">
        <f>('Data Sheet'!B17-'Data Sheet'!B18+'Data Sheet'!B19)/'Data Sheet'!B17</f>
        <v>0.5541717497722255</v>
      </c>
      <c r="C244" s="45">
        <f>('Data Sheet'!C17-'Data Sheet'!C18+'Data Sheet'!C19)/'Data Sheet'!C17</f>
        <v>0.56956114512210021</v>
      </c>
      <c r="D244" s="45">
        <f>('Data Sheet'!D17-'Data Sheet'!D18+'Data Sheet'!D19)/'Data Sheet'!D17</f>
        <v>0.56260583782252882</v>
      </c>
      <c r="E244" s="45">
        <f>('Data Sheet'!E17-'Data Sheet'!E18+'Data Sheet'!E19)/'Data Sheet'!E17</f>
        <v>0.60414989350101411</v>
      </c>
      <c r="F244" s="45">
        <f>('Data Sheet'!F17-'Data Sheet'!F18+'Data Sheet'!F19)/'Data Sheet'!F17</f>
        <v>0.61858082690322458</v>
      </c>
      <c r="G244" s="45">
        <f>('Data Sheet'!G17-'Data Sheet'!G18+'Data Sheet'!G19)/'Data Sheet'!G17</f>
        <v>0.61004815778823196</v>
      </c>
      <c r="H244" s="45">
        <f>('Data Sheet'!H17-'Data Sheet'!H18+'Data Sheet'!H19)/'Data Sheet'!H17</f>
        <v>0.6048466880122384</v>
      </c>
      <c r="I244" s="45">
        <f>('Data Sheet'!I17-'Data Sheet'!I18+'Data Sheet'!I19)/'Data Sheet'!I17</f>
        <v>0.60824408113311412</v>
      </c>
      <c r="J244" s="45">
        <f>('Data Sheet'!J17-'Data Sheet'!J18+'Data Sheet'!J19)/'Data Sheet'!J17</f>
        <v>0.63140579717424161</v>
      </c>
      <c r="K244" s="45">
        <f>('Data Sheet'!K17-'Data Sheet'!K18+'Data Sheet'!K19)/'Data Sheet'!K17</f>
        <v>0.64075304700056945</v>
      </c>
      <c r="L244" s="45"/>
      <c r="M244" s="136">
        <f t="shared" si="52"/>
        <v>0.48806343293351634</v>
      </c>
      <c r="N244" s="32">
        <f t="shared" si="53"/>
        <v>0.71667224080838232</v>
      </c>
      <c r="O244" s="32">
        <f t="shared" si="54"/>
        <v>0.62680097510264166</v>
      </c>
    </row>
    <row r="245" spans="1:15" s="18" customFormat="1" hidden="1">
      <c r="A245" s="147" t="s">
        <v>269</v>
      </c>
      <c r="B245" s="45">
        <f>B88/'Data Sheet'!B17</f>
        <v>0.10469138471516592</v>
      </c>
      <c r="C245" s="45">
        <f>C88/'Data Sheet'!C17</f>
        <v>0.14165388426610923</v>
      </c>
      <c r="D245" s="45">
        <f>D88/'Data Sheet'!D17</f>
        <v>0.14081224444037976</v>
      </c>
      <c r="E245" s="45">
        <f>E88/'Data Sheet'!E17</f>
        <v>0.19762950582432254</v>
      </c>
      <c r="F245" s="45">
        <f>F88/'Data Sheet'!F17</f>
        <v>0.21009833254597313</v>
      </c>
      <c r="G245" s="45">
        <f>G88/'Data Sheet'!G17</f>
        <v>0.20020941397504113</v>
      </c>
      <c r="H245" s="45">
        <f>H88/'Data Sheet'!H17</f>
        <v>0.19378850183797383</v>
      </c>
      <c r="I245" s="45">
        <f>I88/'Data Sheet'!I17</f>
        <v>0.17135863597117479</v>
      </c>
      <c r="J245" s="45">
        <f>J88/'Data Sheet'!J17</f>
        <v>0.18765224990833615</v>
      </c>
      <c r="K245" s="45">
        <f>K88/'Data Sheet'!K17</f>
        <v>0.18944859680608511</v>
      </c>
      <c r="L245" s="45"/>
      <c r="M245" s="136">
        <f t="shared" si="52"/>
        <v>0.14909974813092863</v>
      </c>
      <c r="N245" s="32">
        <f t="shared" si="53"/>
        <v>0.21831142932590794</v>
      </c>
      <c r="O245" s="32">
        <f t="shared" si="54"/>
        <v>0.18281982756186532</v>
      </c>
    </row>
    <row r="246" spans="1:15" s="18" customFormat="1" hidden="1">
      <c r="A246" s="147" t="s">
        <v>270</v>
      </c>
      <c r="B246" s="45">
        <f>B89/'Data Sheet'!B17</f>
        <v>0.11647389471408495</v>
      </c>
      <c r="C246" s="45">
        <f>C89/'Data Sheet'!C17</f>
        <v>0.15511952110114158</v>
      </c>
      <c r="D246" s="45">
        <f>D89/'Data Sheet'!D17</f>
        <v>0.15435358535765073</v>
      </c>
      <c r="E246" s="45">
        <f>E89/'Data Sheet'!E17</f>
        <v>0.21677384507200148</v>
      </c>
      <c r="F246" s="45">
        <f>F89/'Data Sheet'!F17</f>
        <v>0.2250800482914283</v>
      </c>
      <c r="G246" s="45">
        <f>G89/'Data Sheet'!G17</f>
        <v>0.21480527099430793</v>
      </c>
      <c r="H246" s="45">
        <f>H89/'Data Sheet'!H17</f>
        <v>0.20760096213110144</v>
      </c>
      <c r="I246" s="45">
        <f>I89/'Data Sheet'!I17</f>
        <v>0.18553932731829853</v>
      </c>
      <c r="J246" s="45">
        <f>J89/'Data Sheet'!J17</f>
        <v>0.20649231279225705</v>
      </c>
      <c r="K246" s="45">
        <f>K89/'Data Sheet'!K17</f>
        <v>0.21621511235401664</v>
      </c>
      <c r="L246" s="45"/>
      <c r="M246" s="136">
        <f t="shared" si="52"/>
        <v>0.16268604643110621</v>
      </c>
      <c r="N246" s="32">
        <f t="shared" si="53"/>
        <v>0.23866780640421753</v>
      </c>
      <c r="O246" s="32">
        <f t="shared" si="54"/>
        <v>0.20274891748819077</v>
      </c>
    </row>
    <row r="247" spans="1:15" s="18" customFormat="1" hidden="1">
      <c r="A247" s="147" t="s">
        <v>369</v>
      </c>
      <c r="B247" s="45">
        <f>'Data Sheet'!B82/'Data Sheet'!B17</f>
        <v>0.11909137236128912</v>
      </c>
      <c r="C247" s="45">
        <f>'Data Sheet'!C82/'Data Sheet'!C17</f>
        <v>0.19098942567429988</v>
      </c>
      <c r="D247" s="45">
        <f>'Data Sheet'!D82/'Data Sheet'!D17</f>
        <v>0.18844590249054466</v>
      </c>
      <c r="E247" s="45">
        <f>'Data Sheet'!E82/'Data Sheet'!E17</f>
        <v>0.20247546446806561</v>
      </c>
      <c r="F247" s="45">
        <f>'Data Sheet'!F82/'Data Sheet'!F17</f>
        <v>0.15655783598411283</v>
      </c>
      <c r="G247" s="45">
        <f>'Data Sheet'!G82/'Data Sheet'!G17</f>
        <v>0.14957504557724366</v>
      </c>
      <c r="H247" s="45">
        <f>'Data Sheet'!H82/'Data Sheet'!H17</f>
        <v>0.19435427538316144</v>
      </c>
      <c r="I247" s="45">
        <f>'Data Sheet'!I82/'Data Sheet'!I17</f>
        <v>0.12780225829256095</v>
      </c>
      <c r="J247" s="45">
        <f>'Data Sheet'!J82/'Data Sheet'!J17</f>
        <v>0.16026107877064946</v>
      </c>
      <c r="K247" s="45">
        <f>'Data Sheet'!K82/'Data Sheet'!K17</f>
        <v>0.16167302134161723</v>
      </c>
      <c r="L247" s="45"/>
      <c r="M247" s="136">
        <f t="shared" si="52"/>
        <v>0.13411448823079558</v>
      </c>
      <c r="N247" s="32">
        <f t="shared" si="53"/>
        <v>0.18555603351920563</v>
      </c>
      <c r="O247" s="32">
        <f t="shared" si="54"/>
        <v>0.14991211946827587</v>
      </c>
    </row>
    <row r="248" spans="1:15" hidden="1">
      <c r="A248" s="41" t="s">
        <v>271</v>
      </c>
      <c r="B248" s="34">
        <f>'Profit &amp; Loss'!B7/'Profit &amp; Loss'!B4</f>
        <v>5.1731859104035084E-2</v>
      </c>
      <c r="C248" s="34">
        <f>'Profit &amp; Loss'!C7/'Profit &amp; Loss'!C4</f>
        <v>5.7541163854538543E-2</v>
      </c>
      <c r="D248" s="34">
        <f>'Profit &amp; Loss'!D7/'Profit &amp; Loss'!D4</f>
        <v>6.3582348463839616E-2</v>
      </c>
      <c r="E248" s="34">
        <f>'Profit &amp; Loss'!E7/'Profit &amp; Loss'!E4</f>
        <v>5.0171723245314548E-2</v>
      </c>
      <c r="F248" s="34">
        <f>'Profit &amp; Loss'!F7/'Profit &amp; Loss'!F4</f>
        <v>1.8039298024600636E-2</v>
      </c>
      <c r="G248" s="34">
        <f>'Profit &amp; Loss'!G7/'Profit &amp; Loss'!G4</f>
        <v>1.8821266657507899E-2</v>
      </c>
      <c r="H248" s="34">
        <f>'Profit &amp; Loss'!H7/'Profit &amp; Loss'!H4</f>
        <v>1.5778444344002961E-2</v>
      </c>
      <c r="I248" s="34">
        <f>'Profit &amp; Loss'!I7/'Profit &amp; Loss'!I4</f>
        <v>3.20497595569477E-2</v>
      </c>
      <c r="J248" s="34">
        <f>'Profit &amp; Loss'!J7/'Profit &amp; Loss'!J4</f>
        <v>8.3301104486757718E-3</v>
      </c>
      <c r="K248" s="34">
        <f>'Profit &amp; Loss'!K7/'Profit &amp; Loss'!K4</f>
        <v>9.5163960223819104E-3</v>
      </c>
      <c r="L248" s="34"/>
      <c r="M248" s="136">
        <f t="shared" si="52"/>
        <v>2.1628934676327104E-2</v>
      </c>
      <c r="N248" s="32">
        <f t="shared" si="53"/>
        <v>2.1224982341168673E-2</v>
      </c>
      <c r="O248" s="32">
        <f t="shared" si="54"/>
        <v>1.6632088676001796E-2</v>
      </c>
    </row>
    <row r="249" spans="1:15" hidden="1">
      <c r="A249" s="41" t="s">
        <v>231</v>
      </c>
      <c r="B249" s="34">
        <f>('Data Sheet'!B20+'Data Sheet'!B21+'Data Sheet'!B22)/'Data Sheet'!B17</f>
        <v>0.13942894204487546</v>
      </c>
      <c r="C249" s="34">
        <f>('Data Sheet'!C20+'Data Sheet'!C21+'Data Sheet'!C22)/'Data Sheet'!C17</f>
        <v>8.8979082110521399E-2</v>
      </c>
      <c r="D249" s="34">
        <f>('Data Sheet'!D20+'Data Sheet'!D21+'Data Sheet'!D22)/'Data Sheet'!D17</f>
        <v>9.4801187153722252E-2</v>
      </c>
      <c r="E249" s="34">
        <f>('Data Sheet'!E20+'Data Sheet'!E21+'Data Sheet'!E22)/'Data Sheet'!E17</f>
        <v>9.0335599196926297E-2</v>
      </c>
      <c r="F249" s="34">
        <f>('Data Sheet'!F20+'Data Sheet'!F21+'Data Sheet'!F22)/'Data Sheet'!F17</f>
        <v>0.10051090931359684</v>
      </c>
      <c r="G249" s="34">
        <f>('Data Sheet'!G20+'Data Sheet'!G21+'Data Sheet'!G22)/'Data Sheet'!G17</f>
        <v>9.5936849062278381E-2</v>
      </c>
      <c r="H249" s="34">
        <f>('Data Sheet'!H20+'Data Sheet'!H21+'Data Sheet'!H22)/'Data Sheet'!H17</f>
        <v>0.11618270376539679</v>
      </c>
      <c r="I249" s="34">
        <f>('Data Sheet'!I20+'Data Sheet'!I21+'Data Sheet'!I22)/'Data Sheet'!I17</f>
        <v>9.9426904473833497E-2</v>
      </c>
      <c r="J249" s="34">
        <f>('Data Sheet'!J20+'Data Sheet'!J21+'Data Sheet'!J22)/'Data Sheet'!J17</f>
        <v>0.1083944007192474</v>
      </c>
      <c r="K249" s="34">
        <f>('Data Sheet'!K20+'Data Sheet'!K21+'Data Sheet'!K22)/'Data Sheet'!K17</f>
        <v>0.11802397238058857</v>
      </c>
      <c r="L249" s="34"/>
      <c r="M249" s="136">
        <f t="shared" si="52"/>
        <v>8.2361252606559007E-2</v>
      </c>
      <c r="N249" s="32">
        <f t="shared" si="53"/>
        <v>0.12406521660158072</v>
      </c>
      <c r="O249" s="32">
        <f t="shared" si="54"/>
        <v>0.10861509252455648</v>
      </c>
    </row>
    <row r="250" spans="1:15" hidden="1">
      <c r="A250" s="41" t="s">
        <v>217</v>
      </c>
      <c r="B250" s="34">
        <f>('Data Sheet'!B23+'Data Sheet'!B24)/'Data Sheet'!B17</f>
        <v>0.29826891301326497</v>
      </c>
      <c r="C250" s="34">
        <f>('Data Sheet'!C23+'Data Sheet'!C24)/'Data Sheet'!C17</f>
        <v>0.32546254191043722</v>
      </c>
      <c r="D250" s="34">
        <f>('Data Sheet'!D23+'Data Sheet'!D24)/'Data Sheet'!D17</f>
        <v>0.31345106531115585</v>
      </c>
      <c r="E250" s="34">
        <f>('Data Sheet'!E23+'Data Sheet'!E24)/'Data Sheet'!E17</f>
        <v>0.29704044923208622</v>
      </c>
      <c r="F250" s="34">
        <f>('Data Sheet'!F23+'Data Sheet'!F24)/'Data Sheet'!F17</f>
        <v>0.29298986929819959</v>
      </c>
      <c r="G250" s="34">
        <f>('Data Sheet'!G23+'Data Sheet'!G24)/'Data Sheet'!G17</f>
        <v>0.29930603773164566</v>
      </c>
      <c r="H250" s="34">
        <f>('Data Sheet'!H23+'Data Sheet'!H24)/'Data Sheet'!H17</f>
        <v>0.28106302211574019</v>
      </c>
      <c r="I250" s="34">
        <f>('Data Sheet'!I23+'Data Sheet'!I24)/'Data Sheet'!I17</f>
        <v>0.32327784934098208</v>
      </c>
      <c r="J250" s="34">
        <f>('Data Sheet'!J23+'Data Sheet'!J24)/'Data Sheet'!J17</f>
        <v>0.31651908366273723</v>
      </c>
      <c r="K250" s="34">
        <f>('Data Sheet'!K23+'Data Sheet'!K24)/'Data Sheet'!K17</f>
        <v>0.30651155974235333</v>
      </c>
      <c r="L250" s="34"/>
      <c r="M250" s="136">
        <f t="shared" si="52"/>
        <v>0.24301589364349002</v>
      </c>
      <c r="N250" s="32">
        <f t="shared" si="53"/>
        <v>0.35393868924738969</v>
      </c>
      <c r="O250" s="32">
        <f t="shared" si="54"/>
        <v>0.31543616424869086</v>
      </c>
    </row>
    <row r="251" spans="1:15" hidden="1">
      <c r="A251" s="41" t="s">
        <v>18</v>
      </c>
      <c r="B251" s="34">
        <f>'Profit &amp; Loss'!B19</f>
        <v>0.11647389471408506</v>
      </c>
      <c r="C251" s="34">
        <f>'Profit &amp; Loss'!C19</f>
        <v>0.15511952110114172</v>
      </c>
      <c r="D251" s="34">
        <f>'Profit &amp; Loss'!D19</f>
        <v>0.15435358535765067</v>
      </c>
      <c r="E251" s="34">
        <f>'Profit &amp; Loss'!E19</f>
        <v>0.21677384507200151</v>
      </c>
      <c r="F251" s="34">
        <f>'Profit &amp; Loss'!F19</f>
        <v>0.22508004829142816</v>
      </c>
      <c r="G251" s="34">
        <f>'Profit &amp; Loss'!G19</f>
        <v>0.2148052709943081</v>
      </c>
      <c r="H251" s="34">
        <f>'Profit &amp; Loss'!H19</f>
        <v>0.20760096213110141</v>
      </c>
      <c r="I251" s="34">
        <f>'Profit &amp; Loss'!I19</f>
        <v>0.18553932731829847</v>
      </c>
      <c r="J251" s="34">
        <f>'Profit &amp; Loss'!J19</f>
        <v>0.2064923127922571</v>
      </c>
      <c r="K251" s="34">
        <f>'Profit &amp; Loss'!K19</f>
        <v>0.21621751487762747</v>
      </c>
      <c r="L251" s="34"/>
      <c r="M251" s="136">
        <f t="shared" si="52"/>
        <v>0.16268628668346732</v>
      </c>
      <c r="N251" s="32">
        <f t="shared" si="53"/>
        <v>0.23866833495941195</v>
      </c>
      <c r="O251" s="32">
        <f t="shared" si="54"/>
        <v>0.20274971832939434</v>
      </c>
    </row>
    <row r="252" spans="1:15" hidden="1">
      <c r="A252" s="41" t="s">
        <v>132</v>
      </c>
      <c r="B252" s="34">
        <f>B64</f>
        <v>0.12367002795064624</v>
      </c>
      <c r="C252" s="34">
        <f t="shared" ref="C252:K252" si="64">C64</f>
        <v>0.15726424954865684</v>
      </c>
      <c r="D252" s="34">
        <f t="shared" si="64"/>
        <v>0.17124043403095335</v>
      </c>
      <c r="E252" s="34">
        <f t="shared" si="64"/>
        <v>0.21567828134076616</v>
      </c>
      <c r="F252" s="34">
        <f t="shared" si="64"/>
        <v>0.17609749269504663</v>
      </c>
      <c r="G252" s="34">
        <f t="shared" si="64"/>
        <v>0.16577492453299569</v>
      </c>
      <c r="H252" s="34">
        <f t="shared" si="64"/>
        <v>0.15701006065471695</v>
      </c>
      <c r="I252" s="34">
        <f t="shared" si="64"/>
        <v>0.15085181945954101</v>
      </c>
      <c r="J252" s="34">
        <f t="shared" si="64"/>
        <v>0.14037881032863378</v>
      </c>
      <c r="K252" s="34">
        <f t="shared" si="64"/>
        <v>0.13850788868627606</v>
      </c>
      <c r="L252" s="34"/>
      <c r="M252" s="136">
        <f t="shared" si="52"/>
        <v>0.13155397117289297</v>
      </c>
      <c r="N252" s="32">
        <f t="shared" si="53"/>
        <v>0.17681549496701127</v>
      </c>
      <c r="O252" s="32">
        <f t="shared" si="54"/>
        <v>0.14324617282481697</v>
      </c>
    </row>
    <row r="253" spans="1:15" hidden="1">
      <c r="A253" s="41" t="s">
        <v>232</v>
      </c>
      <c r="B253" s="34">
        <f>('Data Sheet'!B17-'Data Sheet'!B18+'Data Sheet'!B19)/'Data Sheet'!B61</f>
        <v>0.99727660520501893</v>
      </c>
      <c r="C253" s="34">
        <f>('Data Sheet'!C17-'Data Sheet'!C18+'Data Sheet'!C19)/'Data Sheet'!C61</f>
        <v>1.1713356503775667</v>
      </c>
      <c r="D253" s="34">
        <f>('Data Sheet'!D17-'Data Sheet'!D18+'Data Sheet'!D19)/'Data Sheet'!D61</f>
        <v>1.2074026237147344</v>
      </c>
      <c r="E253" s="34">
        <f>('Data Sheet'!E17-'Data Sheet'!E18+'Data Sheet'!E19)/'Data Sheet'!E61</f>
        <v>1.3152073834958458</v>
      </c>
      <c r="F253" s="34">
        <f>('Data Sheet'!F17-'Data Sheet'!F18+'Data Sheet'!F19)/'Data Sheet'!F61</f>
        <v>1.3443257219993532</v>
      </c>
      <c r="G253" s="34">
        <f>('Data Sheet'!G17-'Data Sheet'!G18+'Data Sheet'!G19)/'Data Sheet'!G61</f>
        <v>1.4327572073878996</v>
      </c>
      <c r="H253" s="34">
        <f>('Data Sheet'!H17-'Data Sheet'!H18+'Data Sheet'!H19)/'Data Sheet'!H61</f>
        <v>1.4443505170201523</v>
      </c>
      <c r="I253" s="34">
        <f>('Data Sheet'!I17-'Data Sheet'!I18+'Data Sheet'!I19)/'Data Sheet'!I61</f>
        <v>1.4337493825127614</v>
      </c>
      <c r="J253" s="34">
        <f>('Data Sheet'!J17-'Data Sheet'!J18+'Data Sheet'!J19)/'Data Sheet'!J61</f>
        <v>1.4509077478849994</v>
      </c>
      <c r="K253" s="34">
        <f>('Data Sheet'!K17-'Data Sheet'!K18+'Data Sheet'!K19)/'Data Sheet'!K61</f>
        <v>1.3514540672838662</v>
      </c>
      <c r="L253" s="34"/>
      <c r="M253" s="136">
        <f t="shared" si="52"/>
        <v>1.098015465129961</v>
      </c>
      <c r="N253" s="32">
        <f t="shared" si="53"/>
        <v>1.6422468774439278</v>
      </c>
      <c r="O253" s="32">
        <f t="shared" si="54"/>
        <v>1.4120370658938757</v>
      </c>
    </row>
    <row r="254" spans="1:15" hidden="1">
      <c r="A254" s="41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136">
        <f t="shared" si="52"/>
        <v>0</v>
      </c>
      <c r="N254" s="32">
        <f t="shared" si="53"/>
        <v>0</v>
      </c>
      <c r="O254" s="32">
        <f t="shared" si="54"/>
        <v>0</v>
      </c>
    </row>
    <row r="255" spans="1:15" hidden="1">
      <c r="A255" s="41" t="s">
        <v>223</v>
      </c>
      <c r="B255" s="34">
        <f>B86/'Data Sheet'!B61</f>
        <v>-5.6371493281829665E-2</v>
      </c>
      <c r="C255" s="34">
        <f>C86/'Data Sheet'!C61</f>
        <v>-0.14611336767025385</v>
      </c>
      <c r="D255" s="34">
        <f>D86/'Data Sheet'!D61</f>
        <v>5.1410626551182002E-3</v>
      </c>
      <c r="E255" s="34">
        <f>E86/'Data Sheet'!E61</f>
        <v>6.2741965900140945E-2</v>
      </c>
      <c r="F255" s="34">
        <f>F86/'Data Sheet'!F61</f>
        <v>7.8046276403597181E-2</v>
      </c>
      <c r="G255" s="34">
        <f>G86/'Data Sheet'!G61</f>
        <v>5.6263843591398306E-2</v>
      </c>
      <c r="H255" s="34">
        <f>H86/'Data Sheet'!H61</f>
        <v>4.5173220620424198E-2</v>
      </c>
      <c r="I255" s="34">
        <f>I86/'Data Sheet'!I61</f>
        <v>-8.8700806849991737E-2</v>
      </c>
      <c r="J255" s="34">
        <f>J86/'Data Sheet'!J61</f>
        <v>-0.10939718153803536</v>
      </c>
      <c r="K255" s="34">
        <f>K86/'Data Sheet'!K61</f>
        <v>-4.9239142001489829E-2</v>
      </c>
      <c r="L255" s="34"/>
      <c r="M255" s="136">
        <f t="shared" si="52"/>
        <v>2.9238781161879112E-6</v>
      </c>
      <c r="N255" s="32">
        <f t="shared" si="53"/>
        <v>-2.9179428459915651E-2</v>
      </c>
      <c r="O255" s="32">
        <f t="shared" si="54"/>
        <v>-8.2445710129838978E-2</v>
      </c>
    </row>
    <row r="256" spans="1:15" hidden="1">
      <c r="A256" s="41" t="s">
        <v>224</v>
      </c>
      <c r="B256" s="34">
        <f>B87/'Data Sheet'!B61</f>
        <v>-0.21160499659575649</v>
      </c>
      <c r="C256" s="34">
        <f>C87/'Data Sheet'!C61</f>
        <v>-0.34747288639504204</v>
      </c>
      <c r="D256" s="34">
        <f>D87/'Data Sheet'!D61</f>
        <v>-0.31287038444005472</v>
      </c>
      <c r="E256" s="34">
        <f>E87/'Data Sheet'!E61</f>
        <v>-0.32282826938223114</v>
      </c>
      <c r="F256" s="34">
        <f>F87/'Data Sheet'!F61</f>
        <v>-0.29759301861322884</v>
      </c>
      <c r="G256" s="34">
        <f>G87/'Data Sheet'!G61</f>
        <v>-0.21389329752167005</v>
      </c>
      <c r="H256" s="34">
        <f>H87/'Data Sheet'!H61</f>
        <v>-0.27847384708279865</v>
      </c>
      <c r="I256" s="34">
        <f>I87/'Data Sheet'!I61</f>
        <v>-0.27666721554421203</v>
      </c>
      <c r="J256" s="34">
        <f>J87/'Data Sheet'!J61</f>
        <v>-0.25623535657814245</v>
      </c>
      <c r="K256" s="34">
        <f>K87/'Data Sheet'!K61</f>
        <v>-0.19532995849865467</v>
      </c>
      <c r="L256" s="34"/>
      <c r="M256" s="136">
        <f t="shared" si="52"/>
        <v>-0.21538913476609928</v>
      </c>
      <c r="N256" s="32">
        <f t="shared" si="53"/>
        <v>-0.28719776199831543</v>
      </c>
      <c r="O256" s="32">
        <f t="shared" si="54"/>
        <v>-0.2427441768736697</v>
      </c>
    </row>
    <row r="257" spans="1:15" hidden="1">
      <c r="A257" s="41" t="s">
        <v>225</v>
      </c>
      <c r="B257" s="34">
        <f>B467/'Data Sheet'!B61</f>
        <v>4.3032416734983113E-2</v>
      </c>
      <c r="C257" s="34">
        <f>C467/'Data Sheet'!C61</f>
        <v>7.6657873065058724E-2</v>
      </c>
      <c r="D257" s="34">
        <f>D467/'Data Sheet'!D61</f>
        <v>0.10919059919971637</v>
      </c>
      <c r="E257" s="34">
        <f>E467/'Data Sheet'!E61</f>
        <v>0.16781479139627495</v>
      </c>
      <c r="F257" s="34">
        <f>F467/'Data Sheet'!F61</f>
        <v>9.8294579538756935E-2</v>
      </c>
      <c r="G257" s="34">
        <f>G467/'Data Sheet'!G61</f>
        <v>9.2863247117916881E-2</v>
      </c>
      <c r="H257" s="34">
        <f>H467/'Data Sheet'!H61</f>
        <v>8.7531134425239659E-2</v>
      </c>
      <c r="I257" s="34">
        <f>I467/'Data Sheet'!I61</f>
        <v>0.11374279598221637</v>
      </c>
      <c r="J257" s="34">
        <f>J467/'Data Sheet'!J61</f>
        <v>0.13422896252438168</v>
      </c>
      <c r="K257" s="34">
        <f>K467/'Data Sheet'!K61</f>
        <v>0.15431000846242329</v>
      </c>
      <c r="L257" s="34"/>
      <c r="M257" s="136">
        <f t="shared" si="52"/>
        <v>9.5797611864692614E-2</v>
      </c>
      <c r="N257" s="32">
        <f t="shared" si="53"/>
        <v>0.1356947520753741</v>
      </c>
      <c r="O257" s="32">
        <f t="shared" si="54"/>
        <v>0.13409392232300713</v>
      </c>
    </row>
    <row r="258" spans="1:15" hidden="1">
      <c r="A258" s="41" t="s">
        <v>218</v>
      </c>
      <c r="B258" s="34">
        <f>B88/'Data Sheet'!B61</f>
        <v>0.18840056135280467</v>
      </c>
      <c r="C258" s="34">
        <f>C88/'Data Sheet'!C61</f>
        <v>0.2913194589841297</v>
      </c>
      <c r="D258" s="34">
        <f>D88/'Data Sheet'!D61</f>
        <v>0.3021957149369397</v>
      </c>
      <c r="E258" s="34">
        <f>E88/'Data Sheet'!E61</f>
        <v>0.4302306233152518</v>
      </c>
      <c r="F258" s="34">
        <f>F88/'Data Sheet'!F61</f>
        <v>0.45659448257505186</v>
      </c>
      <c r="G258" s="34">
        <f>G88/'Data Sheet'!G61</f>
        <v>0.47021120742278111</v>
      </c>
      <c r="H258" s="34">
        <f>H88/'Data Sheet'!H61</f>
        <v>0.46275945354366366</v>
      </c>
      <c r="I258" s="34">
        <f>I88/'Data Sheet'!I61</f>
        <v>0.4039255722048411</v>
      </c>
      <c r="J258" s="34">
        <f>J88/'Data Sheet'!J61</f>
        <v>0.43120621400459358</v>
      </c>
      <c r="K258" s="34">
        <f>K88/'Data Sheet'!K61</f>
        <v>0.39957839903112852</v>
      </c>
      <c r="L258" s="34"/>
      <c r="M258" s="136">
        <f t="shared" si="52"/>
        <v>0.33567016670342509</v>
      </c>
      <c r="N258" s="32">
        <f t="shared" si="53"/>
        <v>0.50067020258208661</v>
      </c>
      <c r="O258" s="32">
        <f t="shared" si="54"/>
        <v>0.41157006174685445</v>
      </c>
    </row>
    <row r="259" spans="1:15" hidden="1">
      <c r="A259" s="41" t="s">
        <v>220</v>
      </c>
      <c r="B259" s="34">
        <f>'Data Sheet'!B82/'Data Sheet'!B61</f>
        <v>0.21431449651933471</v>
      </c>
      <c r="C259" s="34">
        <f>'Data Sheet'!C82/'Data Sheet'!C61</f>
        <v>0.39278087182278798</v>
      </c>
      <c r="D259" s="34">
        <f>'Data Sheet'!D82/'Data Sheet'!D61</f>
        <v>0.40442182039203767</v>
      </c>
      <c r="E259" s="34">
        <f>'Data Sheet'!E82/'Data Sheet'!E61</f>
        <v>0.44078005923658026</v>
      </c>
      <c r="F259" s="34">
        <f>'Data Sheet'!F82/'Data Sheet'!F61</f>
        <v>0.34023803638990818</v>
      </c>
      <c r="G259" s="34">
        <f>'Data Sheet'!G82/'Data Sheet'!G61</f>
        <v>0.351291487172332</v>
      </c>
      <c r="H259" s="34">
        <f>'Data Sheet'!H82/'Data Sheet'!H61</f>
        <v>0.46411049890557771</v>
      </c>
      <c r="I259" s="34">
        <f>'Data Sheet'!I82/'Data Sheet'!I61</f>
        <v>0.30125473406882924</v>
      </c>
      <c r="J259" s="34">
        <f>'Data Sheet'!J82/'Data Sheet'!J61</f>
        <v>0.36826402594554669</v>
      </c>
      <c r="K259" s="34">
        <f>'Data Sheet'!K82/'Data Sheet'!K61</f>
        <v>0.34099512017147804</v>
      </c>
      <c r="L259" s="34"/>
      <c r="M259" s="136">
        <f t="shared" si="52"/>
        <v>0.30113557822822895</v>
      </c>
      <c r="N259" s="32">
        <f t="shared" si="53"/>
        <v>0.42541028889839855</v>
      </c>
      <c r="O259" s="32">
        <f t="shared" si="54"/>
        <v>0.33683796006195132</v>
      </c>
    </row>
    <row r="260" spans="1:15" hidden="1">
      <c r="A260" s="41" t="s">
        <v>219</v>
      </c>
      <c r="B260" s="34">
        <f>'Data Sheet'!B17/'Data Sheet'!B61</f>
        <v>1.7995803748836305</v>
      </c>
      <c r="C260" s="34">
        <f>'Data Sheet'!C17/'Data Sheet'!C61</f>
        <v>2.0565582122468351</v>
      </c>
      <c r="D260" s="34">
        <f>'Data Sheet'!D17/'Data Sheet'!D61</f>
        <v>2.1460897533302941</v>
      </c>
      <c r="E260" s="34">
        <f>'Data Sheet'!E17/'Data Sheet'!E61</f>
        <v>2.1769554172629149</v>
      </c>
      <c r="F260" s="34">
        <f>'Data Sheet'!F17/'Data Sheet'!F61</f>
        <v>2.173241819875658</v>
      </c>
      <c r="G260" s="34">
        <f>'Data Sheet'!G17/'Data Sheet'!G61</f>
        <v>2.3485968920592288</v>
      </c>
      <c r="H260" s="34">
        <f>'Data Sheet'!H17/'Data Sheet'!H61</f>
        <v>2.3879613555740056</v>
      </c>
      <c r="I260" s="34">
        <f>'Data Sheet'!I17/'Data Sheet'!I61</f>
        <v>2.3571941379878147</v>
      </c>
      <c r="J260" s="34">
        <f>'Data Sheet'!J17/'Data Sheet'!J61</f>
        <v>2.2979005805431485</v>
      </c>
      <c r="K260" s="34">
        <f>'Data Sheet'!K17/'Data Sheet'!K61</f>
        <v>2.1091652604855504</v>
      </c>
      <c r="L260" s="34"/>
      <c r="M260" s="136">
        <f t="shared" si="52"/>
        <v>1.7997105217118616</v>
      </c>
      <c r="N260" s="32">
        <f t="shared" si="53"/>
        <v>2.6601057496723222</v>
      </c>
      <c r="O260" s="32">
        <f t="shared" si="54"/>
        <v>2.2547533263388377</v>
      </c>
    </row>
    <row r="261" spans="1:15" s="30" customFormat="1" hidden="1">
      <c r="A261" s="43" t="s">
        <v>221</v>
      </c>
      <c r="B261" s="44">
        <f>('Data Sheet'!B67+'Data Sheet'!B68+'Data Sheet'!B69)/'Data Sheet'!B60</f>
        <v>0.46305962427280462</v>
      </c>
      <c r="C261" s="44">
        <f>('Data Sheet'!C67+'Data Sheet'!C68+'Data Sheet'!C69)/'Data Sheet'!C60</f>
        <v>0.41688351864320417</v>
      </c>
      <c r="D261" s="44">
        <f>('Data Sheet'!D67+'Data Sheet'!D68+'Data Sheet'!D69)/'Data Sheet'!D60</f>
        <v>0.60608724702407113</v>
      </c>
      <c r="E261" s="44">
        <f>('Data Sheet'!E67+'Data Sheet'!E68+'Data Sheet'!E69)/'Data Sheet'!E60</f>
        <v>0.81976978467684003</v>
      </c>
      <c r="F261" s="44">
        <f>('Data Sheet'!F67+'Data Sheet'!F68+'Data Sheet'!F69)/'Data Sheet'!F60</f>
        <v>0.93458013895543834</v>
      </c>
      <c r="G261" s="44">
        <f>('Data Sheet'!G67+'Data Sheet'!G68+'Data Sheet'!G69)/'Data Sheet'!G60</f>
        <v>0.86426261774216229</v>
      </c>
      <c r="H261" s="44">
        <f>('Data Sheet'!H67+'Data Sheet'!H68+'Data Sheet'!H69)/'Data Sheet'!H60</f>
        <v>0.83239755300427387</v>
      </c>
      <c r="I261" s="44">
        <f>('Data Sheet'!I67+'Data Sheet'!I68+'Data Sheet'!I69)/'Data Sheet'!I60</f>
        <v>0.61614599780045087</v>
      </c>
      <c r="J261" s="44">
        <f>('Data Sheet'!J67+'Data Sheet'!J68+'Data Sheet'!J69)/'Data Sheet'!J60</f>
        <v>0.59874914289276282</v>
      </c>
      <c r="K261" s="44">
        <f>('Data Sheet'!K67+'Data Sheet'!K68+'Data Sheet'!K69)/'Data Sheet'!K60</f>
        <v>0.71543880246551217</v>
      </c>
      <c r="L261" s="44"/>
      <c r="M261" s="136">
        <f t="shared" ref="M261:M324" si="65">SUM(D261:K261)/10</f>
        <v>0.59874312845615119</v>
      </c>
      <c r="N261" s="32">
        <f t="shared" ref="N261:N324" si="66">SUM(G261:M261)/5</f>
        <v>0.84514744847226253</v>
      </c>
      <c r="O261" s="32">
        <f t="shared" ref="O261:O324" si="67">SUM(I261:K261)/3</f>
        <v>0.64344464771957532</v>
      </c>
    </row>
    <row r="262" spans="1:15" s="30" customFormat="1" hidden="1">
      <c r="A262" s="43" t="s">
        <v>221</v>
      </c>
      <c r="B262" s="44">
        <f>'Data Sheet'!B65/'Data Sheet'!B60</f>
        <v>0.90671204212559497</v>
      </c>
      <c r="C262" s="44">
        <f>'Data Sheet'!C65/'Data Sheet'!C60</f>
        <v>0.80950994486197303</v>
      </c>
      <c r="D262" s="44">
        <f>'Data Sheet'!D65/'Data Sheet'!D60</f>
        <v>1.0071387125701123</v>
      </c>
      <c r="E262" s="44">
        <f>'Data Sheet'!E65/'Data Sheet'!E60</f>
        <v>1.0990942060724986</v>
      </c>
      <c r="F262" s="44">
        <f>'Data Sheet'!F65/'Data Sheet'!F60</f>
        <v>1.1229336367992333</v>
      </c>
      <c r="G262" s="44">
        <f>'Data Sheet'!G65/'Data Sheet'!G60</f>
        <v>1.0907071559117112</v>
      </c>
      <c r="H262" s="44">
        <f>'Data Sheet'!H65/'Data Sheet'!H60</f>
        <v>1.071650046090673</v>
      </c>
      <c r="I262" s="44">
        <f>'Data Sheet'!I65/'Data Sheet'!I60</f>
        <v>0.85335975696070221</v>
      </c>
      <c r="J262" s="44">
        <f>'Data Sheet'!J65/'Data Sheet'!J60</f>
        <v>0.80305234068194575</v>
      </c>
      <c r="K262" s="44">
        <f>'Data Sheet'!K65/'Data Sheet'!K60</f>
        <v>0.89814038324458045</v>
      </c>
      <c r="L262" s="44"/>
      <c r="M262" s="136">
        <f t="shared" si="65"/>
        <v>0.79460762383314587</v>
      </c>
      <c r="N262" s="32">
        <f t="shared" si="66"/>
        <v>1.1023034613445517</v>
      </c>
      <c r="O262" s="32">
        <f t="shared" si="67"/>
        <v>0.85151749362907614</v>
      </c>
    </row>
    <row r="263" spans="1:15" s="29" customFormat="1" hidden="1">
      <c r="A263" s="42" t="s">
        <v>226</v>
      </c>
      <c r="B263" s="34">
        <f>'Data Sheet'!B67/'Data Sheet'!B61</f>
        <v>1.2963915018966498E-2</v>
      </c>
      <c r="C263" s="34">
        <f>'Data Sheet'!C67/'Data Sheet'!C61</f>
        <v>1.2827491869408037E-2</v>
      </c>
      <c r="D263" s="34">
        <f>'Data Sheet'!D67/'Data Sheet'!D61</f>
        <v>1.4106265511826976E-2</v>
      </c>
      <c r="E263" s="34">
        <f>'Data Sheet'!E67/'Data Sheet'!E61</f>
        <v>1.0837853727800148E-2</v>
      </c>
      <c r="F263" s="34">
        <f>'Data Sheet'!F67/'Data Sheet'!F61</f>
        <v>7.1582029393311403E-2</v>
      </c>
      <c r="G263" s="34">
        <f>'Data Sheet'!G67/'Data Sheet'!G61</f>
        <v>7.610269110696409E-2</v>
      </c>
      <c r="H263" s="34">
        <f>'Data Sheet'!H67/'Data Sheet'!H61</f>
        <v>6.1295192089969044E-2</v>
      </c>
      <c r="I263" s="34">
        <f>'Data Sheet'!I67/'Data Sheet'!I61</f>
        <v>3.6048081672978759E-2</v>
      </c>
      <c r="J263" s="34">
        <f>'Data Sheet'!J67/'Data Sheet'!J61</f>
        <v>4.0187897464307565E-2</v>
      </c>
      <c r="K263" s="34">
        <f>'Data Sheet'!K67/'Data Sheet'!K61</f>
        <v>5.1453560551932426E-2</v>
      </c>
      <c r="L263" s="34"/>
      <c r="M263" s="136">
        <f t="shared" si="65"/>
        <v>3.6161357151909032E-2</v>
      </c>
      <c r="N263" s="32">
        <f t="shared" si="66"/>
        <v>6.024975600761219E-2</v>
      </c>
      <c r="O263" s="32">
        <f t="shared" si="67"/>
        <v>4.2563179896406254E-2</v>
      </c>
    </row>
    <row r="264" spans="1:15" s="29" customFormat="1" hidden="1">
      <c r="A264" s="42" t="s">
        <v>227</v>
      </c>
      <c r="B264" s="34">
        <f>('Data Sheet'!B61-'Data Sheet'!B62-'Data Sheet'!B69)/'Data Sheet'!B61</f>
        <v>0.61176339812975022</v>
      </c>
      <c r="C264" s="34">
        <f>('Data Sheet'!C61-'Data Sheet'!C62-'Data Sheet'!C69)/'Data Sheet'!C61</f>
        <v>0.53148248956632194</v>
      </c>
      <c r="D264" s="34">
        <f>('Data Sheet'!D61-'Data Sheet'!D62-'Data Sheet'!D69)/'Data Sheet'!D61</f>
        <v>0.46174593526819629</v>
      </c>
      <c r="E264" s="34">
        <f>('Data Sheet'!E61-'Data Sheet'!E62-'Data Sheet'!E69)/'Data Sheet'!E61</f>
        <v>0.3404883135323416</v>
      </c>
      <c r="F264" s="34">
        <f>('Data Sheet'!F61-'Data Sheet'!F62-'Data Sheet'!F69)/'Data Sheet'!F61</f>
        <v>0.38190391086944131</v>
      </c>
      <c r="G264" s="34">
        <f>('Data Sheet'!G61-'Data Sheet'!G62-'Data Sheet'!G69)/'Data Sheet'!G61</f>
        <v>0.50797914086889795</v>
      </c>
      <c r="H264" s="34">
        <f>('Data Sheet'!H61-'Data Sheet'!H62-'Data Sheet'!H69)/'Data Sheet'!H61</f>
        <v>0.46451807683598761</v>
      </c>
      <c r="I264" s="34">
        <f>('Data Sheet'!I61-'Data Sheet'!I62-'Data Sheet'!I69)/'Data Sheet'!I61</f>
        <v>0.44588177177671662</v>
      </c>
      <c r="J264" s="34">
        <f>('Data Sheet'!J61-'Data Sheet'!J62-'Data Sheet'!J69)/'Data Sheet'!J61</f>
        <v>0.40212711932873973</v>
      </c>
      <c r="K264" s="34">
        <f>('Data Sheet'!K61-'Data Sheet'!K62-'Data Sheet'!K69)/'Data Sheet'!K61</f>
        <v>0.34305245182246141</v>
      </c>
      <c r="L264" s="34"/>
      <c r="M264" s="136">
        <f t="shared" si="65"/>
        <v>0.3347696720302783</v>
      </c>
      <c r="N264" s="32">
        <f t="shared" si="66"/>
        <v>0.4996656465326163</v>
      </c>
      <c r="O264" s="32">
        <f t="shared" si="67"/>
        <v>0.39702044764263927</v>
      </c>
    </row>
    <row r="265" spans="1:15" s="29" customFormat="1" hidden="1">
      <c r="A265" s="42" t="s">
        <v>229</v>
      </c>
      <c r="B265" s="34">
        <f>('Data Sheet'!B62+'Data Sheet'!B69)/'Data Sheet'!B61</f>
        <v>0.38823660187024961</v>
      </c>
      <c r="C265" s="34">
        <f>('Data Sheet'!C62+'Data Sheet'!C69)/'Data Sheet'!C61</f>
        <v>0.46851751043367806</v>
      </c>
      <c r="D265" s="34">
        <f>('Data Sheet'!D62+'Data Sheet'!D69)/'Data Sheet'!D61</f>
        <v>0.53825406473180371</v>
      </c>
      <c r="E265" s="34">
        <f>('Data Sheet'!E62+'Data Sheet'!E69)/'Data Sheet'!E61</f>
        <v>0.65951168646765834</v>
      </c>
      <c r="F265" s="34">
        <f>('Data Sheet'!F62+'Data Sheet'!F69)/'Data Sheet'!F61</f>
        <v>0.6180960891305588</v>
      </c>
      <c r="G265" s="34">
        <f>('Data Sheet'!G62+'Data Sheet'!G69)/'Data Sheet'!G61</f>
        <v>0.49202085913110211</v>
      </c>
      <c r="H265" s="34">
        <f>('Data Sheet'!H62+'Data Sheet'!H69)/'Data Sheet'!H61</f>
        <v>0.53548192316401233</v>
      </c>
      <c r="I265" s="34">
        <f>('Data Sheet'!I62+'Data Sheet'!I69)/'Data Sheet'!I61</f>
        <v>0.55411822822328338</v>
      </c>
      <c r="J265" s="34">
        <f>('Data Sheet'!J62+'Data Sheet'!J69)/'Data Sheet'!J61</f>
        <v>0.59787288067126021</v>
      </c>
      <c r="K265" s="34">
        <f>('Data Sheet'!K62+'Data Sheet'!K69)/'Data Sheet'!K61</f>
        <v>0.65694754817753864</v>
      </c>
      <c r="L265" s="34"/>
      <c r="M265" s="136">
        <f t="shared" si="65"/>
        <v>0.46523032796972175</v>
      </c>
      <c r="N265" s="32">
        <f t="shared" si="66"/>
        <v>0.66033435346738367</v>
      </c>
      <c r="O265" s="32">
        <f t="shared" si="67"/>
        <v>0.60297955235736078</v>
      </c>
    </row>
    <row r="266" spans="1:15" s="29" customFormat="1" hidden="1">
      <c r="A266" s="42" t="s">
        <v>228</v>
      </c>
      <c r="B266" s="34">
        <f>'Data Sheet'!B62/'Data Sheet'!B61</f>
        <v>0.23300309855632284</v>
      </c>
      <c r="C266" s="34">
        <f>'Data Sheet'!C62/'Data Sheet'!C61</f>
        <v>0.26715799170888993</v>
      </c>
      <c r="D266" s="34">
        <f>'Data Sheet'!D62/'Data Sheet'!D61</f>
        <v>0.22024261763663069</v>
      </c>
      <c r="E266" s="34">
        <f>'Data Sheet'!E62/'Data Sheet'!E61</f>
        <v>0.27394145118528623</v>
      </c>
      <c r="F266" s="34">
        <f>'Data Sheet'!F62/'Data Sheet'!F61</f>
        <v>0.24245679411373272</v>
      </c>
      <c r="G266" s="34">
        <f>'Data Sheet'!G62/'Data Sheet'!G61</f>
        <v>0.22186371801803373</v>
      </c>
      <c r="H266" s="34">
        <f>'Data Sheet'!H62/'Data Sheet'!H61</f>
        <v>0.21183485546078951</v>
      </c>
      <c r="I266" s="34">
        <f>'Data Sheet'!I62/'Data Sheet'!I61</f>
        <v>0.36615181952906306</v>
      </c>
      <c r="J266" s="34">
        <f>'Data Sheet'!J62/'Data Sheet'!J61</f>
        <v>0.45103470563115317</v>
      </c>
      <c r="K266" s="34">
        <f>'Data Sheet'!K62/'Data Sheet'!K61</f>
        <v>0.51085673168037371</v>
      </c>
      <c r="L266" s="34"/>
      <c r="M266" s="136">
        <f t="shared" si="65"/>
        <v>0.24983826932550629</v>
      </c>
      <c r="N266" s="32">
        <f t="shared" si="66"/>
        <v>0.40231601992898386</v>
      </c>
      <c r="O266" s="32">
        <f t="shared" si="67"/>
        <v>0.44268108561352992</v>
      </c>
    </row>
    <row r="267" spans="1:15" s="29" customFormat="1" hidden="1">
      <c r="A267" s="42" t="s">
        <v>230</v>
      </c>
      <c r="B267" s="34">
        <f>('Data Sheet'!B57+'Data Sheet'!B58)/'Data Sheet'!B61</f>
        <v>0.38977893259597879</v>
      </c>
      <c r="C267" s="34">
        <f>('Data Sheet'!C57+'Data Sheet'!C58)/'Data Sheet'!C61</f>
        <v>0.22641430425861567</v>
      </c>
      <c r="D267" s="34">
        <f>('Data Sheet'!D57+'Data Sheet'!D58)/'Data Sheet'!D61</f>
        <v>0.27389454490199056</v>
      </c>
      <c r="E267" s="34">
        <f>('Data Sheet'!E57+'Data Sheet'!E58)/'Data Sheet'!E61</f>
        <v>0.36175358026334764</v>
      </c>
      <c r="F267" s="34">
        <f>('Data Sheet'!F57+'Data Sheet'!F58)/'Data Sheet'!F61</f>
        <v>0.36508736239709488</v>
      </c>
      <c r="G267" s="34">
        <f>('Data Sheet'!G57+'Data Sheet'!G58)/'Data Sheet'!G61</f>
        <v>0.37967629977152628</v>
      </c>
      <c r="H267" s="34">
        <f>('Data Sheet'!H57+'Data Sheet'!H58)/'Data Sheet'!H61</f>
        <v>0.36952977583213825</v>
      </c>
      <c r="I267" s="34">
        <f>('Data Sheet'!I57+'Data Sheet'!I58)/'Data Sheet'!I61</f>
        <v>0.39511279433558372</v>
      </c>
      <c r="J267" s="34">
        <f>('Data Sheet'!J57+'Data Sheet'!J58)/'Data Sheet'!J61</f>
        <v>0.44453677735073815</v>
      </c>
      <c r="K267" s="34">
        <f>('Data Sheet'!K57+'Data Sheet'!K58)/'Data Sheet'!K61</f>
        <v>0.51659800448964488</v>
      </c>
      <c r="L267" s="34"/>
      <c r="M267" s="136">
        <f t="shared" si="65"/>
        <v>0.31061891393420649</v>
      </c>
      <c r="N267" s="32">
        <f t="shared" si="66"/>
        <v>0.48321451314276748</v>
      </c>
      <c r="O267" s="32">
        <f t="shared" si="67"/>
        <v>0.4520825253919889</v>
      </c>
    </row>
    <row r="268" spans="1:15" s="29" customFormat="1" hidden="1">
      <c r="A268" s="42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136">
        <f t="shared" si="65"/>
        <v>0</v>
      </c>
      <c r="N268" s="32">
        <f t="shared" si="66"/>
        <v>0</v>
      </c>
      <c r="O268" s="32">
        <f t="shared" si="67"/>
        <v>0</v>
      </c>
    </row>
    <row r="269" spans="1:15" ht="18" hidden="1">
      <c r="A269" s="118" t="s">
        <v>145</v>
      </c>
      <c r="B269" s="46"/>
      <c r="C269" s="69"/>
      <c r="D269" s="46"/>
      <c r="E269" s="46"/>
      <c r="F269" s="46"/>
      <c r="G269" s="46"/>
      <c r="H269" s="46"/>
      <c r="I269" s="46"/>
      <c r="J269" s="46"/>
      <c r="K269" s="46"/>
      <c r="L269" s="46"/>
      <c r="M269" s="136">
        <f t="shared" si="65"/>
        <v>0</v>
      </c>
      <c r="N269" s="32">
        <f t="shared" si="66"/>
        <v>0</v>
      </c>
      <c r="O269" s="32">
        <f t="shared" si="67"/>
        <v>0</v>
      </c>
    </row>
    <row r="270" spans="1:15" s="18" customFormat="1" hidden="1">
      <c r="A270" s="147" t="s">
        <v>107</v>
      </c>
      <c r="B270" s="141">
        <f>'Data Sheet'!B59/'Data Sheet'!B30</f>
        <v>2.6721608291190614E-2</v>
      </c>
      <c r="C270" s="141">
        <f>'Data Sheet'!C59/'Data Sheet'!C30</f>
        <v>2.0240818264209572E-2</v>
      </c>
      <c r="D270" s="141">
        <f>'Data Sheet'!D59/'Data Sheet'!D30</f>
        <v>1.6160154365653642E-2</v>
      </c>
      <c r="E270" s="141">
        <f>'Data Sheet'!E59/'Data Sheet'!E30</f>
        <v>1.0844398242215187E-2</v>
      </c>
      <c r="F270" s="141">
        <f>'Data Sheet'!F59/'Data Sheet'!F30</f>
        <v>1.2419891698544391E-4</v>
      </c>
      <c r="G270" s="141">
        <f>'Data Sheet'!G59/'Data Sheet'!G30</f>
        <v>1.1198960736443658E-4</v>
      </c>
      <c r="H270" s="141">
        <f>'Data Sheet'!H59/'Data Sheet'!H30</f>
        <v>0</v>
      </c>
      <c r="I270" s="141">
        <f>'Data Sheet'!I59/'Data Sheet'!I30</f>
        <v>0</v>
      </c>
      <c r="J270" s="141">
        <f>'Data Sheet'!J59/'Data Sheet'!J30</f>
        <v>0</v>
      </c>
      <c r="K270" s="141">
        <f>'Data Sheet'!K59/'Data Sheet'!K30</f>
        <v>0</v>
      </c>
      <c r="L270" s="141"/>
      <c r="M270" s="136">
        <f t="shared" si="65"/>
        <v>2.7240741132218711E-3</v>
      </c>
      <c r="N270" s="32">
        <f t="shared" si="66"/>
        <v>5.672127441172615E-4</v>
      </c>
      <c r="O270" s="32">
        <f t="shared" si="67"/>
        <v>0</v>
      </c>
    </row>
    <row r="271" spans="1:15" s="18" customFormat="1" hidden="1">
      <c r="A271" s="147" t="s">
        <v>108</v>
      </c>
      <c r="B271" s="141">
        <f>'Data Sheet'!B60/'Data Sheet'!B30</f>
        <v>2.7151776237747396</v>
      </c>
      <c r="C271" s="141">
        <f>'Data Sheet'!C60/'Data Sheet'!C30</f>
        <v>2.3716283285140909</v>
      </c>
      <c r="D271" s="141">
        <f>'Data Sheet'!D60/'Data Sheet'!D30</f>
        <v>1.9596512990145405</v>
      </c>
      <c r="E271" s="141">
        <f>'Data Sheet'!E60/'Data Sheet'!E30</f>
        <v>1.348509190568445</v>
      </c>
      <c r="F271" s="141">
        <f>'Data Sheet'!F60/'Data Sheet'!F30</f>
        <v>1.6589000943911771</v>
      </c>
      <c r="G271" s="141">
        <f>'Data Sheet'!G60/'Data Sheet'!G30</f>
        <v>1.5931641543664745</v>
      </c>
      <c r="H271" s="141">
        <f>'Data Sheet'!H60/'Data Sheet'!H30</f>
        <v>1.6815500754906894</v>
      </c>
      <c r="I271" s="141">
        <f>'Data Sheet'!I60/'Data Sheet'!I30</f>
        <v>1.7010947079852556</v>
      </c>
      <c r="J271" s="141">
        <f>'Data Sheet'!J60/'Data Sheet'!J30</f>
        <v>1.7219578518014955</v>
      </c>
      <c r="K271" s="141">
        <f>'Data Sheet'!K60/'Data Sheet'!K30</f>
        <v>1.6547154429238002</v>
      </c>
      <c r="L271" s="141"/>
      <c r="M271" s="136">
        <f t="shared" si="65"/>
        <v>1.3319542816541878</v>
      </c>
      <c r="N271" s="32">
        <f t="shared" si="66"/>
        <v>1.9368873028443807</v>
      </c>
      <c r="O271" s="32">
        <f t="shared" si="67"/>
        <v>1.6925893342368505</v>
      </c>
    </row>
    <row r="272" spans="1:15" s="18" customFormat="1" hidden="1">
      <c r="A272" s="147" t="s">
        <v>109</v>
      </c>
      <c r="B272" s="141">
        <f>B270+B271</f>
        <v>2.7418992320659301</v>
      </c>
      <c r="C272" s="141">
        <f t="shared" ref="C272:K272" si="68">C270+C271</f>
        <v>2.3918691467783004</v>
      </c>
      <c r="D272" s="141">
        <f t="shared" si="68"/>
        <v>1.975811453380194</v>
      </c>
      <c r="E272" s="141">
        <f t="shared" si="68"/>
        <v>1.3593535888106603</v>
      </c>
      <c r="F272" s="141">
        <f t="shared" si="68"/>
        <v>1.6590242933081625</v>
      </c>
      <c r="G272" s="141">
        <f t="shared" si="68"/>
        <v>1.593276143973839</v>
      </c>
      <c r="H272" s="141">
        <f t="shared" si="68"/>
        <v>1.6815500754906894</v>
      </c>
      <c r="I272" s="141">
        <f t="shared" si="68"/>
        <v>1.7010947079852556</v>
      </c>
      <c r="J272" s="141">
        <f t="shared" si="68"/>
        <v>1.7219578518014955</v>
      </c>
      <c r="K272" s="141">
        <f t="shared" si="68"/>
        <v>1.6547154429238002</v>
      </c>
      <c r="L272" s="141"/>
      <c r="M272" s="136">
        <f t="shared" si="65"/>
        <v>1.3346783557674096</v>
      </c>
      <c r="N272" s="32">
        <f t="shared" si="66"/>
        <v>1.9374545155884981</v>
      </c>
      <c r="O272" s="32">
        <f t="shared" si="67"/>
        <v>1.6925893342368505</v>
      </c>
    </row>
    <row r="273" spans="1:15" s="18" customFormat="1" hidden="1">
      <c r="A273" s="147" t="s">
        <v>110</v>
      </c>
      <c r="B273" s="141">
        <f>'Data Sheet'!B59/('Data Sheet'!B57+'Data Sheet'!B58)</f>
        <v>1.5257379153001571E-2</v>
      </c>
      <c r="C273" s="141">
        <f>'Data Sheet'!C59/('Data Sheet'!C57+'Data Sheet'!C58)</f>
        <v>2.8913137291165774E-2</v>
      </c>
      <c r="D273" s="141">
        <f>'Data Sheet'!D59/('Data Sheet'!D57+'Data Sheet'!D58)</f>
        <v>2.1682847896440132E-2</v>
      </c>
      <c r="E273" s="141">
        <f>'Data Sheet'!E59/('Data Sheet'!E57+'Data Sheet'!E58)</f>
        <v>1.4075005366287448E-2</v>
      </c>
      <c r="F273" s="141">
        <f>'Data Sheet'!F59/('Data Sheet'!F57+'Data Sheet'!F58)</f>
        <v>1.3019138133055593E-4</v>
      </c>
      <c r="G273" s="141">
        <f>'Data Sheet'!G59/('Data Sheet'!G57+'Data Sheet'!G58)</f>
        <v>1.1483956912193665E-4</v>
      </c>
      <c r="H273" s="141">
        <f>'Data Sheet'!H59/('Data Sheet'!H57+'Data Sheet'!H58)</f>
        <v>0</v>
      </c>
      <c r="I273" s="141">
        <f>'Data Sheet'!I59/('Data Sheet'!I57+'Data Sheet'!I58)</f>
        <v>0</v>
      </c>
      <c r="J273" s="141">
        <f>'Data Sheet'!J59/('Data Sheet'!J57+'Data Sheet'!J58)</f>
        <v>0</v>
      </c>
      <c r="K273" s="141">
        <f>'Data Sheet'!K59/('Data Sheet'!K57+'Data Sheet'!K58)</f>
        <v>0</v>
      </c>
      <c r="L273" s="141"/>
      <c r="M273" s="136">
        <f t="shared" si="65"/>
        <v>3.6002884213180075E-3</v>
      </c>
      <c r="N273" s="32">
        <f t="shared" si="66"/>
        <v>7.4302559808798877E-4</v>
      </c>
      <c r="O273" s="32">
        <f t="shared" si="67"/>
        <v>0</v>
      </c>
    </row>
    <row r="274" spans="1:15" s="18" customFormat="1" hidden="1">
      <c r="A274" s="147" t="s">
        <v>111</v>
      </c>
      <c r="B274" s="176">
        <f>B88/'Data Sheet'!B27</f>
        <v>138.35714285714286</v>
      </c>
      <c r="C274" s="176">
        <f>C88/'Data Sheet'!C27</f>
        <v>144.9375</v>
      </c>
      <c r="D274" s="176">
        <f>D88/'Data Sheet'!D27</f>
        <v>216.95454545454547</v>
      </c>
      <c r="E274" s="176">
        <f>E88/'Data Sheet'!E27</f>
        <v>258.56</v>
      </c>
      <c r="F274" s="176">
        <f>F88/'Data Sheet'!F27</f>
        <v>298.3291925465839</v>
      </c>
      <c r="G274" s="176">
        <f>G88/'Data Sheet'!G27</f>
        <v>357.09271523178808</v>
      </c>
      <c r="H274" s="176" t="e">
        <f>H88/'Data Sheet'!H27</f>
        <v>#DIV/0!</v>
      </c>
      <c r="I274" s="176" t="e">
        <f>I88/'Data Sheet'!I27</f>
        <v>#DIV/0!</v>
      </c>
      <c r="J274" s="176" t="e">
        <f>J88/'Data Sheet'!J27</f>
        <v>#DIV/0!</v>
      </c>
      <c r="K274" s="176" t="e">
        <f>K88/'Data Sheet'!K27</f>
        <v>#DIV/0!</v>
      </c>
      <c r="L274" s="176" t="e">
        <f>L725</f>
        <v>#DIV/0!</v>
      </c>
      <c r="M274" s="136" t="e">
        <f t="shared" si="65"/>
        <v>#DIV/0!</v>
      </c>
      <c r="N274" s="32" t="e">
        <f t="shared" si="66"/>
        <v>#DIV/0!</v>
      </c>
      <c r="O274" s="32" t="e">
        <f t="shared" si="67"/>
        <v>#DIV/0!</v>
      </c>
    </row>
    <row r="275" spans="1:15" s="18" customFormat="1" hidden="1">
      <c r="A275" s="147" t="s">
        <v>235</v>
      </c>
      <c r="B275" s="176">
        <f>B239/'Data Sheet'!B27</f>
        <v>157.38775510204084</v>
      </c>
      <c r="C275" s="176">
        <f>C239/'Data Sheet'!C27</f>
        <v>195.41666666666666</v>
      </c>
      <c r="D275" s="176">
        <f>D239/'Data Sheet'!D27</f>
        <v>290.34545454545452</v>
      </c>
      <c r="E275" s="176">
        <f>E239/'Data Sheet'!E27</f>
        <v>264.90000000000003</v>
      </c>
      <c r="F275" s="176">
        <f>F239/'Data Sheet'!F27</f>
        <v>222.30434782608697</v>
      </c>
      <c r="G275" s="176">
        <f>G239/'Data Sheet'!G27</f>
        <v>266.78145695364236</v>
      </c>
      <c r="H275" s="176" t="e">
        <f>H239/'Data Sheet'!H27</f>
        <v>#DIV/0!</v>
      </c>
      <c r="I275" s="176" t="e">
        <f>I239/'Data Sheet'!I27</f>
        <v>#DIV/0!</v>
      </c>
      <c r="J275" s="176" t="e">
        <f>J239/'Data Sheet'!J27</f>
        <v>#DIV/0!</v>
      </c>
      <c r="K275" s="176" t="e">
        <f>K239/'Data Sheet'!K27</f>
        <v>#DIV/0!</v>
      </c>
      <c r="L275" s="176"/>
      <c r="M275" s="136" t="e">
        <f t="shared" si="65"/>
        <v>#DIV/0!</v>
      </c>
      <c r="N275" s="32" t="e">
        <f t="shared" si="66"/>
        <v>#DIV/0!</v>
      </c>
      <c r="O275" s="32" t="e">
        <f t="shared" si="67"/>
        <v>#DIV/0!</v>
      </c>
    </row>
    <row r="276" spans="1:15" s="18" customFormat="1" hidden="1">
      <c r="A276" s="147" t="s">
        <v>268</v>
      </c>
      <c r="B276" s="176">
        <f>'Data Sheet'!B59/'Data Sheet'!B82</f>
        <v>2.7748962655601658E-2</v>
      </c>
      <c r="C276" s="176">
        <f>'Data Sheet'!C59/'Data Sheet'!C82</f>
        <v>1.666666666666667E-2</v>
      </c>
      <c r="D276" s="176">
        <f>'Data Sheet'!D59/'Data Sheet'!D82</f>
        <v>1.4684701609368153E-2</v>
      </c>
      <c r="E276" s="176">
        <f>'Data Sheet'!E59/'Data Sheet'!E82</f>
        <v>1.1551528878822196E-2</v>
      </c>
      <c r="F276" s="176">
        <f>'Data Sheet'!F59/'Data Sheet'!F82</f>
        <v>1.3969992456204074E-4</v>
      </c>
      <c r="G276" s="176">
        <f>'Data Sheet'!G59/'Data Sheet'!G82</f>
        <v>1.2411875682653164E-4</v>
      </c>
      <c r="H276" s="176">
        <f>'Data Sheet'!H59/'Data Sheet'!H82</f>
        <v>0</v>
      </c>
      <c r="I276" s="176">
        <f>'Data Sheet'!I59/'Data Sheet'!I82</f>
        <v>0</v>
      </c>
      <c r="J276" s="176">
        <f>'Data Sheet'!J59/'Data Sheet'!J82</f>
        <v>0</v>
      </c>
      <c r="K276" s="176">
        <f>'Data Sheet'!K59/'Data Sheet'!K82</f>
        <v>0</v>
      </c>
      <c r="L276" s="176"/>
      <c r="M276" s="136">
        <f t="shared" si="65"/>
        <v>2.6500049169578921E-3</v>
      </c>
      <c r="N276" s="32">
        <f t="shared" si="66"/>
        <v>5.5482473475688466E-4</v>
      </c>
      <c r="O276" s="32">
        <f t="shared" si="67"/>
        <v>0</v>
      </c>
    </row>
    <row r="277" spans="1:15" s="18" customFormat="1" hidden="1">
      <c r="A277" s="147" t="s">
        <v>262</v>
      </c>
      <c r="B277" s="176">
        <f>'Data Sheet'!B59/Customization!B88</f>
        <v>3.156574968655506E-2</v>
      </c>
      <c r="C277" s="176">
        <f>'Data Sheet'!C59/Customization!C88</f>
        <v>2.2471371759858177E-2</v>
      </c>
      <c r="D277" s="176">
        <f>'Data Sheet'!D59/Customization!D88</f>
        <v>1.9652210349884767E-2</v>
      </c>
      <c r="E277" s="176">
        <f>'Data Sheet'!E59/Customization!E88</f>
        <v>1.1834777227722771E-2</v>
      </c>
      <c r="F277" s="176">
        <f>'Data Sheet'!F59/Customization!F88</f>
        <v>1.0409943578105806E-4</v>
      </c>
      <c r="G277" s="176">
        <f>'Data Sheet'!G59/Customization!G88</f>
        <v>9.2728250588824387E-5</v>
      </c>
      <c r="H277" s="176">
        <f>'Data Sheet'!H59/Customization!H88</f>
        <v>0</v>
      </c>
      <c r="I277" s="176">
        <f>'Data Sheet'!I59/Customization!I88</f>
        <v>0</v>
      </c>
      <c r="J277" s="176">
        <f>'Data Sheet'!J59/Customization!J88</f>
        <v>0</v>
      </c>
      <c r="K277" s="176">
        <f>'Data Sheet'!K59/Customization!K88</f>
        <v>0</v>
      </c>
      <c r="L277" s="176"/>
      <c r="M277" s="136">
        <f t="shared" si="65"/>
        <v>3.1683815263977427E-3</v>
      </c>
      <c r="N277" s="32">
        <f t="shared" si="66"/>
        <v>6.5222195539731337E-4</v>
      </c>
      <c r="O277" s="32">
        <f t="shared" si="67"/>
        <v>0</v>
      </c>
    </row>
    <row r="278" spans="1:15" s="18" customFormat="1" hidden="1">
      <c r="A278" s="147" t="s">
        <v>265</v>
      </c>
      <c r="B278" s="176">
        <f>'Data Sheet'!B59/Customization!B89</f>
        <v>2.8372555518727215E-2</v>
      </c>
      <c r="C278" s="176">
        <f>'Data Sheet'!C59/Customization!C89</f>
        <v>2.0520673813169986E-2</v>
      </c>
      <c r="D278" s="176">
        <f>'Data Sheet'!D59/Customization!D89</f>
        <v>1.7928134556574923E-2</v>
      </c>
      <c r="E278" s="176">
        <f>'Data Sheet'!E59/Customization!E89</f>
        <v>1.0789591217883922E-2</v>
      </c>
      <c r="F278" s="176">
        <f>'Data Sheet'!F59/Customization!F89</f>
        <v>9.717039800995024E-5</v>
      </c>
      <c r="G278" s="176">
        <f>'Data Sheet'!G59/Customization!G89</f>
        <v>8.6427435525133106E-5</v>
      </c>
      <c r="H278" s="176">
        <f>'Data Sheet'!H59/Customization!H89</f>
        <v>0</v>
      </c>
      <c r="I278" s="176">
        <f>'Data Sheet'!I59/Customization!I89</f>
        <v>0</v>
      </c>
      <c r="J278" s="176">
        <f>'Data Sheet'!J59/Customization!J89</f>
        <v>0</v>
      </c>
      <c r="K278" s="176">
        <f>'Data Sheet'!K59/Customization!K89</f>
        <v>0</v>
      </c>
      <c r="L278" s="176"/>
      <c r="M278" s="136">
        <f t="shared" si="65"/>
        <v>2.8901323607993931E-3</v>
      </c>
      <c r="N278" s="32">
        <f t="shared" si="66"/>
        <v>5.953119592649052E-4</v>
      </c>
      <c r="O278" s="32">
        <f t="shared" si="67"/>
        <v>0</v>
      </c>
    </row>
    <row r="279" spans="1:15" s="18" customFormat="1" hidden="1">
      <c r="A279" s="147" t="s">
        <v>263</v>
      </c>
      <c r="B279" s="45">
        <f>'Data Sheet'!B82/Customization!B88</f>
        <v>1.1375470167416477</v>
      </c>
      <c r="C279" s="45">
        <f>'Data Sheet'!C82/Customization!C88</f>
        <v>1.3482823055914903</v>
      </c>
      <c r="D279" s="45">
        <f>'Data Sheet'!D82/Customization!D88</f>
        <v>1.3382778126964172</v>
      </c>
      <c r="E279" s="45">
        <f>'Data Sheet'!E82/Customization!E88</f>
        <v>1.0245204207920793</v>
      </c>
      <c r="F279" s="45">
        <f>'Data Sheet'!F82/Customization!F88</f>
        <v>0.7451645812079698</v>
      </c>
      <c r="G279" s="45">
        <f>'Data Sheet'!G82/Customization!G88</f>
        <v>0.74709296934404024</v>
      </c>
      <c r="H279" s="45">
        <f>'Data Sheet'!H82/Customization!H88</f>
        <v>1.0029195413547323</v>
      </c>
      <c r="I279" s="45">
        <f>'Data Sheet'!I82/Customization!I88</f>
        <v>0.74581743469327855</v>
      </c>
      <c r="J279" s="45">
        <f>'Data Sheet'!J82/Customization!J88</f>
        <v>0.85403227964990225</v>
      </c>
      <c r="K279" s="45">
        <f>'Data Sheet'!K82/Customization!K88</f>
        <v>0.85338727268115755</v>
      </c>
      <c r="L279" s="45"/>
      <c r="M279" s="136">
        <f t="shared" si="65"/>
        <v>0.73112123124195771</v>
      </c>
      <c r="N279" s="32">
        <f t="shared" si="66"/>
        <v>0.98687414579301369</v>
      </c>
      <c r="O279" s="32">
        <f t="shared" si="67"/>
        <v>0.81774566234144608</v>
      </c>
    </row>
    <row r="280" spans="1:15" s="18" customFormat="1" hidden="1">
      <c r="A280" s="147" t="s">
        <v>266</v>
      </c>
      <c r="B280" s="45">
        <f>'Data Sheet'!B82/Customization!B89</f>
        <v>1.0224726549552536</v>
      </c>
      <c r="C280" s="45">
        <f>'Data Sheet'!C82/Customization!C89</f>
        <v>1.231240428790199</v>
      </c>
      <c r="D280" s="45">
        <f>'Data Sheet'!D82/Customization!D89</f>
        <v>1.2208715596330273</v>
      </c>
      <c r="E280" s="45">
        <f>'Data Sheet'!E82/Customization!E89</f>
        <v>0.9340401024893632</v>
      </c>
      <c r="F280" s="45">
        <f>'Data Sheet'!F82/Customization!F89</f>
        <v>0.69556514303482586</v>
      </c>
      <c r="G280" s="45">
        <f>'Data Sheet'!G82/Customization!G89</f>
        <v>0.6963285625388923</v>
      </c>
      <c r="H280" s="45">
        <f>'Data Sheet'!H82/Customization!H89</f>
        <v>0.93619159269804042</v>
      </c>
      <c r="I280" s="45">
        <f>'Data Sheet'!I82/Customization!I89</f>
        <v>0.68881492748603179</v>
      </c>
      <c r="J280" s="45">
        <f>'Data Sheet'!J82/Customization!J89</f>
        <v>0.77611159758707915</v>
      </c>
      <c r="K280" s="45">
        <f>'Data Sheet'!K82/Customization!K89</f>
        <v>0.74774154119673319</v>
      </c>
      <c r="L280" s="45"/>
      <c r="M280" s="136">
        <f t="shared" si="65"/>
        <v>0.66956650266639939</v>
      </c>
      <c r="N280" s="32">
        <f t="shared" si="66"/>
        <v>0.90295094483463534</v>
      </c>
      <c r="O280" s="32">
        <f t="shared" si="67"/>
        <v>0.73755602208994808</v>
      </c>
    </row>
    <row r="281" spans="1:15" s="18" customFormat="1" hidden="1">
      <c r="A281" s="147" t="s">
        <v>264</v>
      </c>
      <c r="B281" s="45">
        <f t="shared" ref="B281:K281" si="69">B88/B287</f>
        <v>0.28567515749109834</v>
      </c>
      <c r="C281" s="45">
        <f t="shared" si="69"/>
        <v>0.41777092757916656</v>
      </c>
      <c r="D281" s="45">
        <f t="shared" si="69"/>
        <v>0.47706146926536735</v>
      </c>
      <c r="E281" s="45">
        <f t="shared" si="69"/>
        <v>0.72780498789618864</v>
      </c>
      <c r="F281" s="45">
        <f t="shared" si="69"/>
        <v>0.77713777202491707</v>
      </c>
      <c r="G281" s="45">
        <f t="shared" si="69"/>
        <v>0.6826998556633157</v>
      </c>
      <c r="H281" s="45">
        <f t="shared" si="69"/>
        <v>0.72217248934014922</v>
      </c>
      <c r="I281" s="45">
        <f t="shared" si="69"/>
        <v>0.51287069095288285</v>
      </c>
      <c r="J281" s="45">
        <f t="shared" si="69"/>
        <v>0.51844194049733583</v>
      </c>
      <c r="K281" s="45">
        <f t="shared" si="69"/>
        <v>0.47645921450151058</v>
      </c>
      <c r="L281" s="45"/>
      <c r="M281" s="136">
        <f t="shared" si="65"/>
        <v>0.48946484201416685</v>
      </c>
      <c r="N281" s="32">
        <f t="shared" si="66"/>
        <v>0.68042180659387219</v>
      </c>
      <c r="O281" s="32">
        <f t="shared" si="67"/>
        <v>0.50259061531724303</v>
      </c>
    </row>
    <row r="282" spans="1:15" s="18" customFormat="1" hidden="1">
      <c r="A282" s="147" t="s">
        <v>267</v>
      </c>
      <c r="B282" s="45">
        <f t="shared" ref="B282:K282" si="70">B89/B287</f>
        <v>0.31782651749784041</v>
      </c>
      <c r="C282" s="45">
        <f t="shared" si="70"/>
        <v>0.45748428680091285</v>
      </c>
      <c r="D282" s="45">
        <f t="shared" si="70"/>
        <v>0.5229385307346327</v>
      </c>
      <c r="E282" s="45">
        <f t="shared" si="70"/>
        <v>0.79830734297885109</v>
      </c>
      <c r="F282" s="45">
        <f t="shared" si="70"/>
        <v>0.83255400048539763</v>
      </c>
      <c r="G282" s="45">
        <f t="shared" si="70"/>
        <v>0.73247068952419536</v>
      </c>
      <c r="H282" s="45">
        <f t="shared" si="70"/>
        <v>0.77364602228556612</v>
      </c>
      <c r="I282" s="45">
        <f t="shared" si="70"/>
        <v>0.55531302791576775</v>
      </c>
      <c r="J282" s="45">
        <f t="shared" si="70"/>
        <v>0.57049289520426294</v>
      </c>
      <c r="K282" s="45">
        <f t="shared" si="70"/>
        <v>0.54377643504531714</v>
      </c>
      <c r="L282" s="45"/>
      <c r="M282" s="136">
        <f t="shared" si="65"/>
        <v>0.53294989441739904</v>
      </c>
      <c r="N282" s="32">
        <f t="shared" si="66"/>
        <v>0.7417297928785016</v>
      </c>
      <c r="O282" s="32">
        <f t="shared" si="67"/>
        <v>0.55652745272178261</v>
      </c>
    </row>
    <row r="283" spans="1:15" ht="18" hidden="1" customHeight="1">
      <c r="A283" s="119" t="s">
        <v>255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136">
        <f t="shared" si="65"/>
        <v>0</v>
      </c>
      <c r="N283" s="32">
        <f t="shared" si="66"/>
        <v>0</v>
      </c>
      <c r="O283" s="32">
        <f t="shared" si="67"/>
        <v>0</v>
      </c>
    </row>
    <row r="284" spans="1:15" hidden="1">
      <c r="A284" s="63" t="s">
        <v>257</v>
      </c>
      <c r="B284" s="64">
        <f>'Data Sheet'!B61</f>
        <v>719.69</v>
      </c>
      <c r="C284" s="64">
        <f>'Data Sheet'!C61</f>
        <v>716.43</v>
      </c>
      <c r="D284" s="64">
        <f>'Data Sheet'!D61</f>
        <v>789.72</v>
      </c>
      <c r="E284" s="64">
        <f>'Data Sheet'!E61</f>
        <v>901.47</v>
      </c>
      <c r="F284" s="64">
        <f>'Data Sheet'!F61</f>
        <v>1051.94</v>
      </c>
      <c r="G284" s="64">
        <f>'Data Sheet'!G61</f>
        <v>1146.74</v>
      </c>
      <c r="H284" s="64">
        <f>'Data Sheet'!H61</f>
        <v>1324.9</v>
      </c>
      <c r="I284" s="64">
        <f>'Data Sheet'!I61</f>
        <v>1518.25</v>
      </c>
      <c r="J284" s="64">
        <f>'Data Sheet'!J61</f>
        <v>1732.86</v>
      </c>
      <c r="K284" s="64">
        <f>'Data Sheet'!K61</f>
        <v>1973.43</v>
      </c>
      <c r="L284" s="64"/>
      <c r="M284" s="136">
        <f t="shared" si="65"/>
        <v>1043.931</v>
      </c>
      <c r="N284" s="32">
        <f t="shared" si="66"/>
        <v>1748.0222000000001</v>
      </c>
      <c r="O284" s="32">
        <f t="shared" si="67"/>
        <v>1741.5133333333333</v>
      </c>
    </row>
    <row r="285" spans="1:15" hidden="1">
      <c r="A285" s="63" t="s">
        <v>29</v>
      </c>
      <c r="B285" s="64">
        <f>'Data Sheet'!B64</f>
        <v>133.34</v>
      </c>
      <c r="C285" s="64">
        <f>'Data Sheet'!C64</f>
        <v>72.59</v>
      </c>
      <c r="D285" s="64">
        <f>'Data Sheet'!D64</f>
        <v>38.33</v>
      </c>
      <c r="E285" s="64">
        <f>'Data Sheet'!E64</f>
        <v>21</v>
      </c>
      <c r="F285" s="64">
        <f>'Data Sheet'!F64</f>
        <v>38.74</v>
      </c>
      <c r="G285" s="64">
        <f>'Data Sheet'!G64</f>
        <v>47.12</v>
      </c>
      <c r="H285" s="64">
        <f>'Data Sheet'!H64</f>
        <v>47.12</v>
      </c>
      <c r="I285" s="64">
        <f>'Data Sheet'!I64</f>
        <v>37.130000000000003</v>
      </c>
      <c r="J285" s="64">
        <f>'Data Sheet'!J64</f>
        <v>37.130000000000003</v>
      </c>
      <c r="K285" s="64">
        <f>'Data Sheet'!K64</f>
        <v>30.13</v>
      </c>
      <c r="L285" s="64"/>
      <c r="M285" s="136">
        <f t="shared" si="65"/>
        <v>29.669999999999998</v>
      </c>
      <c r="N285" s="32">
        <f t="shared" si="66"/>
        <v>45.66</v>
      </c>
      <c r="O285" s="32">
        <f t="shared" si="67"/>
        <v>34.796666666666667</v>
      </c>
    </row>
    <row r="286" spans="1:15" s="18" customFormat="1" hidden="1">
      <c r="A286" s="63" t="s">
        <v>78</v>
      </c>
      <c r="B286" s="64">
        <f>'Data Sheet'!B69</f>
        <v>111.72</v>
      </c>
      <c r="C286" s="64">
        <f>'Data Sheet'!C69</f>
        <v>144.26</v>
      </c>
      <c r="D286" s="64">
        <f>'Data Sheet'!D69</f>
        <v>251.14</v>
      </c>
      <c r="E286" s="64">
        <f>'Data Sheet'!E69</f>
        <v>347.58</v>
      </c>
      <c r="F286" s="64">
        <f>'Data Sheet'!F69</f>
        <v>395.15</v>
      </c>
      <c r="G286" s="64">
        <f>'Data Sheet'!G69</f>
        <v>309.8</v>
      </c>
      <c r="H286" s="64">
        <f>'Data Sheet'!H69</f>
        <v>428.8</v>
      </c>
      <c r="I286" s="64">
        <f>'Data Sheet'!I69</f>
        <v>285.38</v>
      </c>
      <c r="J286" s="64">
        <f>'Data Sheet'!J69</f>
        <v>254.45</v>
      </c>
      <c r="K286" s="64">
        <f>'Data Sheet'!K69</f>
        <v>288.3</v>
      </c>
      <c r="L286" s="64"/>
      <c r="M286" s="136">
        <f t="shared" si="65"/>
        <v>256.06</v>
      </c>
      <c r="N286" s="32">
        <f t="shared" si="66"/>
        <v>364.55799999999999</v>
      </c>
      <c r="O286" s="32">
        <f t="shared" si="67"/>
        <v>276.04333333333329</v>
      </c>
    </row>
    <row r="287" spans="1:15" s="18" customFormat="1" ht="28.8" hidden="1">
      <c r="A287" s="190" t="s">
        <v>260</v>
      </c>
      <c r="B287" s="64">
        <f>'Data Sheet'!B61-'Data Sheet'!B69-'Data Sheet'!B64</f>
        <v>474.63</v>
      </c>
      <c r="C287" s="64">
        <f>'Data Sheet'!C61-'Data Sheet'!C69-'Data Sheet'!C64</f>
        <v>499.57999999999993</v>
      </c>
      <c r="D287" s="64">
        <f>'Data Sheet'!D61-'Data Sheet'!D69-'Data Sheet'!D64</f>
        <v>500.25000000000006</v>
      </c>
      <c r="E287" s="64">
        <f>'Data Sheet'!E61-'Data Sheet'!E69-'Data Sheet'!E64</f>
        <v>532.8900000000001</v>
      </c>
      <c r="F287" s="64">
        <f>'Data Sheet'!F61-'Data Sheet'!F69-'Data Sheet'!F64</f>
        <v>618.05000000000007</v>
      </c>
      <c r="G287" s="64">
        <f>'Data Sheet'!G61-'Data Sheet'!G69-'Data Sheet'!G64</f>
        <v>789.82</v>
      </c>
      <c r="H287" s="64">
        <f>'Data Sheet'!H61-'Data Sheet'!H69-'Data Sheet'!H64</f>
        <v>848.98000000000013</v>
      </c>
      <c r="I287" s="64">
        <f>'Data Sheet'!I61-'Data Sheet'!I69-'Data Sheet'!I64</f>
        <v>1195.7399999999998</v>
      </c>
      <c r="J287" s="64">
        <f>'Data Sheet'!J61-'Data Sheet'!J69-'Data Sheet'!J64</f>
        <v>1441.2799999999997</v>
      </c>
      <c r="K287" s="64">
        <f>'Data Sheet'!K61-'Data Sheet'!K69-'Data Sheet'!K64</f>
        <v>1655</v>
      </c>
      <c r="L287" s="64"/>
      <c r="M287" s="136">
        <f t="shared" si="65"/>
        <v>758.20099999999991</v>
      </c>
      <c r="N287" s="32">
        <f t="shared" si="66"/>
        <v>1337.8042</v>
      </c>
      <c r="O287" s="32">
        <f t="shared" si="67"/>
        <v>1430.6733333333332</v>
      </c>
    </row>
    <row r="288" spans="1:15" s="18" customFormat="1" hidden="1">
      <c r="A288" s="133" t="str">
        <f>A84</f>
        <v>invested Capital3(Net Block + Work in Progress + WC )</v>
      </c>
      <c r="B288" s="132">
        <f t="shared" ref="B288:K288" si="71">B84</f>
        <v>151.46</v>
      </c>
      <c r="C288" s="134">
        <f t="shared" si="71"/>
        <v>94.310000000000059</v>
      </c>
      <c r="D288" s="134">
        <f t="shared" si="71"/>
        <v>182.65999999999994</v>
      </c>
      <c r="E288" s="134">
        <f t="shared" si="71"/>
        <v>309.70000000000005</v>
      </c>
      <c r="F288" s="134">
        <f t="shared" si="71"/>
        <v>345.36</v>
      </c>
      <c r="G288" s="134">
        <f t="shared" si="71"/>
        <v>388.32000000000005</v>
      </c>
      <c r="H288" s="134">
        <f t="shared" si="71"/>
        <v>442.47</v>
      </c>
      <c r="I288" s="134">
        <f t="shared" si="71"/>
        <v>562.75</v>
      </c>
      <c r="J288" s="134">
        <f t="shared" si="71"/>
        <v>733.19</v>
      </c>
      <c r="K288" s="134">
        <f t="shared" si="71"/>
        <v>989.33999999999992</v>
      </c>
      <c r="L288" s="134"/>
      <c r="M288" s="136">
        <f t="shared" si="65"/>
        <v>395.37900000000002</v>
      </c>
      <c r="N288" s="32">
        <f t="shared" si="66"/>
        <v>702.2897999999999</v>
      </c>
      <c r="O288" s="32">
        <f t="shared" si="67"/>
        <v>761.75999999999988</v>
      </c>
    </row>
    <row r="289" spans="1:15" s="18" customFormat="1" hidden="1">
      <c r="A289" s="63" t="s">
        <v>258</v>
      </c>
      <c r="B289" s="64">
        <f>'Data Sheet'!B59</f>
        <v>4.28</v>
      </c>
      <c r="C289" s="64">
        <f>'Data Sheet'!C59</f>
        <v>4.6900000000000004</v>
      </c>
      <c r="D289" s="64">
        <f>'Data Sheet'!D59</f>
        <v>4.6900000000000004</v>
      </c>
      <c r="E289" s="64">
        <f>'Data Sheet'!E59</f>
        <v>4.59</v>
      </c>
      <c r="F289" s="64">
        <f>'Data Sheet'!F59</f>
        <v>0.05</v>
      </c>
      <c r="G289" s="64">
        <f>'Data Sheet'!G59</f>
        <v>0.05</v>
      </c>
      <c r="H289" s="64">
        <f>'Data Sheet'!H59</f>
        <v>0</v>
      </c>
      <c r="I289" s="64">
        <f>'Data Sheet'!I59</f>
        <v>0</v>
      </c>
      <c r="J289" s="64">
        <f>'Data Sheet'!J59</f>
        <v>0</v>
      </c>
      <c r="K289" s="64">
        <f>'Data Sheet'!K59</f>
        <v>0</v>
      </c>
      <c r="L289" s="64"/>
      <c r="M289" s="136">
        <f t="shared" si="65"/>
        <v>0.93800000000000028</v>
      </c>
      <c r="N289" s="32">
        <f t="shared" si="66"/>
        <v>0.19760000000000005</v>
      </c>
      <c r="O289" s="32">
        <f t="shared" si="67"/>
        <v>0</v>
      </c>
    </row>
    <row r="290" spans="1:15" s="18" customFormat="1" hidden="1">
      <c r="A290" s="63" t="s">
        <v>259</v>
      </c>
      <c r="B290" s="64">
        <f>'Data Sheet'!B57+'Data Sheet'!B58</f>
        <v>280.52</v>
      </c>
      <c r="C290" s="64">
        <f>'Data Sheet'!C57+'Data Sheet'!C58</f>
        <v>162.21</v>
      </c>
      <c r="D290" s="64">
        <f>'Data Sheet'!D57+'Data Sheet'!D58</f>
        <v>216.29999999999998</v>
      </c>
      <c r="E290" s="64">
        <f>'Data Sheet'!E57+'Data Sheet'!E58</f>
        <v>326.11</v>
      </c>
      <c r="F290" s="64">
        <f>'Data Sheet'!F57+'Data Sheet'!F58</f>
        <v>384.05</v>
      </c>
      <c r="G290" s="64">
        <f>'Data Sheet'!G57+'Data Sheet'!G58</f>
        <v>435.39000000000004</v>
      </c>
      <c r="H290" s="64">
        <f>'Data Sheet'!H57+'Data Sheet'!H58</f>
        <v>489.59000000000003</v>
      </c>
      <c r="I290" s="64">
        <f>'Data Sheet'!I57+'Data Sheet'!I58</f>
        <v>599.88</v>
      </c>
      <c r="J290" s="64">
        <f>'Data Sheet'!J57+'Data Sheet'!J58</f>
        <v>770.32</v>
      </c>
      <c r="K290" s="64">
        <f>'Data Sheet'!K57+'Data Sheet'!K58</f>
        <v>1019.47</v>
      </c>
      <c r="L290" s="64"/>
      <c r="M290" s="136">
        <f t="shared" si="65"/>
        <v>424.11100000000005</v>
      </c>
      <c r="N290" s="32">
        <f t="shared" si="66"/>
        <v>747.75220000000013</v>
      </c>
      <c r="O290" s="32">
        <f t="shared" si="67"/>
        <v>796.55666666666673</v>
      </c>
    </row>
    <row r="291" spans="1:15" s="18" customFormat="1" hidden="1">
      <c r="A291" s="63" t="s">
        <v>256</v>
      </c>
      <c r="B291" s="64">
        <f>B287-'Data Sheet'!B57-'Data Sheet'!B58-'Data Sheet'!B59</f>
        <v>189.82999999999998</v>
      </c>
      <c r="C291" s="64">
        <f>C287-'Data Sheet'!C57-'Data Sheet'!C58-'Data Sheet'!C59</f>
        <v>332.67999999999989</v>
      </c>
      <c r="D291" s="64">
        <f>D287-'Data Sheet'!D57-'Data Sheet'!D58-'Data Sheet'!D59</f>
        <v>279.26000000000005</v>
      </c>
      <c r="E291" s="64">
        <f>E287-'Data Sheet'!E57-'Data Sheet'!E58-'Data Sheet'!E59</f>
        <v>202.19000000000008</v>
      </c>
      <c r="F291" s="64">
        <f>F287-'Data Sheet'!F57-'Data Sheet'!F58-'Data Sheet'!F59</f>
        <v>233.95000000000005</v>
      </c>
      <c r="G291" s="64">
        <f>G287-'Data Sheet'!G57-'Data Sheet'!G58-'Data Sheet'!G59</f>
        <v>354.38</v>
      </c>
      <c r="H291" s="64">
        <f>H287-'Data Sheet'!H57-'Data Sheet'!H58-'Data Sheet'!H59</f>
        <v>359.3900000000001</v>
      </c>
      <c r="I291" s="64">
        <f>I287-'Data Sheet'!I57-'Data Sheet'!I58-'Data Sheet'!I59</f>
        <v>595.8599999999999</v>
      </c>
      <c r="J291" s="64">
        <f>J287-'Data Sheet'!J57-'Data Sheet'!J58-'Data Sheet'!J59</f>
        <v>670.95999999999981</v>
      </c>
      <c r="K291" s="64">
        <f>K287-'Data Sheet'!K57-'Data Sheet'!K58-'Data Sheet'!K59</f>
        <v>635.53</v>
      </c>
      <c r="L291" s="64"/>
      <c r="M291" s="136">
        <f t="shared" si="65"/>
        <v>333.15199999999993</v>
      </c>
      <c r="N291" s="32">
        <f t="shared" si="66"/>
        <v>589.85439999999994</v>
      </c>
      <c r="O291" s="32">
        <f t="shared" si="67"/>
        <v>634.11666666666656</v>
      </c>
    </row>
    <row r="292" spans="1:15" s="32" customFormat="1" hidden="1">
      <c r="A292" s="148" t="s">
        <v>255</v>
      </c>
      <c r="B292" s="45">
        <f>B291/B287</f>
        <v>0.39995364810483952</v>
      </c>
      <c r="C292" s="45">
        <f t="shared" ref="C292:K292" si="72">C291/C287</f>
        <v>0.66591937227270892</v>
      </c>
      <c r="D292" s="45">
        <f t="shared" si="72"/>
        <v>0.55824087956021995</v>
      </c>
      <c r="E292" s="45">
        <f t="shared" si="72"/>
        <v>0.37942164424177605</v>
      </c>
      <c r="F292" s="45">
        <f t="shared" si="72"/>
        <v>0.37852924520669851</v>
      </c>
      <c r="G292" s="45">
        <f t="shared" si="72"/>
        <v>0.44868451039477347</v>
      </c>
      <c r="H292" s="45">
        <f t="shared" si="72"/>
        <v>0.42331974840396719</v>
      </c>
      <c r="I292" s="45">
        <f t="shared" si="72"/>
        <v>0.49831903256560789</v>
      </c>
      <c r="J292" s="45">
        <f t="shared" si="72"/>
        <v>0.46553063943161627</v>
      </c>
      <c r="K292" s="45">
        <f t="shared" si="72"/>
        <v>0.38400604229607249</v>
      </c>
      <c r="L292" s="45"/>
      <c r="M292" s="136">
        <f t="shared" si="65"/>
        <v>0.35360517421007315</v>
      </c>
      <c r="N292" s="32">
        <f t="shared" si="66"/>
        <v>0.51469302946042217</v>
      </c>
      <c r="O292" s="32">
        <f t="shared" si="67"/>
        <v>0.44928523809776549</v>
      </c>
    </row>
    <row r="293" spans="1:15" s="18" customFormat="1" hidden="1">
      <c r="A293" s="147" t="s">
        <v>546</v>
      </c>
      <c r="B293" s="45">
        <f>B289/B287</f>
        <v>9.0175505130312035E-3</v>
      </c>
      <c r="C293" s="45">
        <f t="shared" ref="C293:K293" si="73">C289/C287</f>
        <v>9.3878858240922392E-3</v>
      </c>
      <c r="D293" s="45">
        <f t="shared" si="73"/>
        <v>9.375312343828086E-3</v>
      </c>
      <c r="E293" s="45">
        <f t="shared" si="73"/>
        <v>8.6134098969768598E-3</v>
      </c>
      <c r="F293" s="45">
        <f t="shared" si="73"/>
        <v>8.0899603591942391E-5</v>
      </c>
      <c r="G293" s="45">
        <f t="shared" si="73"/>
        <v>6.3305563292902182E-5</v>
      </c>
      <c r="H293" s="45">
        <f t="shared" si="73"/>
        <v>0</v>
      </c>
      <c r="I293" s="45">
        <f t="shared" si="73"/>
        <v>0</v>
      </c>
      <c r="J293" s="45">
        <f t="shared" si="73"/>
        <v>0</v>
      </c>
      <c r="K293" s="45">
        <f t="shared" si="73"/>
        <v>0</v>
      </c>
      <c r="L293" s="45"/>
      <c r="M293" s="136">
        <f t="shared" si="65"/>
        <v>1.8132927407689789E-3</v>
      </c>
      <c r="N293" s="32">
        <f t="shared" si="66"/>
        <v>3.7531966081237622E-4</v>
      </c>
      <c r="O293" s="32">
        <f t="shared" si="67"/>
        <v>0</v>
      </c>
    </row>
    <row r="294" spans="1:15" s="18" customFormat="1" hidden="1">
      <c r="A294" s="147" t="s">
        <v>547</v>
      </c>
      <c r="B294" s="45">
        <f>B290/B287</f>
        <v>0.59102880138212921</v>
      </c>
      <c r="C294" s="45">
        <f t="shared" ref="C294:K294" si="74">C290/C287</f>
        <v>0.32469274190319874</v>
      </c>
      <c r="D294" s="45">
        <f t="shared" si="74"/>
        <v>0.43238380809595195</v>
      </c>
      <c r="E294" s="45">
        <f t="shared" si="74"/>
        <v>0.61196494586124706</v>
      </c>
      <c r="F294" s="45">
        <f t="shared" si="74"/>
        <v>0.62138985518970957</v>
      </c>
      <c r="G294" s="45">
        <f t="shared" si="74"/>
        <v>0.55125218404193366</v>
      </c>
      <c r="H294" s="45">
        <f t="shared" si="74"/>
        <v>0.57668025159603287</v>
      </c>
      <c r="I294" s="45">
        <f t="shared" si="74"/>
        <v>0.50168096743439217</v>
      </c>
      <c r="J294" s="45">
        <f t="shared" si="74"/>
        <v>0.53446936056838379</v>
      </c>
      <c r="K294" s="45">
        <f t="shared" si="74"/>
        <v>0.61599395770392751</v>
      </c>
      <c r="L294" s="45"/>
      <c r="M294" s="136">
        <f t="shared" si="65"/>
        <v>0.44458153304915787</v>
      </c>
      <c r="N294" s="32">
        <f t="shared" si="66"/>
        <v>0.64493165087876547</v>
      </c>
      <c r="O294" s="32">
        <f t="shared" si="67"/>
        <v>0.55071476190223445</v>
      </c>
    </row>
    <row r="295" spans="1:15" s="18" customFormat="1" hidden="1">
      <c r="A295" s="147" t="s">
        <v>548</v>
      </c>
      <c r="B295" s="45">
        <f>B289/B288</f>
        <v>2.8258286016109864E-2</v>
      </c>
      <c r="C295" s="45">
        <f t="shared" ref="C295:E295" si="75">C289/C288</f>
        <v>4.9729615099141103E-2</v>
      </c>
      <c r="D295" s="45">
        <f t="shared" si="75"/>
        <v>2.5676119566407543E-2</v>
      </c>
      <c r="E295" s="45">
        <f t="shared" si="75"/>
        <v>1.4820794317081044E-2</v>
      </c>
      <c r="F295" s="45">
        <f t="shared" ref="F295:K295" si="76">F289/F288</f>
        <v>1.4477646513782721E-4</v>
      </c>
      <c r="G295" s="45">
        <f t="shared" si="76"/>
        <v>1.287597857437165E-4</v>
      </c>
      <c r="H295" s="45">
        <f t="shared" si="76"/>
        <v>0</v>
      </c>
      <c r="I295" s="45">
        <f t="shared" si="76"/>
        <v>0</v>
      </c>
      <c r="J295" s="45">
        <f t="shared" si="76"/>
        <v>0</v>
      </c>
      <c r="K295" s="45">
        <f t="shared" si="76"/>
        <v>0</v>
      </c>
      <c r="L295" s="45"/>
      <c r="M295" s="136">
        <f t="shared" si="65"/>
        <v>4.0770450134370133E-3</v>
      </c>
      <c r="N295" s="32">
        <f t="shared" si="66"/>
        <v>8.4116095983614598E-4</v>
      </c>
      <c r="O295" s="32">
        <f t="shared" si="67"/>
        <v>0</v>
      </c>
    </row>
    <row r="296" spans="1:15" s="18" customFormat="1" hidden="1">
      <c r="A296" s="147" t="s">
        <v>549</v>
      </c>
      <c r="B296" s="45">
        <f>B290/B288</f>
        <v>1.8521061666446585</v>
      </c>
      <c r="C296" s="45">
        <f t="shared" ref="C296:E296" si="77">C290/C288</f>
        <v>1.7199660693457737</v>
      </c>
      <c r="D296" s="45">
        <f t="shared" si="77"/>
        <v>1.1841673053761088</v>
      </c>
      <c r="E296" s="45">
        <f t="shared" si="77"/>
        <v>1.0529867613819826</v>
      </c>
      <c r="F296" s="45">
        <f t="shared" ref="F296:K296" si="78">F290/F288</f>
        <v>1.1120280287236506</v>
      </c>
      <c r="G296" s="45">
        <f t="shared" si="78"/>
        <v>1.1212144622991347</v>
      </c>
      <c r="H296" s="45">
        <f t="shared" si="78"/>
        <v>1.1064930955771013</v>
      </c>
      <c r="I296" s="45">
        <f t="shared" si="78"/>
        <v>1.0659795646379386</v>
      </c>
      <c r="J296" s="45">
        <f t="shared" si="78"/>
        <v>1.0506417163354655</v>
      </c>
      <c r="K296" s="45">
        <f t="shared" si="78"/>
        <v>1.0304546465320317</v>
      </c>
      <c r="L296" s="45"/>
      <c r="M296" s="136">
        <f t="shared" si="65"/>
        <v>0.87239655808634142</v>
      </c>
      <c r="N296" s="32">
        <f t="shared" si="66"/>
        <v>1.2494360086936027</v>
      </c>
      <c r="O296" s="32">
        <f t="shared" si="67"/>
        <v>1.0490253091684785</v>
      </c>
    </row>
    <row r="297" spans="1:15" s="18" customFormat="1" hidden="1">
      <c r="A297" s="147" t="s">
        <v>552</v>
      </c>
      <c r="B297" s="45"/>
      <c r="C297" s="58">
        <f>C287-B287</f>
        <v>24.949999999999932</v>
      </c>
      <c r="D297" s="58">
        <f t="shared" ref="D297:F297" si="79">D287-C287</f>
        <v>0.6700000000001296</v>
      </c>
      <c r="E297" s="58">
        <f t="shared" si="79"/>
        <v>32.640000000000043</v>
      </c>
      <c r="F297" s="58">
        <f t="shared" si="79"/>
        <v>85.159999999999968</v>
      </c>
      <c r="G297" s="58">
        <f t="shared" ref="G297:K297" si="80">(G287-F287)</f>
        <v>171.76999999999998</v>
      </c>
      <c r="H297" s="58">
        <f t="shared" si="80"/>
        <v>59.160000000000082</v>
      </c>
      <c r="I297" s="58">
        <f t="shared" si="80"/>
        <v>346.75999999999965</v>
      </c>
      <c r="J297" s="58">
        <f t="shared" si="80"/>
        <v>245.53999999999996</v>
      </c>
      <c r="K297" s="58">
        <f t="shared" si="80"/>
        <v>213.72000000000025</v>
      </c>
      <c r="L297" s="58"/>
      <c r="M297" s="136">
        <f t="shared" si="65"/>
        <v>115.542</v>
      </c>
      <c r="N297" s="32">
        <f t="shared" si="66"/>
        <v>230.49839999999995</v>
      </c>
      <c r="O297" s="32">
        <f t="shared" si="67"/>
        <v>268.67333333333329</v>
      </c>
    </row>
    <row r="298" spans="1:15" s="18" customFormat="1" hidden="1">
      <c r="A298" s="147" t="s">
        <v>457</v>
      </c>
      <c r="B298" s="45"/>
      <c r="C298" s="149">
        <f>C288-B288</f>
        <v>-57.149999999999949</v>
      </c>
      <c r="D298" s="149">
        <f t="shared" ref="D298:F298" si="81">D288-C288</f>
        <v>88.349999999999881</v>
      </c>
      <c r="E298" s="149">
        <f t="shared" si="81"/>
        <v>127.04000000000011</v>
      </c>
      <c r="F298" s="149">
        <f t="shared" si="81"/>
        <v>35.659999999999968</v>
      </c>
      <c r="G298" s="149">
        <f t="shared" ref="G298:K298" si="82">(G288-F288)</f>
        <v>42.960000000000036</v>
      </c>
      <c r="H298" s="149">
        <f t="shared" si="82"/>
        <v>54.149999999999977</v>
      </c>
      <c r="I298" s="149">
        <f t="shared" si="82"/>
        <v>120.27999999999997</v>
      </c>
      <c r="J298" s="149">
        <f t="shared" si="82"/>
        <v>170.44000000000005</v>
      </c>
      <c r="K298" s="149">
        <f t="shared" si="82"/>
        <v>256.14999999999986</v>
      </c>
      <c r="L298" s="149"/>
      <c r="M298" s="136">
        <f t="shared" si="65"/>
        <v>89.502999999999986</v>
      </c>
      <c r="N298" s="32">
        <f t="shared" si="66"/>
        <v>146.69659999999999</v>
      </c>
      <c r="O298" s="32">
        <f t="shared" si="67"/>
        <v>182.28999999999996</v>
      </c>
    </row>
    <row r="299" spans="1:15" s="18" customFormat="1" hidden="1">
      <c r="A299" s="147" t="s">
        <v>550</v>
      </c>
      <c r="B299" s="45"/>
      <c r="C299" s="58">
        <f>C290-B290</f>
        <v>-118.30999999999997</v>
      </c>
      <c r="D299" s="58">
        <f t="shared" ref="D299:F299" si="83">D290-C290</f>
        <v>54.089999999999975</v>
      </c>
      <c r="E299" s="58">
        <f t="shared" si="83"/>
        <v>109.81000000000003</v>
      </c>
      <c r="F299" s="58">
        <f t="shared" si="83"/>
        <v>57.94</v>
      </c>
      <c r="G299" s="149">
        <f t="shared" ref="G299:K299" si="84">(G290-F290)</f>
        <v>51.340000000000032</v>
      </c>
      <c r="H299" s="149">
        <f t="shared" si="84"/>
        <v>54.199999999999989</v>
      </c>
      <c r="I299" s="149">
        <f t="shared" si="84"/>
        <v>110.28999999999996</v>
      </c>
      <c r="J299" s="149">
        <f t="shared" si="84"/>
        <v>170.44000000000005</v>
      </c>
      <c r="K299" s="149">
        <f t="shared" si="84"/>
        <v>249.14999999999998</v>
      </c>
      <c r="L299" s="149"/>
      <c r="M299" s="136">
        <f t="shared" si="65"/>
        <v>85.726000000000013</v>
      </c>
      <c r="N299" s="32">
        <f t="shared" si="66"/>
        <v>144.22920000000002</v>
      </c>
      <c r="O299" s="32">
        <f t="shared" si="67"/>
        <v>176.62666666666667</v>
      </c>
    </row>
    <row r="300" spans="1:15" s="18" customFormat="1" hidden="1">
      <c r="A300" s="147" t="s">
        <v>551</v>
      </c>
      <c r="B300" s="45"/>
      <c r="C300" s="58">
        <f>C289-B289</f>
        <v>0.41000000000000014</v>
      </c>
      <c r="D300" s="58">
        <f t="shared" ref="D300:F300" si="85">D289-C289</f>
        <v>0</v>
      </c>
      <c r="E300" s="58">
        <f t="shared" si="85"/>
        <v>-0.10000000000000053</v>
      </c>
      <c r="F300" s="58">
        <f t="shared" si="85"/>
        <v>-4.54</v>
      </c>
      <c r="G300" s="149">
        <f t="shared" ref="G300:K300" si="86">(G289-F289)</f>
        <v>0</v>
      </c>
      <c r="H300" s="149">
        <f t="shared" si="86"/>
        <v>-0.05</v>
      </c>
      <c r="I300" s="149">
        <f t="shared" si="86"/>
        <v>0</v>
      </c>
      <c r="J300" s="149">
        <f t="shared" si="86"/>
        <v>0</v>
      </c>
      <c r="K300" s="149">
        <f t="shared" si="86"/>
        <v>0</v>
      </c>
      <c r="L300" s="149"/>
      <c r="M300" s="136">
        <f t="shared" si="65"/>
        <v>-0.46900000000000003</v>
      </c>
      <c r="N300" s="32">
        <f t="shared" si="66"/>
        <v>-0.1038</v>
      </c>
      <c r="O300" s="32">
        <f t="shared" si="67"/>
        <v>0</v>
      </c>
    </row>
    <row r="301" spans="1:15" s="18" customFormat="1" hidden="1">
      <c r="A301" s="147" t="s">
        <v>553</v>
      </c>
      <c r="B301" s="45"/>
      <c r="C301" s="45">
        <f>C299/C297</f>
        <v>-4.7418837675350822</v>
      </c>
      <c r="D301" s="45">
        <f t="shared" ref="D301:F301" si="87">D299/D297</f>
        <v>80.731343283566432</v>
      </c>
      <c r="E301" s="45">
        <f t="shared" si="87"/>
        <v>3.3642769607843102</v>
      </c>
      <c r="F301" s="45">
        <f t="shared" si="87"/>
        <v>0.68036636918741211</v>
      </c>
      <c r="G301" s="45">
        <f t="shared" ref="G301:K301" si="88">G299/G297</f>
        <v>0.29888804797112439</v>
      </c>
      <c r="H301" s="45">
        <f t="shared" si="88"/>
        <v>0.91615956727518444</v>
      </c>
      <c r="I301" s="45">
        <f t="shared" si="88"/>
        <v>0.31805859960779814</v>
      </c>
      <c r="J301" s="45">
        <f t="shared" si="88"/>
        <v>0.69414352040400784</v>
      </c>
      <c r="K301" s="45">
        <f t="shared" si="88"/>
        <v>1.1657776530039288</v>
      </c>
      <c r="L301" s="45"/>
      <c r="M301" s="136">
        <f t="shared" si="65"/>
        <v>8.8169014001800186</v>
      </c>
      <c r="N301" s="32">
        <f t="shared" si="66"/>
        <v>2.4419857576884128</v>
      </c>
      <c r="O301" s="32">
        <f t="shared" si="67"/>
        <v>0.72599325767191158</v>
      </c>
    </row>
    <row r="302" spans="1:15" s="18" customFormat="1" hidden="1">
      <c r="A302" s="147" t="s">
        <v>554</v>
      </c>
      <c r="B302" s="45"/>
      <c r="C302" s="45">
        <f>C300/C297</f>
        <v>1.6432865731462975E-2</v>
      </c>
      <c r="D302" s="45">
        <f t="shared" ref="D302:F302" si="89">D300/D297</f>
        <v>0</v>
      </c>
      <c r="E302" s="45">
        <f t="shared" si="89"/>
        <v>-3.0637254901960905E-3</v>
      </c>
      <c r="F302" s="45">
        <f t="shared" si="89"/>
        <v>-5.3311413809300164E-2</v>
      </c>
      <c r="G302" s="45">
        <f t="shared" ref="G302:K302" si="90">G300/G297</f>
        <v>0</v>
      </c>
      <c r="H302" s="45">
        <f t="shared" si="90"/>
        <v>-8.4516565246788261E-4</v>
      </c>
      <c r="I302" s="45">
        <f t="shared" si="90"/>
        <v>0</v>
      </c>
      <c r="J302" s="45">
        <f t="shared" si="90"/>
        <v>0</v>
      </c>
      <c r="K302" s="45">
        <f t="shared" si="90"/>
        <v>0</v>
      </c>
      <c r="L302" s="45"/>
      <c r="M302" s="136">
        <f t="shared" si="65"/>
        <v>-5.7220304951964129E-3</v>
      </c>
      <c r="N302" s="32">
        <f t="shared" si="66"/>
        <v>-1.3134392295328591E-3</v>
      </c>
      <c r="O302" s="32">
        <f t="shared" si="67"/>
        <v>0</v>
      </c>
    </row>
    <row r="303" spans="1:15" s="18" customFormat="1" hidden="1">
      <c r="A303" s="147" t="s">
        <v>555</v>
      </c>
      <c r="B303" s="45"/>
      <c r="C303" s="45">
        <f>C299/C298</f>
        <v>2.0701662292213485</v>
      </c>
      <c r="D303" s="45">
        <f t="shared" ref="D303:F303" si="91">D299/D298</f>
        <v>0.61222410865874421</v>
      </c>
      <c r="E303" s="45">
        <f t="shared" si="91"/>
        <v>0.86437342569269471</v>
      </c>
      <c r="F303" s="45">
        <f t="shared" si="91"/>
        <v>1.6247896803140789</v>
      </c>
      <c r="G303" s="45">
        <f t="shared" ref="G303:K303" si="92">G299/G298</f>
        <v>1.1950651769087521</v>
      </c>
      <c r="H303" s="45">
        <f t="shared" si="92"/>
        <v>1.0009233610341646</v>
      </c>
      <c r="I303" s="45">
        <f t="shared" si="92"/>
        <v>0.91694379780512125</v>
      </c>
      <c r="J303" s="45">
        <f t="shared" si="92"/>
        <v>1</v>
      </c>
      <c r="K303" s="45">
        <f t="shared" si="92"/>
        <v>0.9726722623462819</v>
      </c>
      <c r="L303" s="45"/>
      <c r="M303" s="136">
        <f t="shared" si="65"/>
        <v>0.81869918127598384</v>
      </c>
      <c r="N303" s="32">
        <f t="shared" si="66"/>
        <v>1.1808607558740607</v>
      </c>
      <c r="O303" s="32">
        <f t="shared" si="67"/>
        <v>0.96320535338380109</v>
      </c>
    </row>
    <row r="304" spans="1:15" s="18" customFormat="1" hidden="1">
      <c r="A304" s="147" t="s">
        <v>556</v>
      </c>
      <c r="B304" s="45"/>
      <c r="C304" s="45">
        <f>C300/C298</f>
        <v>-7.1741032370953722E-3</v>
      </c>
      <c r="D304" s="45">
        <f t="shared" ref="D304:F304" si="93">D300/D298</f>
        <v>0</v>
      </c>
      <c r="E304" s="45">
        <f t="shared" si="93"/>
        <v>-7.8715365239295061E-4</v>
      </c>
      <c r="F304" s="45">
        <f t="shared" si="93"/>
        <v>-0.12731351654514875</v>
      </c>
      <c r="G304" s="45">
        <f t="shared" ref="G304:K304" si="94">G300/G298</f>
        <v>0</v>
      </c>
      <c r="H304" s="45">
        <f t="shared" si="94"/>
        <v>-9.2336103416435866E-4</v>
      </c>
      <c r="I304" s="45">
        <f t="shared" si="94"/>
        <v>0</v>
      </c>
      <c r="J304" s="45">
        <f t="shared" si="94"/>
        <v>0</v>
      </c>
      <c r="K304" s="45">
        <f t="shared" si="94"/>
        <v>0</v>
      </c>
      <c r="L304" s="45"/>
      <c r="M304" s="136">
        <f t="shared" si="65"/>
        <v>-1.2902403123170605E-2</v>
      </c>
      <c r="N304" s="32">
        <f t="shared" si="66"/>
        <v>-2.7651528314669928E-3</v>
      </c>
      <c r="O304" s="32">
        <f t="shared" si="67"/>
        <v>0</v>
      </c>
    </row>
    <row r="305" spans="1:15" s="18" customFormat="1" ht="18" hidden="1">
      <c r="A305" s="150" t="s">
        <v>315</v>
      </c>
      <c r="B305" s="46"/>
      <c r="C305" s="69"/>
      <c r="D305" s="46"/>
      <c r="E305" s="46"/>
      <c r="F305" s="46"/>
      <c r="G305" s="46"/>
      <c r="H305" s="46"/>
      <c r="I305" s="46"/>
      <c r="J305" s="46"/>
      <c r="K305" s="46"/>
      <c r="L305" s="46"/>
      <c r="M305" s="136">
        <f t="shared" si="65"/>
        <v>0</v>
      </c>
      <c r="N305" s="32">
        <f t="shared" si="66"/>
        <v>0</v>
      </c>
      <c r="O305" s="32">
        <f t="shared" si="67"/>
        <v>0</v>
      </c>
    </row>
    <row r="306" spans="1:15" s="18" customFormat="1" hidden="1">
      <c r="A306" s="151" t="s">
        <v>117</v>
      </c>
      <c r="B306" s="141">
        <f>1/B224</f>
        <v>0.12947635004709915</v>
      </c>
      <c r="C306" s="141">
        <f t="shared" ref="C306:K306" si="95">1/C224</f>
        <v>0.12185926237630483</v>
      </c>
      <c r="D306" s="141">
        <f t="shared" si="95"/>
        <v>0.10777904307857519</v>
      </c>
      <c r="E306" s="141">
        <f t="shared" si="95"/>
        <v>0.10723275888425751</v>
      </c>
      <c r="F306" s="141">
        <f t="shared" si="95"/>
        <v>0.10979301174041607</v>
      </c>
      <c r="G306" s="141">
        <f t="shared" si="95"/>
        <v>9.4583455553369014E-2</v>
      </c>
      <c r="H306" s="141">
        <f t="shared" si="95"/>
        <v>8.4562600156140866E-2</v>
      </c>
      <c r="I306" s="141">
        <f t="shared" si="95"/>
        <v>0.11687823606170766</v>
      </c>
      <c r="J306" s="141">
        <f t="shared" si="95"/>
        <v>0.16794451950556763</v>
      </c>
      <c r="K306" s="141">
        <f t="shared" si="95"/>
        <v>0.21499222783611904</v>
      </c>
      <c r="L306" s="141"/>
      <c r="M306" s="136">
        <f t="shared" si="65"/>
        <v>0.10037658528161528</v>
      </c>
      <c r="N306" s="32">
        <f t="shared" si="66"/>
        <v>0.1558675248789039</v>
      </c>
      <c r="O306" s="32">
        <f t="shared" si="67"/>
        <v>0.16660499446779811</v>
      </c>
    </row>
    <row r="307" spans="1:15" s="18" customFormat="1" hidden="1">
      <c r="A307" s="151" t="s">
        <v>118</v>
      </c>
      <c r="B307" s="46"/>
      <c r="C307" s="69"/>
      <c r="D307" s="46"/>
      <c r="E307" s="46"/>
      <c r="F307" s="46"/>
      <c r="G307" s="46"/>
      <c r="H307" s="46"/>
      <c r="I307" s="46"/>
      <c r="J307" s="46"/>
      <c r="K307" s="141">
        <f>SUM(B306:K306)/10</f>
        <v>0.1255101465239557</v>
      </c>
      <c r="L307" s="141"/>
      <c r="M307" s="136">
        <f t="shared" si="65"/>
        <v>1.2551014652395571E-2</v>
      </c>
      <c r="N307" s="32">
        <f t="shared" si="66"/>
        <v>2.7612232235270255E-2</v>
      </c>
      <c r="O307" s="32">
        <f t="shared" si="67"/>
        <v>4.1836715507985234E-2</v>
      </c>
    </row>
    <row r="308" spans="1:15" s="18" customFormat="1" hidden="1">
      <c r="A308" s="151" t="s">
        <v>119</v>
      </c>
      <c r="B308" s="46"/>
      <c r="C308" s="69"/>
      <c r="D308" s="141"/>
      <c r="E308" s="141"/>
      <c r="F308" s="141"/>
      <c r="G308" s="141"/>
      <c r="H308" s="141">
        <f>SUM(B306:H306)/7</f>
        <v>0.10789806883373752</v>
      </c>
      <c r="I308" s="141">
        <f>SUM(C306:I306)/7</f>
        <v>0.10609833826439587</v>
      </c>
      <c r="J308" s="141">
        <f>SUM(D306:J306)/7</f>
        <v>0.11268194642571913</v>
      </c>
      <c r="K308" s="141">
        <f>SUM(E306:K306)/7</f>
        <v>0.12799811567679684</v>
      </c>
      <c r="L308" s="141"/>
      <c r="M308" s="136">
        <f t="shared" si="65"/>
        <v>4.5467646920064941E-2</v>
      </c>
      <c r="N308" s="32">
        <f t="shared" si="66"/>
        <v>0.10002882322414286</v>
      </c>
      <c r="O308" s="32">
        <f t="shared" si="67"/>
        <v>0.11559280012230395</v>
      </c>
    </row>
    <row r="309" spans="1:15" s="18" customFormat="1" hidden="1">
      <c r="A309" s="151" t="s">
        <v>120</v>
      </c>
      <c r="B309" s="46"/>
      <c r="C309" s="69"/>
      <c r="D309" s="141"/>
      <c r="E309" s="141"/>
      <c r="F309" s="141">
        <f t="shared" ref="F309:K309" si="96">SUM(B306:F306)/5</f>
        <v>0.11522808522533057</v>
      </c>
      <c r="G309" s="141">
        <f t="shared" si="96"/>
        <v>0.10824950632658452</v>
      </c>
      <c r="H309" s="141">
        <f t="shared" si="96"/>
        <v>0.10079017388255171</v>
      </c>
      <c r="I309" s="141">
        <f t="shared" si="96"/>
        <v>0.10261001247917823</v>
      </c>
      <c r="J309" s="141">
        <f t="shared" si="96"/>
        <v>0.11475236460344025</v>
      </c>
      <c r="K309" s="141">
        <f t="shared" si="96"/>
        <v>0.13579220782258083</v>
      </c>
      <c r="L309" s="141"/>
      <c r="M309" s="136">
        <f t="shared" si="65"/>
        <v>6.7742235033966619E-2</v>
      </c>
      <c r="N309" s="32">
        <f t="shared" si="66"/>
        <v>0.12598730002966041</v>
      </c>
      <c r="O309" s="32">
        <f t="shared" si="67"/>
        <v>0.11771819496839976</v>
      </c>
    </row>
    <row r="310" spans="1:15" s="18" customFormat="1" hidden="1">
      <c r="A310" s="151" t="s">
        <v>121</v>
      </c>
      <c r="B310" s="46"/>
      <c r="C310" s="69"/>
      <c r="D310" s="141">
        <f t="shared" ref="D310:K310" si="97">SUM(B306:D306)/3</f>
        <v>0.1197048851673264</v>
      </c>
      <c r="E310" s="141">
        <f t="shared" si="97"/>
        <v>0.1122903547797125</v>
      </c>
      <c r="F310" s="141">
        <f t="shared" si="97"/>
        <v>0.10826827123441625</v>
      </c>
      <c r="G310" s="141">
        <f t="shared" si="97"/>
        <v>0.10386974205934753</v>
      </c>
      <c r="H310" s="141">
        <f t="shared" si="97"/>
        <v>9.6313022483308641E-2</v>
      </c>
      <c r="I310" s="141">
        <f t="shared" si="97"/>
        <v>9.8674763923739181E-2</v>
      </c>
      <c r="J310" s="141">
        <f t="shared" si="97"/>
        <v>0.12312845190780537</v>
      </c>
      <c r="K310" s="141">
        <f t="shared" si="97"/>
        <v>0.16660499446779811</v>
      </c>
      <c r="L310" s="141"/>
      <c r="M310" s="136">
        <f t="shared" si="65"/>
        <v>9.2885448602345405E-2</v>
      </c>
      <c r="N310" s="32">
        <f t="shared" si="66"/>
        <v>0.13629528468886884</v>
      </c>
      <c r="O310" s="32">
        <f t="shared" si="67"/>
        <v>0.12946940343311422</v>
      </c>
    </row>
    <row r="311" spans="1:15" s="18" customFormat="1" hidden="1">
      <c r="A311" s="151" t="s">
        <v>122</v>
      </c>
      <c r="B311" s="46"/>
      <c r="C311" s="69">
        <f>('Data Sheet'!C17-'Data Sheet'!B17)</f>
        <v>178.24</v>
      </c>
      <c r="D311" s="69">
        <f>('Data Sheet'!D17-'Data Sheet'!C17)</f>
        <v>221.42999999999984</v>
      </c>
      <c r="E311" s="69">
        <f>('Data Sheet'!E17-'Data Sheet'!D17)</f>
        <v>267.65000000000009</v>
      </c>
      <c r="F311" s="69">
        <f>('Data Sheet'!F17-'Data Sheet'!E17)</f>
        <v>323.65999999999985</v>
      </c>
      <c r="G311" s="69">
        <f>('Data Sheet'!G17-'Data Sheet'!F17)</f>
        <v>407.11000000000013</v>
      </c>
      <c r="H311" s="69">
        <f>('Data Sheet'!H17-'Data Sheet'!G17)</f>
        <v>470.57999999999993</v>
      </c>
      <c r="I311" s="69">
        <f>('Data Sheet'!I17-'Data Sheet'!H17)</f>
        <v>415</v>
      </c>
      <c r="J311" s="69">
        <f>('Data Sheet'!J17-'Data Sheet'!I17)</f>
        <v>403.13000000000011</v>
      </c>
      <c r="K311" s="69">
        <f>('Data Sheet'!K17-'Data Sheet'!J17)</f>
        <v>180.34999999999991</v>
      </c>
      <c r="L311" s="69"/>
      <c r="M311" s="136">
        <f t="shared" si="65"/>
        <v>268.89099999999996</v>
      </c>
      <c r="N311" s="32">
        <f t="shared" si="66"/>
        <v>429.01220000000001</v>
      </c>
      <c r="O311" s="32">
        <f t="shared" si="67"/>
        <v>332.82666666666665</v>
      </c>
    </row>
    <row r="312" spans="1:15" s="18" customFormat="1" hidden="1">
      <c r="A312" s="151" t="s">
        <v>123</v>
      </c>
      <c r="B312" s="46"/>
      <c r="C312" s="69">
        <f>('Data Sheet'!C62-'Data Sheet'!B62)+('Data Sheet'!C63-'Data Sheet'!B63)+'Data Sheet'!C26</f>
        <v>26.800000000000008</v>
      </c>
      <c r="D312" s="69">
        <f>('Data Sheet'!D62-'Data Sheet'!C62)+('Data Sheet'!D63-'Data Sheet'!C63)+'Data Sheet'!D26</f>
        <v>2.5599999999999987</v>
      </c>
      <c r="E312" s="69">
        <f>('Data Sheet'!E62-'Data Sheet'!D62)+('Data Sheet'!E63-'Data Sheet'!D63)+'Data Sheet'!E26</f>
        <v>112.10999999999999</v>
      </c>
      <c r="F312" s="69">
        <f>('Data Sheet'!F62-'Data Sheet'!E62)+('Data Sheet'!F63-'Data Sheet'!E63)+'Data Sheet'!F26</f>
        <v>44.370000000000019</v>
      </c>
      <c r="G312" s="69">
        <f>('Data Sheet'!G62-'Data Sheet'!F62)+('Data Sheet'!G63-'Data Sheet'!F63)+'Data Sheet'!G26</f>
        <v>99.849999999999966</v>
      </c>
      <c r="H312" s="69">
        <f>('Data Sheet'!H62-'Data Sheet'!G62)+('Data Sheet'!H63-'Data Sheet'!G63)+'Data Sheet'!H26</f>
        <v>102.52000000000004</v>
      </c>
      <c r="I312" s="69">
        <f>('Data Sheet'!I62-'Data Sheet'!H62)+('Data Sheet'!I63-'Data Sheet'!H63)+'Data Sheet'!I26</f>
        <v>365.54999999999995</v>
      </c>
      <c r="J312" s="69">
        <f>('Data Sheet'!J62-'Data Sheet'!I62)+('Data Sheet'!J63-'Data Sheet'!I63)+'Data Sheet'!J26</f>
        <v>300.36000000000007</v>
      </c>
      <c r="K312" s="69">
        <f>('Data Sheet'!K62-'Data Sheet'!J62)+('Data Sheet'!K63-'Data Sheet'!J63)+'Data Sheet'!K26</f>
        <v>275.15999999999997</v>
      </c>
      <c r="L312" s="69"/>
      <c r="M312" s="136">
        <f t="shared" si="65"/>
        <v>130.24799999999999</v>
      </c>
      <c r="N312" s="32">
        <f t="shared" si="66"/>
        <v>254.73760000000001</v>
      </c>
      <c r="O312" s="32">
        <f t="shared" si="67"/>
        <v>313.69</v>
      </c>
    </row>
    <row r="313" spans="1:15" s="18" customFormat="1" hidden="1">
      <c r="A313" s="151" t="s">
        <v>536</v>
      </c>
      <c r="B313" s="46"/>
      <c r="C313" s="69"/>
      <c r="D313" s="69"/>
      <c r="E313" s="152">
        <f>SUM(C312:E312)/3</f>
        <v>47.156666666666666</v>
      </c>
      <c r="F313" s="152">
        <f t="shared" ref="F313:K313" si="98">SUM(D312:F312)/3</f>
        <v>53.013333333333343</v>
      </c>
      <c r="G313" s="152">
        <f t="shared" si="98"/>
        <v>85.443333333333328</v>
      </c>
      <c r="H313" s="152">
        <f t="shared" si="98"/>
        <v>82.24666666666667</v>
      </c>
      <c r="I313" s="152">
        <f t="shared" si="98"/>
        <v>189.30666666666664</v>
      </c>
      <c r="J313" s="152">
        <f t="shared" si="98"/>
        <v>256.14333333333337</v>
      </c>
      <c r="K313" s="152">
        <f t="shared" si="98"/>
        <v>313.69</v>
      </c>
      <c r="L313" s="152"/>
      <c r="M313" s="136">
        <f t="shared" si="65"/>
        <v>102.7</v>
      </c>
      <c r="N313" s="32">
        <f t="shared" si="66"/>
        <v>205.90600000000003</v>
      </c>
      <c r="O313" s="32">
        <f t="shared" si="67"/>
        <v>253.04666666666671</v>
      </c>
    </row>
    <row r="314" spans="1:15" s="18" customFormat="1" hidden="1">
      <c r="A314" s="151" t="s">
        <v>124</v>
      </c>
      <c r="B314" s="141"/>
      <c r="C314" s="152"/>
      <c r="D314" s="141"/>
      <c r="E314" s="141"/>
      <c r="F314" s="141">
        <f>F309*F311</f>
        <v>37.294722064030474</v>
      </c>
      <c r="G314" s="141">
        <f t="shared" ref="G314:K314" si="99">G309*G311</f>
        <v>44.069456520615837</v>
      </c>
      <c r="H314" s="141">
        <f t="shared" si="99"/>
        <v>47.429840025651174</v>
      </c>
      <c r="I314" s="141">
        <f t="shared" si="99"/>
        <v>42.583155178858966</v>
      </c>
      <c r="J314" s="141">
        <f t="shared" si="99"/>
        <v>46.260120742584881</v>
      </c>
      <c r="K314" s="141">
        <f t="shared" si="99"/>
        <v>24.490124680802442</v>
      </c>
      <c r="L314" s="141"/>
      <c r="M314" s="136">
        <f t="shared" si="65"/>
        <v>24.212741921254377</v>
      </c>
      <c r="N314" s="32">
        <f t="shared" si="66"/>
        <v>45.809087813953532</v>
      </c>
      <c r="O314" s="32">
        <f t="shared" si="67"/>
        <v>37.777800200748764</v>
      </c>
    </row>
    <row r="315" spans="1:15" s="18" customFormat="1" hidden="1">
      <c r="A315" s="151" t="s">
        <v>125</v>
      </c>
      <c r="B315" s="141"/>
      <c r="C315" s="152"/>
      <c r="D315" s="141"/>
      <c r="E315" s="141"/>
      <c r="F315" s="141">
        <f>F312-F314</f>
        <v>7.0752779359695452</v>
      </c>
      <c r="G315" s="141">
        <f t="shared" ref="G315:K315" si="100">G312-G314</f>
        <v>55.780543479384129</v>
      </c>
      <c r="H315" s="141">
        <f t="shared" si="100"/>
        <v>55.090159974348865</v>
      </c>
      <c r="I315" s="141">
        <f t="shared" si="100"/>
        <v>322.96684482114097</v>
      </c>
      <c r="J315" s="141">
        <f t="shared" si="100"/>
        <v>254.09987925741518</v>
      </c>
      <c r="K315" s="46">
        <f t="shared" si="100"/>
        <v>250.66987531919753</v>
      </c>
      <c r="L315" s="46"/>
      <c r="M315" s="136">
        <f t="shared" si="65"/>
        <v>94.568258078745629</v>
      </c>
      <c r="N315" s="32">
        <f t="shared" si="66"/>
        <v>206.63511218604646</v>
      </c>
      <c r="O315" s="32">
        <f t="shared" si="67"/>
        <v>275.91219979925125</v>
      </c>
    </row>
    <row r="316" spans="1:15" s="18" customFormat="1" hidden="1">
      <c r="A316" s="151"/>
      <c r="B316" s="46"/>
      <c r="C316" s="69"/>
      <c r="D316" s="46"/>
      <c r="E316" s="46"/>
      <c r="F316" s="46"/>
      <c r="G316" s="46"/>
      <c r="H316" s="46"/>
      <c r="I316" s="46"/>
      <c r="J316" s="46"/>
      <c r="K316" s="46"/>
      <c r="L316" s="46"/>
      <c r="M316" s="136">
        <f t="shared" si="65"/>
        <v>0</v>
      </c>
      <c r="N316" s="32">
        <f t="shared" si="66"/>
        <v>0</v>
      </c>
      <c r="O316" s="32">
        <f t="shared" si="67"/>
        <v>0</v>
      </c>
    </row>
    <row r="317" spans="1:15" s="18" customFormat="1" hidden="1">
      <c r="A317" s="151" t="s">
        <v>126</v>
      </c>
      <c r="B317" s="46"/>
      <c r="C317" s="69"/>
      <c r="D317" s="141">
        <f>D310*D311</f>
        <v>26.506252722601065</v>
      </c>
      <c r="E317" s="141">
        <f t="shared" ref="E317:K317" si="101">E310*E311</f>
        <v>30.054513456790062</v>
      </c>
      <c r="F317" s="141">
        <f t="shared" si="101"/>
        <v>35.042108667731149</v>
      </c>
      <c r="G317" s="141">
        <f t="shared" si="101"/>
        <v>42.286410689780986</v>
      </c>
      <c r="H317" s="141">
        <f t="shared" si="101"/>
        <v>45.322982120195377</v>
      </c>
      <c r="I317" s="141">
        <f t="shared" si="101"/>
        <v>40.950027028351762</v>
      </c>
      <c r="J317" s="141">
        <f t="shared" si="101"/>
        <v>49.636772817593595</v>
      </c>
      <c r="K317" s="141">
        <f t="shared" si="101"/>
        <v>30.047210752267375</v>
      </c>
      <c r="L317" s="141"/>
      <c r="M317" s="136">
        <f t="shared" si="65"/>
        <v>29.984627825531142</v>
      </c>
      <c r="N317" s="32">
        <f t="shared" si="66"/>
        <v>47.645606246744045</v>
      </c>
      <c r="O317" s="32">
        <f t="shared" si="67"/>
        <v>40.211336866070916</v>
      </c>
    </row>
    <row r="318" spans="1:15" s="18" customFormat="1" hidden="1">
      <c r="A318" s="151" t="s">
        <v>127</v>
      </c>
      <c r="B318" s="46"/>
      <c r="C318" s="69"/>
      <c r="D318" s="141">
        <f>D312-D317</f>
        <v>-23.946252722601066</v>
      </c>
      <c r="E318" s="141">
        <f t="shared" ref="E318:K318" si="102">E312-E317</f>
        <v>82.055486543209923</v>
      </c>
      <c r="F318" s="141">
        <f t="shared" si="102"/>
        <v>9.3278913322688695</v>
      </c>
      <c r="G318" s="141">
        <f t="shared" si="102"/>
        <v>57.56358931021898</v>
      </c>
      <c r="H318" s="141">
        <f t="shared" si="102"/>
        <v>57.197017879804662</v>
      </c>
      <c r="I318" s="141">
        <f t="shared" si="102"/>
        <v>324.59997297164819</v>
      </c>
      <c r="J318" s="141">
        <f t="shared" si="102"/>
        <v>250.72322718240648</v>
      </c>
      <c r="K318" s="141">
        <f t="shared" si="102"/>
        <v>245.11278924773259</v>
      </c>
      <c r="L318" s="141"/>
      <c r="M318" s="136">
        <f t="shared" si="65"/>
        <v>100.26337217446886</v>
      </c>
      <c r="N318" s="32">
        <f t="shared" si="66"/>
        <v>207.09199375325596</v>
      </c>
      <c r="O318" s="32">
        <f t="shared" si="67"/>
        <v>273.4786631339291</v>
      </c>
    </row>
    <row r="319" spans="1:15" s="18" customFormat="1" hidden="1">
      <c r="A319" s="57"/>
      <c r="B319" s="46"/>
      <c r="C319" s="69"/>
      <c r="D319" s="46"/>
      <c r="E319" s="46"/>
      <c r="F319" s="46"/>
      <c r="G319" s="46"/>
      <c r="H319" s="46"/>
      <c r="I319" s="46"/>
      <c r="J319" s="46"/>
      <c r="K319" s="46"/>
      <c r="L319" s="46"/>
      <c r="M319" s="136">
        <f t="shared" si="65"/>
        <v>0</v>
      </c>
      <c r="N319" s="32">
        <f t="shared" si="66"/>
        <v>0</v>
      </c>
      <c r="O319" s="32">
        <f t="shared" si="67"/>
        <v>0</v>
      </c>
    </row>
    <row r="320" spans="1:15" s="18" customFormat="1" hidden="1">
      <c r="A320" s="57" t="s">
        <v>580</v>
      </c>
      <c r="B320" s="46"/>
      <c r="C320" s="152"/>
      <c r="D320" s="141"/>
      <c r="E320" s="141"/>
      <c r="F320" s="141">
        <f>'Data Sheet'!F30+'Data Sheet'!F26-Customization!F315</f>
        <v>429.75472206403043</v>
      </c>
      <c r="G320" s="141">
        <f>'Data Sheet'!G30+'Data Sheet'!G26-Customization!G315</f>
        <v>429.99945652061592</v>
      </c>
      <c r="H320" s="141">
        <f>'Data Sheet'!H30+'Data Sheet'!H26-Customization!H315</f>
        <v>485.35984002565118</v>
      </c>
      <c r="I320" s="141">
        <f>'Data Sheet'!I30+'Data Sheet'!I26-Customization!I315</f>
        <v>267.65315517885904</v>
      </c>
      <c r="J320" s="141">
        <f>'Data Sheet'!J30+'Data Sheet'!J26-Customization!J315</f>
        <v>379.90012074258482</v>
      </c>
      <c r="K320" s="141">
        <f>'Data Sheet'!K30+'Data Sheet'!K26-Customization!K315</f>
        <v>437.2501246808024</v>
      </c>
      <c r="L320" s="141"/>
      <c r="M320" s="136">
        <f t="shared" si="65"/>
        <v>242.99174192125437</v>
      </c>
      <c r="N320" s="32">
        <f t="shared" si="66"/>
        <v>448.63088781395356</v>
      </c>
      <c r="O320" s="32">
        <f t="shared" si="67"/>
        <v>361.60113353408207</v>
      </c>
    </row>
    <row r="321" spans="1:15" s="18" customFormat="1" hidden="1">
      <c r="A321" s="57" t="s">
        <v>578</v>
      </c>
      <c r="B321" s="46"/>
      <c r="C321" s="152"/>
      <c r="D321" s="45">
        <f>('Data Sheet'!D30+'Data Sheet'!D26-Customization!D318)/'Profit &amp; Loss'!D4</f>
        <v>0.1989109414758003</v>
      </c>
      <c r="E321" s="45">
        <f>('Data Sheet'!E30+'Data Sheet'!E26-Customization!E318)/'Profit &amp; Loss'!E4</f>
        <v>0.19301005546955863</v>
      </c>
      <c r="F321" s="45">
        <f>('Data Sheet'!F30+'Data Sheet'!F26-Customization!F318)/'Profit &amp; Loss'!F4</f>
        <v>0.18699898022314276</v>
      </c>
      <c r="G321" s="45">
        <f>('Data Sheet'!G30+'Data Sheet'!G26-Customization!G318)/'Profit &amp; Loss'!G4</f>
        <v>0.15899734173827748</v>
      </c>
      <c r="H321" s="45">
        <f>('Data Sheet'!H30+'Data Sheet'!H26-Customization!H318)/'Profit &amp; Loss'!H4</f>
        <v>0.15274399604280769</v>
      </c>
      <c r="I321" s="45">
        <f>('Data Sheet'!I30+'Data Sheet'!I26-Customization!I318)/'Profit &amp; Loss'!I4</f>
        <v>7.4331978235321741E-2</v>
      </c>
      <c r="J321" s="45">
        <f>('Data Sheet'!J30+'Data Sheet'!J26-Customization!J318)/'Profit &amp; Loss'!J4</f>
        <v>9.6253779016658589E-2</v>
      </c>
      <c r="K321" s="45">
        <f>('Data Sheet'!K30+'Data Sheet'!K26-Customization!K318)/'Profit &amp; Loss'!K4</f>
        <v>0.10638547788651616</v>
      </c>
      <c r="L321" s="45"/>
      <c r="M321" s="136">
        <f t="shared" si="65"/>
        <v>0.11676325500880833</v>
      </c>
      <c r="N321" s="32">
        <f t="shared" si="66"/>
        <v>0.141095165585678</v>
      </c>
      <c r="O321" s="32">
        <f t="shared" si="67"/>
        <v>9.2323745046165487E-2</v>
      </c>
    </row>
    <row r="322" spans="1:15" s="18" customFormat="1" hidden="1">
      <c r="A322" s="57" t="s">
        <v>579</v>
      </c>
      <c r="B322" s="46"/>
      <c r="C322" s="153"/>
      <c r="D322" s="153"/>
      <c r="E322" s="136">
        <f>(E323+'Data Sheet'!E26-Customization!E313)/'Profit &amp; Loss'!E4</f>
        <v>0.21079325608335114</v>
      </c>
      <c r="F322" s="136">
        <f>(F323+'Data Sheet'!F26-Customization!F313)/'Profit &amp; Loss'!F4</f>
        <v>0.16788999119322986</v>
      </c>
      <c r="G322" s="136">
        <f>(G323+'Data Sheet'!G26-Customization!G313)/'Profit &amp; Loss'!G4</f>
        <v>0.14864555447053043</v>
      </c>
      <c r="H322" s="136">
        <f>(H323+'Data Sheet'!H26-Customization!H313)/'Profit &amp; Loss'!H4</f>
        <v>0.14482643816579802</v>
      </c>
      <c r="I322" s="136">
        <f>(I323+'Data Sheet'!I26-Customization!I313)/'Profit &amp; Loss'!I4</f>
        <v>0.11213597070907184</v>
      </c>
      <c r="J322" s="136">
        <f>(J323+'Data Sheet'!J26-Customization!J313)/'Profit &amp; Loss'!J4</f>
        <v>9.489260678630683E-2</v>
      </c>
      <c r="K322" s="136">
        <f>(K323+'Data Sheet'!K26-Customization!K313)/'Profit &amp; Loss'!K4</f>
        <v>8.9909641086997769E-2</v>
      </c>
      <c r="L322" s="136"/>
      <c r="M322" s="136">
        <f t="shared" si="65"/>
        <v>9.690934584952858E-2</v>
      </c>
      <c r="N322" s="32">
        <f t="shared" si="66"/>
        <v>0.13746391141364669</v>
      </c>
      <c r="O322" s="32">
        <f t="shared" si="67"/>
        <v>9.8979406194125485E-2</v>
      </c>
    </row>
    <row r="323" spans="1:15" s="18" customFormat="1" hidden="1">
      <c r="A323" s="57" t="str">
        <f>'Data Sheet'!A30</f>
        <v>Net profit</v>
      </c>
      <c r="B323" s="57">
        <f>'Data Sheet'!B30</f>
        <v>160.16999999999999</v>
      </c>
      <c r="C323" s="57">
        <f>'Data Sheet'!C30</f>
        <v>231.71</v>
      </c>
      <c r="D323" s="57">
        <f>'Data Sheet'!D30</f>
        <v>290.22000000000003</v>
      </c>
      <c r="E323" s="57">
        <f>'Data Sheet'!E30</f>
        <v>423.26</v>
      </c>
      <c r="F323" s="57">
        <f>'Data Sheet'!F30</f>
        <v>402.58</v>
      </c>
      <c r="G323" s="57">
        <f>'Data Sheet'!G30</f>
        <v>446.47</v>
      </c>
      <c r="H323" s="57">
        <f>'Data Sheet'!H30</f>
        <v>496.75</v>
      </c>
      <c r="I323" s="57">
        <f>'Data Sheet'!I30</f>
        <v>539.87</v>
      </c>
      <c r="J323" s="57">
        <f>'Data Sheet'!J30</f>
        <v>558.98</v>
      </c>
      <c r="K323" s="57">
        <f>'Data Sheet'!K30</f>
        <v>576.51</v>
      </c>
      <c r="L323" s="57"/>
      <c r="M323" s="136">
        <f t="shared" si="65"/>
        <v>373.46399999999994</v>
      </c>
      <c r="N323" s="32">
        <f t="shared" si="66"/>
        <v>598.40879999999993</v>
      </c>
      <c r="O323" s="32">
        <f t="shared" si="67"/>
        <v>558.45333333333326</v>
      </c>
    </row>
    <row r="324" spans="1:15" s="18" customFormat="1" hidden="1">
      <c r="A324" s="57" t="s">
        <v>542</v>
      </c>
      <c r="B324" s="57"/>
      <c r="C324" s="57"/>
      <c r="D324" s="57">
        <f>SUM(B323:D323)/3</f>
        <v>227.36666666666667</v>
      </c>
      <c r="E324" s="57">
        <f t="shared" ref="E324:K324" si="103">SUM(C323:E323)/3</f>
        <v>315.06333333333333</v>
      </c>
      <c r="F324" s="57">
        <f t="shared" si="103"/>
        <v>372.02</v>
      </c>
      <c r="G324" s="57">
        <f t="shared" si="103"/>
        <v>424.1033333333333</v>
      </c>
      <c r="H324" s="57">
        <f t="shared" si="103"/>
        <v>448.59999999999997</v>
      </c>
      <c r="I324" s="57">
        <f t="shared" si="103"/>
        <v>494.3633333333334</v>
      </c>
      <c r="J324" s="57">
        <f t="shared" si="103"/>
        <v>531.86666666666667</v>
      </c>
      <c r="K324" s="57">
        <f t="shared" si="103"/>
        <v>558.45333333333326</v>
      </c>
      <c r="L324" s="57"/>
      <c r="M324" s="136">
        <f t="shared" si="65"/>
        <v>337.18366666666668</v>
      </c>
      <c r="N324" s="32">
        <f t="shared" si="66"/>
        <v>558.91406666666671</v>
      </c>
      <c r="O324" s="32">
        <f t="shared" si="67"/>
        <v>528.22777777777776</v>
      </c>
    </row>
    <row r="325" spans="1:15" s="18" customFormat="1" hidden="1">
      <c r="A325" s="57" t="s">
        <v>543</v>
      </c>
      <c r="B325" s="57"/>
      <c r="C325" s="57"/>
      <c r="D325" s="57">
        <f>SUM('Data Sheet'!B26:D26)/3</f>
        <v>19.349999999999998</v>
      </c>
      <c r="E325" s="57">
        <f>SUM('Data Sheet'!C26:E26)/3</f>
        <v>26.786666666666665</v>
      </c>
      <c r="F325" s="57">
        <f>SUM('Data Sheet'!D26:F26)/3</f>
        <v>31.59</v>
      </c>
      <c r="G325" s="57">
        <f>SUM('Data Sheet'!E26:G26)/3</f>
        <v>37.043333333333329</v>
      </c>
      <c r="H325" s="57">
        <f>SUM('Data Sheet'!F26:H26)/3</f>
        <v>39.086666666666666</v>
      </c>
      <c r="I325" s="57">
        <f>SUM('Data Sheet'!G26:I26)/3</f>
        <v>44.586666666666666</v>
      </c>
      <c r="J325" s="57">
        <f>SUM('Data Sheet'!H26:J26)/3</f>
        <v>56.49</v>
      </c>
      <c r="K325" s="57">
        <f>SUM('Data Sheet'!I26:K26)/3</f>
        <v>79.06</v>
      </c>
      <c r="L325" s="57"/>
      <c r="M325" s="136">
        <f t="shared" ref="M325:M388" si="104">SUM(D325:K325)/10</f>
        <v>33.399333333333331</v>
      </c>
      <c r="N325" s="32">
        <f t="shared" ref="N325:N388" si="105">SUM(G325:M325)/5</f>
        <v>57.933199999999999</v>
      </c>
      <c r="O325" s="32">
        <f t="shared" ref="O325:O388" si="106">SUM(I325:K325)/3</f>
        <v>60.045555555555552</v>
      </c>
    </row>
    <row r="326" spans="1:15" s="18" customFormat="1" hidden="1">
      <c r="A326" s="57" t="s">
        <v>577</v>
      </c>
      <c r="B326" s="46"/>
      <c r="C326" s="69"/>
      <c r="D326" s="143"/>
      <c r="E326" s="45">
        <f>(E324+E325-E313)/'Profit &amp; Loss'!E4</f>
        <v>0.15016526876131661</v>
      </c>
      <c r="F326" s="45">
        <f>(F324+F325-F313)/'Profit &amp; Loss'!F4</f>
        <v>0.15335882047603216</v>
      </c>
      <c r="G326" s="45">
        <f>(G324+G325-G313)/'Profit &amp; Loss'!G4</f>
        <v>0.13949916395307246</v>
      </c>
      <c r="H326" s="45">
        <f>(H324+H325-H313)/'Profit &amp; Loss'!H4</f>
        <v>0.128149288358024</v>
      </c>
      <c r="I326" s="45">
        <f>(I324+I325-I313)/'Profit &amp; Loss'!I4</f>
        <v>9.7698210671517474E-2</v>
      </c>
      <c r="J326" s="45">
        <f>(J324+J325-J313)/'Profit &amp; Loss'!J4</f>
        <v>8.3430019873060188E-2</v>
      </c>
      <c r="K326" s="45">
        <f>(K324+K325-K313)/'Profit &amp; Loss'!K4</f>
        <v>7.7799320406154629E-2</v>
      </c>
      <c r="L326" s="45"/>
      <c r="M326" s="136">
        <f t="shared" si="104"/>
        <v>8.3010009249917763E-2</v>
      </c>
      <c r="N326" s="32">
        <f t="shared" si="105"/>
        <v>0.1219172025023493</v>
      </c>
      <c r="O326" s="32">
        <f t="shared" si="106"/>
        <v>8.6309183650244092E-2</v>
      </c>
    </row>
    <row r="327" spans="1:15" s="18" customFormat="1" hidden="1">
      <c r="A327" s="57" t="s">
        <v>128</v>
      </c>
      <c r="B327" s="45"/>
      <c r="C327" s="136"/>
      <c r="D327" s="45"/>
      <c r="E327" s="45"/>
      <c r="F327" s="45">
        <f>F320/'Data Sheet'!F17</f>
        <v>0.18798432368555915</v>
      </c>
      <c r="G327" s="45">
        <f>G320/'Data Sheet'!G17</f>
        <v>0.15965938910550376</v>
      </c>
      <c r="H327" s="45">
        <f>H320/'Data Sheet'!H17</f>
        <v>0.15340992032569944</v>
      </c>
      <c r="I327" s="45">
        <f>I320/'Data Sheet'!I17</f>
        <v>7.4788310968969859E-2</v>
      </c>
      <c r="J327" s="45">
        <f>J320/'Data Sheet'!J17</f>
        <v>9.5405787315375121E-2</v>
      </c>
      <c r="K327" s="45">
        <f>K320/'Data Sheet'!K17</f>
        <v>0.10505037483712149</v>
      </c>
      <c r="L327" s="45"/>
      <c r="M327" s="136">
        <f t="shared" si="104"/>
        <v>7.7629810623822876E-2</v>
      </c>
      <c r="N327" s="32">
        <f t="shared" si="105"/>
        <v>0.13318871863529852</v>
      </c>
      <c r="O327" s="32">
        <f t="shared" si="106"/>
        <v>9.1748157707155498E-2</v>
      </c>
    </row>
    <row r="328" spans="1:15" s="18" customFormat="1" hidden="1">
      <c r="A328" s="57" t="s">
        <v>129</v>
      </c>
      <c r="B328" s="45"/>
      <c r="C328" s="136"/>
      <c r="D328" s="45">
        <f>D321/'Data Sheet'!D17</f>
        <v>1.1736474382131349E-4</v>
      </c>
      <c r="E328" s="45">
        <f>E321/'Data Sheet'!E17</f>
        <v>9.8351077458678707E-5</v>
      </c>
      <c r="F328" s="45">
        <f>F321/'Data Sheet'!F17</f>
        <v>8.1797534785200596E-5</v>
      </c>
      <c r="G328" s="45">
        <f>G321/'Data Sheet'!G17</f>
        <v>5.9035931479404832E-5</v>
      </c>
      <c r="H328" s="45">
        <f>H321/'Data Sheet'!H17</f>
        <v>4.8278498406291052E-5</v>
      </c>
      <c r="I328" s="45">
        <f>I321/'Data Sheet'!I17</f>
        <v>2.0770026415294955E-5</v>
      </c>
      <c r="J328" s="45">
        <f>J321/'Data Sheet'!J17</f>
        <v>2.4172583970792775E-5</v>
      </c>
      <c r="K328" s="45">
        <f>K321/'Data Sheet'!K17</f>
        <v>2.5559362246867987E-5</v>
      </c>
      <c r="L328" s="45"/>
      <c r="M328" s="136">
        <f t="shared" si="104"/>
        <v>4.7532975858384434E-5</v>
      </c>
      <c r="N328" s="32">
        <f t="shared" si="105"/>
        <v>4.5069875675407211E-5</v>
      </c>
      <c r="O328" s="32">
        <f t="shared" si="106"/>
        <v>2.3500657544318574E-5</v>
      </c>
    </row>
    <row r="329" spans="1:15" s="18" customFormat="1" hidden="1">
      <c r="A329" s="57" t="s">
        <v>131</v>
      </c>
      <c r="B329" s="46"/>
      <c r="C329" s="136">
        <f>C322/'Data Sheet'!C17</f>
        <v>0</v>
      </c>
      <c r="D329" s="136">
        <f>D322/'Data Sheet'!D17</f>
        <v>0</v>
      </c>
      <c r="E329" s="136">
        <f>E322/'Data Sheet'!E17</f>
        <v>1.0741276565298205E-4</v>
      </c>
      <c r="F329" s="136">
        <f>F322/'Data Sheet'!F17</f>
        <v>7.3438835753691795E-5</v>
      </c>
      <c r="G329" s="136">
        <f>G322/'Data Sheet'!G17</f>
        <v>5.5192298641605223E-5</v>
      </c>
      <c r="H329" s="136">
        <f>H322/'Data Sheet'!H17</f>
        <v>4.5775959417853162E-5</v>
      </c>
      <c r="I329" s="136">
        <f>I322/'Data Sheet'!I17</f>
        <v>3.1333312109073083E-5</v>
      </c>
      <c r="J329" s="136">
        <f>J322/'Data Sheet'!J17</f>
        <v>2.3830747521636896E-5</v>
      </c>
      <c r="K329" s="136">
        <f>K322/'Data Sheet'!K17</f>
        <v>2.160100355501365E-5</v>
      </c>
      <c r="L329" s="136"/>
      <c r="M329" s="136">
        <f t="shared" si="104"/>
        <v>3.5858492265185593E-5</v>
      </c>
      <c r="N329" s="32">
        <f t="shared" si="105"/>
        <v>4.2718362702073514E-5</v>
      </c>
      <c r="O329" s="32">
        <f t="shared" si="106"/>
        <v>2.5588354395241207E-5</v>
      </c>
    </row>
    <row r="330" spans="1:15" s="18" customFormat="1" hidden="1">
      <c r="A330" s="57" t="s">
        <v>132</v>
      </c>
      <c r="B330" s="78">
        <f>B64</f>
        <v>0.12367002795064624</v>
      </c>
      <c r="C330" s="78">
        <f t="shared" ref="C330:K330" si="107">C64</f>
        <v>0.15726424954865684</v>
      </c>
      <c r="D330" s="78">
        <f t="shared" si="107"/>
        <v>0.17124043403095335</v>
      </c>
      <c r="E330" s="78">
        <f t="shared" si="107"/>
        <v>0.21567828134076616</v>
      </c>
      <c r="F330" s="78">
        <f t="shared" si="107"/>
        <v>0.17609749269504663</v>
      </c>
      <c r="G330" s="78">
        <f t="shared" si="107"/>
        <v>0.16577492453299569</v>
      </c>
      <c r="H330" s="78">
        <f t="shared" si="107"/>
        <v>0.15701006065471695</v>
      </c>
      <c r="I330" s="78">
        <f t="shared" si="107"/>
        <v>0.15085181945954101</v>
      </c>
      <c r="J330" s="78">
        <f t="shared" si="107"/>
        <v>0.14037881032863378</v>
      </c>
      <c r="K330" s="78">
        <f t="shared" si="107"/>
        <v>0.13850788868627606</v>
      </c>
      <c r="L330" s="78"/>
      <c r="M330" s="136">
        <f t="shared" si="104"/>
        <v>0.13155397117289297</v>
      </c>
      <c r="N330" s="32">
        <f t="shared" si="105"/>
        <v>0.17681549496701127</v>
      </c>
      <c r="O330" s="32">
        <f t="shared" si="106"/>
        <v>0.14324617282481697</v>
      </c>
    </row>
    <row r="331" spans="1:15" s="18" customFormat="1" hidden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136">
        <f t="shared" si="104"/>
        <v>0</v>
      </c>
      <c r="N331" s="32">
        <f t="shared" si="105"/>
        <v>0</v>
      </c>
      <c r="O331" s="32">
        <f t="shared" si="106"/>
        <v>0</v>
      </c>
    </row>
    <row r="332" spans="1:15" s="18" customFormat="1" hidden="1">
      <c r="A332" s="57" t="s">
        <v>130</v>
      </c>
      <c r="B332" s="46"/>
      <c r="C332" s="152">
        <f>C312/'Data Sheet'!C26</f>
        <v>1.3508064516129037</v>
      </c>
      <c r="D332" s="152">
        <f>D312/'Data Sheet'!D26</f>
        <v>0.11154684095860561</v>
      </c>
      <c r="E332" s="152">
        <f>E312/'Data Sheet'!E26</f>
        <v>2.9840298110194299</v>
      </c>
      <c r="F332" s="152">
        <f>F312/'Data Sheet'!F26</f>
        <v>1.295474452554745</v>
      </c>
      <c r="G332" s="152">
        <f>G312/'Data Sheet'!G26</f>
        <v>2.5400661409310596</v>
      </c>
      <c r="H332" s="152">
        <f>H312/'Data Sheet'!H26</f>
        <v>2.3459954233409617</v>
      </c>
      <c r="I332" s="152">
        <f>I312/'Data Sheet'!I26</f>
        <v>7.2029556650246294</v>
      </c>
      <c r="J332" s="152">
        <f>J312/'Data Sheet'!J26</f>
        <v>4.0037323380431893</v>
      </c>
      <c r="K332" s="152">
        <f>K312/'Data Sheet'!K26</f>
        <v>2.4697962480926305</v>
      </c>
      <c r="L332" s="152"/>
      <c r="M332" s="136">
        <f t="shared" si="104"/>
        <v>2.2953596919965249</v>
      </c>
      <c r="N332" s="32">
        <f t="shared" si="105"/>
        <v>4.1715811014857991</v>
      </c>
      <c r="O332" s="32">
        <f t="shared" si="106"/>
        <v>4.55882808372015</v>
      </c>
    </row>
    <row r="333" spans="1:15" s="18" customFormat="1" hidden="1">
      <c r="A333" s="57"/>
      <c r="B333" s="46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136">
        <f t="shared" si="104"/>
        <v>0</v>
      </c>
      <c r="N333" s="32">
        <f t="shared" si="105"/>
        <v>0</v>
      </c>
      <c r="O333" s="32">
        <f t="shared" si="106"/>
        <v>0</v>
      </c>
    </row>
    <row r="334" spans="1:15" s="18" customFormat="1">
      <c r="A334" s="57" t="s">
        <v>140</v>
      </c>
      <c r="B334" s="46">
        <f>'Data Sheet'!B30</f>
        <v>160.16999999999999</v>
      </c>
      <c r="C334" s="46">
        <f>'Data Sheet'!C30</f>
        <v>231.71</v>
      </c>
      <c r="D334" s="46">
        <f>'Data Sheet'!D30</f>
        <v>290.22000000000003</v>
      </c>
      <c r="E334" s="46">
        <f>'Data Sheet'!E30</f>
        <v>423.26</v>
      </c>
      <c r="F334" s="46">
        <f>'Data Sheet'!F30</f>
        <v>402.58</v>
      </c>
      <c r="G334" s="46">
        <f>'Data Sheet'!G30</f>
        <v>446.47</v>
      </c>
      <c r="H334" s="46">
        <f>'Data Sheet'!H30</f>
        <v>496.75</v>
      </c>
      <c r="I334" s="46">
        <f>'Data Sheet'!I30</f>
        <v>539.87</v>
      </c>
      <c r="J334" s="46">
        <f>'Data Sheet'!J30</f>
        <v>558.98</v>
      </c>
      <c r="K334" s="46">
        <f>'Data Sheet'!K30</f>
        <v>576.51</v>
      </c>
      <c r="L334" s="46"/>
      <c r="M334" s="136">
        <f t="shared" si="104"/>
        <v>373.46399999999994</v>
      </c>
      <c r="N334" s="32">
        <f t="shared" si="105"/>
        <v>598.40879999999993</v>
      </c>
      <c r="O334" s="32">
        <f t="shared" si="106"/>
        <v>558.45333333333326</v>
      </c>
    </row>
    <row r="335" spans="1:15" s="18" customFormat="1">
      <c r="A335" s="57" t="s">
        <v>146</v>
      </c>
      <c r="B335" s="46"/>
      <c r="C335" s="69">
        <f>C82-B82</f>
        <v>-117.89999999999995</v>
      </c>
      <c r="D335" s="69">
        <f t="shared" ref="D335:K335" si="108">D82-C82</f>
        <v>54.089999999999975</v>
      </c>
      <c r="E335" s="69">
        <f t="shared" si="108"/>
        <v>109.71000000000001</v>
      </c>
      <c r="F335" s="69">
        <f t="shared" si="108"/>
        <v>53.400000000000034</v>
      </c>
      <c r="G335" s="69">
        <f t="shared" si="108"/>
        <v>51.340000000000032</v>
      </c>
      <c r="H335" s="69">
        <f t="shared" si="108"/>
        <v>54.149999999999977</v>
      </c>
      <c r="I335" s="69">
        <f t="shared" si="108"/>
        <v>110.28999999999996</v>
      </c>
      <c r="J335" s="69">
        <f t="shared" si="108"/>
        <v>170.44000000000005</v>
      </c>
      <c r="K335" s="69">
        <f t="shared" si="108"/>
        <v>249.14999999999998</v>
      </c>
      <c r="L335" s="69"/>
      <c r="M335" s="136">
        <f t="shared" si="104"/>
        <v>85.257000000000005</v>
      </c>
      <c r="N335" s="32">
        <f t="shared" si="105"/>
        <v>144.12539999999998</v>
      </c>
      <c r="O335" s="32">
        <f t="shared" si="106"/>
        <v>176.62666666666667</v>
      </c>
    </row>
    <row r="336" spans="1:15" s="18" customFormat="1">
      <c r="A336" s="57" t="s">
        <v>147</v>
      </c>
      <c r="B336" s="46"/>
      <c r="C336" s="69">
        <f>C83-B83</f>
        <v>-150.43999999999994</v>
      </c>
      <c r="D336" s="69">
        <f t="shared" ref="D336:K336" si="109">D83-C83</f>
        <v>-52.79000000000002</v>
      </c>
      <c r="E336" s="69">
        <f t="shared" si="109"/>
        <v>13.27000000000001</v>
      </c>
      <c r="F336" s="69">
        <f t="shared" si="109"/>
        <v>5.8300000000000409</v>
      </c>
      <c r="G336" s="69">
        <f t="shared" si="109"/>
        <v>136.69</v>
      </c>
      <c r="H336" s="69">
        <f t="shared" si="109"/>
        <v>-64.850000000000023</v>
      </c>
      <c r="I336" s="69">
        <f t="shared" si="109"/>
        <v>253.70999999999998</v>
      </c>
      <c r="J336" s="69">
        <f t="shared" si="109"/>
        <v>201.37000000000012</v>
      </c>
      <c r="K336" s="69">
        <f t="shared" si="109"/>
        <v>215.29999999999995</v>
      </c>
      <c r="L336" s="69"/>
      <c r="M336" s="136">
        <f t="shared" si="104"/>
        <v>70.853000000000009</v>
      </c>
      <c r="N336" s="32">
        <f t="shared" si="105"/>
        <v>162.61460000000002</v>
      </c>
      <c r="O336" s="32">
        <f t="shared" si="106"/>
        <v>223.46000000000004</v>
      </c>
    </row>
    <row r="337" spans="1:15" s="18" customFormat="1">
      <c r="A337" s="57" t="s">
        <v>148</v>
      </c>
      <c r="B337" s="46"/>
      <c r="C337" s="153">
        <f>C84-B84</f>
        <v>-57.149999999999949</v>
      </c>
      <c r="D337" s="153">
        <f t="shared" ref="D337:K337" si="110">D84-C84</f>
        <v>88.349999999999881</v>
      </c>
      <c r="E337" s="153">
        <f t="shared" si="110"/>
        <v>127.04000000000011</v>
      </c>
      <c r="F337" s="153">
        <f t="shared" si="110"/>
        <v>35.659999999999968</v>
      </c>
      <c r="G337" s="153">
        <f t="shared" si="110"/>
        <v>42.960000000000036</v>
      </c>
      <c r="H337" s="153">
        <f t="shared" si="110"/>
        <v>54.149999999999977</v>
      </c>
      <c r="I337" s="153">
        <f t="shared" si="110"/>
        <v>120.27999999999997</v>
      </c>
      <c r="J337" s="153">
        <f t="shared" si="110"/>
        <v>170.44000000000005</v>
      </c>
      <c r="K337" s="153">
        <f t="shared" si="110"/>
        <v>256.14999999999986</v>
      </c>
      <c r="L337" s="153"/>
      <c r="M337" s="136">
        <f t="shared" si="104"/>
        <v>89.502999999999986</v>
      </c>
      <c r="N337" s="32">
        <f t="shared" si="105"/>
        <v>146.69659999999999</v>
      </c>
      <c r="O337" s="32">
        <f t="shared" si="106"/>
        <v>182.28999999999996</v>
      </c>
    </row>
    <row r="338" spans="1:15" s="18" customFormat="1">
      <c r="A338" s="57" t="s">
        <v>149</v>
      </c>
      <c r="B338" s="46"/>
      <c r="C338" s="153">
        <f>C85-B85</f>
        <v>-89.689999999999941</v>
      </c>
      <c r="D338" s="153">
        <f t="shared" ref="D338:K338" si="111">D85-C85</f>
        <v>-18.530000000000115</v>
      </c>
      <c r="E338" s="153">
        <f t="shared" si="111"/>
        <v>30.600000000000108</v>
      </c>
      <c r="F338" s="153">
        <f t="shared" si="111"/>
        <v>-11.910000000000025</v>
      </c>
      <c r="G338" s="153">
        <f t="shared" si="111"/>
        <v>128.31</v>
      </c>
      <c r="H338" s="153">
        <f t="shared" si="111"/>
        <v>-64.850000000000023</v>
      </c>
      <c r="I338" s="153">
        <f t="shared" si="111"/>
        <v>263.7</v>
      </c>
      <c r="J338" s="153">
        <f t="shared" si="111"/>
        <v>201.37000000000006</v>
      </c>
      <c r="K338" s="153">
        <f t="shared" si="111"/>
        <v>222.2999999999999</v>
      </c>
      <c r="L338" s="153"/>
      <c r="M338" s="136">
        <f t="shared" si="104"/>
        <v>75.099000000000004</v>
      </c>
      <c r="N338" s="32">
        <f t="shared" si="105"/>
        <v>165.1858</v>
      </c>
      <c r="O338" s="32">
        <f t="shared" si="106"/>
        <v>229.12333333333331</v>
      </c>
    </row>
    <row r="339" spans="1:15" s="18" customFormat="1">
      <c r="A339" s="57"/>
      <c r="B339" s="46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136">
        <f t="shared" si="104"/>
        <v>0</v>
      </c>
      <c r="N339" s="32">
        <f t="shared" si="105"/>
        <v>0</v>
      </c>
      <c r="O339" s="32">
        <f t="shared" si="106"/>
        <v>0</v>
      </c>
    </row>
    <row r="340" spans="1:15" s="18" customFormat="1">
      <c r="A340" s="57" t="s">
        <v>585</v>
      </c>
      <c r="B340" s="46"/>
      <c r="C340" s="69">
        <f>C334-C335</f>
        <v>349.60999999999996</v>
      </c>
      <c r="D340" s="69">
        <f t="shared" ref="D340:K340" si="112">D334-D335</f>
        <v>236.13000000000005</v>
      </c>
      <c r="E340" s="69">
        <f t="shared" si="112"/>
        <v>313.54999999999995</v>
      </c>
      <c r="F340" s="69">
        <f t="shared" si="112"/>
        <v>349.17999999999995</v>
      </c>
      <c r="G340" s="69">
        <f t="shared" si="112"/>
        <v>395.13</v>
      </c>
      <c r="H340" s="69">
        <f t="shared" si="112"/>
        <v>442.6</v>
      </c>
      <c r="I340" s="69">
        <f t="shared" si="112"/>
        <v>429.58000000000004</v>
      </c>
      <c r="J340" s="69">
        <f t="shared" si="112"/>
        <v>388.53999999999996</v>
      </c>
      <c r="K340" s="69">
        <f t="shared" si="112"/>
        <v>327.36</v>
      </c>
      <c r="L340" s="69"/>
      <c r="M340" s="136">
        <f t="shared" si="104"/>
        <v>288.20699999999999</v>
      </c>
      <c r="N340" s="32">
        <f t="shared" si="105"/>
        <v>454.28339999999997</v>
      </c>
      <c r="O340" s="32">
        <f t="shared" si="106"/>
        <v>381.82666666666665</v>
      </c>
    </row>
    <row r="341" spans="1:15" s="18" customFormat="1">
      <c r="A341" s="57" t="s">
        <v>586</v>
      </c>
      <c r="B341" s="46"/>
      <c r="C341" s="69">
        <f>C334-C336</f>
        <v>382.15</v>
      </c>
      <c r="D341" s="69">
        <f t="shared" ref="D341:K341" si="113">D334-D336</f>
        <v>343.01000000000005</v>
      </c>
      <c r="E341" s="69">
        <f t="shared" si="113"/>
        <v>409.99</v>
      </c>
      <c r="F341" s="69">
        <f t="shared" si="113"/>
        <v>396.74999999999994</v>
      </c>
      <c r="G341" s="69">
        <f t="shared" si="113"/>
        <v>309.78000000000003</v>
      </c>
      <c r="H341" s="69">
        <f t="shared" si="113"/>
        <v>561.6</v>
      </c>
      <c r="I341" s="69">
        <f t="shared" si="113"/>
        <v>286.16000000000003</v>
      </c>
      <c r="J341" s="69">
        <f t="shared" si="113"/>
        <v>357.6099999999999</v>
      </c>
      <c r="K341" s="69">
        <f t="shared" si="113"/>
        <v>361.21000000000004</v>
      </c>
      <c r="L341" s="69"/>
      <c r="M341" s="136">
        <f t="shared" si="104"/>
        <v>302.61099999999999</v>
      </c>
      <c r="N341" s="32">
        <f t="shared" si="105"/>
        <v>435.79419999999999</v>
      </c>
      <c r="O341" s="32">
        <f t="shared" si="106"/>
        <v>334.99333333333334</v>
      </c>
    </row>
    <row r="342" spans="1:15" s="2" customFormat="1">
      <c r="A342" s="138" t="s">
        <v>587</v>
      </c>
      <c r="B342" s="145"/>
      <c r="C342" s="211">
        <f>(C334-C337)</f>
        <v>288.85999999999996</v>
      </c>
      <c r="D342" s="211">
        <f t="shared" ref="D342:K342" si="114">(D334-D337)</f>
        <v>201.87000000000015</v>
      </c>
      <c r="E342" s="211">
        <f t="shared" si="114"/>
        <v>296.21999999999991</v>
      </c>
      <c r="F342" s="211">
        <f t="shared" si="114"/>
        <v>366.92</v>
      </c>
      <c r="G342" s="211">
        <f t="shared" si="114"/>
        <v>403.51</v>
      </c>
      <c r="H342" s="211">
        <f t="shared" si="114"/>
        <v>442.6</v>
      </c>
      <c r="I342" s="211">
        <f t="shared" si="114"/>
        <v>419.59000000000003</v>
      </c>
      <c r="J342" s="211">
        <f t="shared" si="114"/>
        <v>388.53999999999996</v>
      </c>
      <c r="K342" s="211">
        <f t="shared" si="114"/>
        <v>320.36000000000013</v>
      </c>
      <c r="L342" s="195"/>
      <c r="M342" s="136">
        <f t="shared" si="104"/>
        <v>283.96100000000001</v>
      </c>
      <c r="N342" s="32">
        <f t="shared" si="105"/>
        <v>451.71220000000005</v>
      </c>
      <c r="O342" s="32">
        <f t="shared" si="106"/>
        <v>376.16333333333341</v>
      </c>
    </row>
    <row r="343" spans="1:15" s="18" customFormat="1">
      <c r="A343" s="57" t="s">
        <v>588</v>
      </c>
      <c r="B343" s="46"/>
      <c r="C343" s="153">
        <f>C334-C338</f>
        <v>321.39999999999998</v>
      </c>
      <c r="D343" s="153">
        <f t="shared" ref="D343:K343" si="115">D334-D338</f>
        <v>308.75000000000011</v>
      </c>
      <c r="E343" s="153">
        <f t="shared" si="115"/>
        <v>392.65999999999985</v>
      </c>
      <c r="F343" s="153">
        <f t="shared" si="115"/>
        <v>414.49</v>
      </c>
      <c r="G343" s="153">
        <f t="shared" si="115"/>
        <v>318.16000000000003</v>
      </c>
      <c r="H343" s="153">
        <f t="shared" si="115"/>
        <v>561.6</v>
      </c>
      <c r="I343" s="153">
        <f t="shared" si="115"/>
        <v>276.17</v>
      </c>
      <c r="J343" s="153">
        <f t="shared" si="115"/>
        <v>357.60999999999996</v>
      </c>
      <c r="K343" s="153">
        <f t="shared" si="115"/>
        <v>354.21000000000009</v>
      </c>
      <c r="L343" s="153"/>
      <c r="M343" s="136">
        <f t="shared" si="104"/>
        <v>298.36500000000007</v>
      </c>
      <c r="N343" s="32">
        <f t="shared" si="105"/>
        <v>433.22300000000007</v>
      </c>
      <c r="O343" s="32">
        <f t="shared" si="106"/>
        <v>329.33</v>
      </c>
    </row>
    <row r="344" spans="1:15" s="18" customFormat="1" ht="18" hidden="1">
      <c r="A344" s="137" t="s">
        <v>317</v>
      </c>
      <c r="B344" s="46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136">
        <f t="shared" si="104"/>
        <v>0</v>
      </c>
      <c r="N344" s="32">
        <f t="shared" si="105"/>
        <v>0</v>
      </c>
      <c r="O344" s="32">
        <f t="shared" si="106"/>
        <v>0</v>
      </c>
    </row>
    <row r="345" spans="1:15" s="18" customFormat="1" hidden="1">
      <c r="A345" s="57" t="s">
        <v>194</v>
      </c>
      <c r="B345" s="46"/>
      <c r="C345" s="154">
        <f>C4</f>
        <v>0.13762218756273453</v>
      </c>
      <c r="D345" s="154">
        <f t="shared" ref="D345:K345" si="116">D4</f>
        <v>0.15028709497889195</v>
      </c>
      <c r="E345" s="154">
        <f t="shared" si="116"/>
        <v>0.15792330703736707</v>
      </c>
      <c r="F345" s="154">
        <f t="shared" si="116"/>
        <v>0.16492565453563376</v>
      </c>
      <c r="G345" s="154">
        <f t="shared" si="116"/>
        <v>0.17807901597466455</v>
      </c>
      <c r="H345" s="154">
        <f t="shared" si="116"/>
        <v>0.17472700066462943</v>
      </c>
      <c r="I345" s="154">
        <f t="shared" si="116"/>
        <v>0.13117096159377459</v>
      </c>
      <c r="J345" s="154">
        <f t="shared" si="116"/>
        <v>0.11264358823184246</v>
      </c>
      <c r="K345" s="154">
        <f t="shared" si="116"/>
        <v>4.5291993349975114E-2</v>
      </c>
      <c r="L345" s="154"/>
      <c r="M345" s="136">
        <f t="shared" si="104"/>
        <v>0.1115048616366779</v>
      </c>
      <c r="N345" s="32">
        <f t="shared" si="105"/>
        <v>0.15068348429031284</v>
      </c>
      <c r="O345" s="32">
        <f t="shared" si="106"/>
        <v>9.6368847725197396E-2</v>
      </c>
    </row>
    <row r="346" spans="1:15" s="32" customFormat="1" hidden="1">
      <c r="A346" s="45" t="s">
        <v>195</v>
      </c>
      <c r="B346" s="45"/>
      <c r="C346" s="136">
        <f>(C88-B88)/B88</f>
        <v>0.53927280772918362</v>
      </c>
      <c r="D346" s="136">
        <f t="shared" ref="D346:K347" si="117">(D88-C88)/C88</f>
        <v>0.14345263763116298</v>
      </c>
      <c r="E346" s="136">
        <f t="shared" si="117"/>
        <v>0.62514142049025756</v>
      </c>
      <c r="F346" s="136">
        <f t="shared" si="117"/>
        <v>0.23842306105610567</v>
      </c>
      <c r="G346" s="136">
        <f t="shared" si="117"/>
        <v>0.12262913535008634</v>
      </c>
      <c r="H346" s="136">
        <f t="shared" si="117"/>
        <v>0.1370523543702824</v>
      </c>
      <c r="I346" s="136">
        <f t="shared" si="117"/>
        <v>2.4465430346916095E-4</v>
      </c>
      <c r="J346" s="136">
        <f t="shared" si="117"/>
        <v>0.21843916120405707</v>
      </c>
      <c r="K346" s="136">
        <f t="shared" si="117"/>
        <v>5.5298305719868227E-2</v>
      </c>
      <c r="L346" s="136"/>
      <c r="M346" s="136">
        <f t="shared" si="104"/>
        <v>0.15406807301252895</v>
      </c>
      <c r="N346" s="32">
        <f t="shared" si="105"/>
        <v>0.13754633679205847</v>
      </c>
      <c r="O346" s="32">
        <f t="shared" si="106"/>
        <v>9.1327373742464815E-2</v>
      </c>
    </row>
    <row r="347" spans="1:15" s="32" customFormat="1" hidden="1">
      <c r="A347" s="45" t="s">
        <v>287</v>
      </c>
      <c r="B347" s="45"/>
      <c r="C347" s="136">
        <f>(C89-B89)/B89</f>
        <v>0.51508120649651989</v>
      </c>
      <c r="D347" s="136">
        <f t="shared" ref="D347:K347" si="118">(D89-C89)/C89</f>
        <v>0.14460730693502521</v>
      </c>
      <c r="E347" s="136">
        <f t="shared" si="117"/>
        <v>0.62618501529051984</v>
      </c>
      <c r="F347" s="136">
        <f t="shared" si="118"/>
        <v>0.20956253966761484</v>
      </c>
      <c r="G347" s="136">
        <f t="shared" si="118"/>
        <v>0.12430037313432819</v>
      </c>
      <c r="H347" s="136">
        <f t="shared" si="118"/>
        <v>0.13532807854525356</v>
      </c>
      <c r="I347" s="136">
        <f t="shared" si="118"/>
        <v>1.0962074268053061E-2</v>
      </c>
      <c r="J347" s="136">
        <f t="shared" si="118"/>
        <v>0.23829460399692778</v>
      </c>
      <c r="K347" s="136">
        <f t="shared" si="118"/>
        <v>9.451011870013612E-2</v>
      </c>
      <c r="L347" s="136"/>
      <c r="M347" s="136">
        <f t="shared" si="104"/>
        <v>0.15837501105378585</v>
      </c>
      <c r="N347" s="32">
        <f t="shared" si="105"/>
        <v>0.15235405193969692</v>
      </c>
      <c r="O347" s="32">
        <f t="shared" si="106"/>
        <v>0.11458893232170565</v>
      </c>
    </row>
    <row r="348" spans="1:15" s="32" customFormat="1" hidden="1">
      <c r="A348" s="45" t="s">
        <v>204</v>
      </c>
      <c r="B348" s="45"/>
      <c r="C348" s="136">
        <f>(C163-B163)/B163</f>
        <v>0.53721303345239568</v>
      </c>
      <c r="D348" s="136">
        <f t="shared" ref="D348:K348" si="119">(D163-C163)/C163</f>
        <v>0.21129185317641699</v>
      </c>
      <c r="E348" s="136">
        <f t="shared" si="119"/>
        <v>0.68817550158781293</v>
      </c>
      <c r="F348" s="136">
        <f t="shared" si="119"/>
        <v>9.8306059793089956E-2</v>
      </c>
      <c r="G348" s="136">
        <f t="shared" si="119"/>
        <v>0.10018151248715401</v>
      </c>
      <c r="H348" s="136">
        <f t="shared" si="119"/>
        <v>0.12270821804437004</v>
      </c>
      <c r="I348" s="136">
        <f t="shared" si="119"/>
        <v>-9.9104461059008903E-3</v>
      </c>
      <c r="J348" s="136">
        <f t="shared" si="119"/>
        <v>0.17681106749046566</v>
      </c>
      <c r="K348" s="136">
        <f t="shared" si="119"/>
        <v>2.5624781475280817E-2</v>
      </c>
      <c r="L348" s="136"/>
      <c r="M348" s="136">
        <f t="shared" si="104"/>
        <v>0.14131885479486891</v>
      </c>
      <c r="N348" s="32">
        <f t="shared" si="105"/>
        <v>0.11134679763724771</v>
      </c>
      <c r="O348" s="32">
        <f t="shared" si="106"/>
        <v>6.4175134286615199E-2</v>
      </c>
    </row>
    <row r="349" spans="1:15" s="32" customFormat="1" hidden="1">
      <c r="A349" s="45" t="s">
        <v>237</v>
      </c>
      <c r="B349" s="45"/>
      <c r="C349" s="136">
        <f>(C82-B82)/B82</f>
        <v>-0.41397471910112349</v>
      </c>
      <c r="D349" s="136">
        <f t="shared" ref="D349:K349" si="120">(D82-C82)/C82</f>
        <v>0.3240862792091071</v>
      </c>
      <c r="E349" s="136">
        <f t="shared" si="120"/>
        <v>0.49644780306801223</v>
      </c>
      <c r="F349" s="136">
        <f t="shared" si="120"/>
        <v>0.16147565769579691</v>
      </c>
      <c r="G349" s="136">
        <f t="shared" si="120"/>
        <v>0.13366310856547781</v>
      </c>
      <c r="H349" s="136">
        <f t="shared" si="120"/>
        <v>0.12435697225794592</v>
      </c>
      <c r="I349" s="136">
        <f t="shared" si="120"/>
        <v>0.22527012398129037</v>
      </c>
      <c r="J349" s="136">
        <f t="shared" si="120"/>
        <v>0.28412349136493975</v>
      </c>
      <c r="K349" s="136">
        <f t="shared" si="120"/>
        <v>0.32343701318932389</v>
      </c>
      <c r="L349" s="136"/>
      <c r="M349" s="136">
        <f t="shared" si="104"/>
        <v>0.20728604493318939</v>
      </c>
      <c r="N349" s="32">
        <f t="shared" si="105"/>
        <v>0.25962735085843341</v>
      </c>
      <c r="O349" s="32">
        <f t="shared" si="106"/>
        <v>0.27761020951185134</v>
      </c>
    </row>
    <row r="350" spans="1:15" s="32" customFormat="1" hidden="1">
      <c r="A350" s="45" t="s">
        <v>238</v>
      </c>
      <c r="B350" s="45"/>
      <c r="C350" s="136">
        <f>(C83-B83)/B83</f>
        <v>-0.86919343656112769</v>
      </c>
      <c r="D350" s="136">
        <f>D379</f>
        <v>0.3240862792091071</v>
      </c>
      <c r="E350" s="136">
        <f t="shared" ref="E350:K350" si="121">(E83-D83)/D83</f>
        <v>-0.44013266998341649</v>
      </c>
      <c r="F350" s="136">
        <f t="shared" si="121"/>
        <v>-0.34537914691943378</v>
      </c>
      <c r="G350" s="136">
        <f t="shared" si="121"/>
        <v>-12.370135746606385</v>
      </c>
      <c r="H350" s="136">
        <f t="shared" si="121"/>
        <v>-0.51615727475326334</v>
      </c>
      <c r="I350" s="136">
        <f t="shared" si="121"/>
        <v>4.173548280967263</v>
      </c>
      <c r="J350" s="136">
        <f t="shared" si="121"/>
        <v>0.64028616852146303</v>
      </c>
      <c r="K350" s="136">
        <f t="shared" si="121"/>
        <v>0.41735320914183788</v>
      </c>
      <c r="L350" s="136"/>
      <c r="M350" s="136">
        <f t="shared" si="104"/>
        <v>-0.81165309004228292</v>
      </c>
      <c r="N350" s="32">
        <f t="shared" si="105"/>
        <v>-1.6933516905542736</v>
      </c>
      <c r="O350" s="32">
        <f t="shared" si="106"/>
        <v>1.7437292195435212</v>
      </c>
    </row>
    <row r="351" spans="1:15" s="32" customFormat="1" hidden="1">
      <c r="A351" s="45" t="s">
        <v>239</v>
      </c>
      <c r="B351" s="45"/>
      <c r="C351" s="136">
        <f>(C84-B84)/B84</f>
        <v>-0.37732734715436383</v>
      </c>
      <c r="D351" s="136">
        <f t="shared" ref="D351:K351" si="122">(D84-C84)/C84</f>
        <v>0.93680415650514082</v>
      </c>
      <c r="E351" s="136">
        <f t="shared" si="122"/>
        <v>0.69549983576043006</v>
      </c>
      <c r="F351" s="136">
        <f t="shared" si="122"/>
        <v>0.11514368743945742</v>
      </c>
      <c r="G351" s="136">
        <f t="shared" si="122"/>
        <v>0.12439193884642123</v>
      </c>
      <c r="H351" s="136">
        <f t="shared" si="122"/>
        <v>0.13944684796044493</v>
      </c>
      <c r="I351" s="136">
        <f t="shared" si="122"/>
        <v>0.27183763870996897</v>
      </c>
      <c r="J351" s="136">
        <f t="shared" si="122"/>
        <v>0.30286983562860958</v>
      </c>
      <c r="K351" s="136">
        <f t="shared" si="122"/>
        <v>0.34936373927631287</v>
      </c>
      <c r="L351" s="136"/>
      <c r="M351" s="136">
        <f t="shared" si="104"/>
        <v>0.29353576801267856</v>
      </c>
      <c r="N351" s="32">
        <f t="shared" si="105"/>
        <v>0.29628915368688719</v>
      </c>
      <c r="O351" s="32">
        <f t="shared" si="106"/>
        <v>0.30802373787163045</v>
      </c>
    </row>
    <row r="352" spans="1:15" s="32" customFormat="1" hidden="1">
      <c r="A352" s="45" t="s">
        <v>240</v>
      </c>
      <c r="B352" s="45"/>
      <c r="C352" s="136">
        <f>(C85-B85)/B85</f>
        <v>-2.2569199798691475</v>
      </c>
      <c r="D352" s="136">
        <f t="shared" ref="D352:K352" si="123">(D85-C85)/C85</f>
        <v>0.37097097097097376</v>
      </c>
      <c r="E352" s="136">
        <f t="shared" si="123"/>
        <v>-0.44684579439252464</v>
      </c>
      <c r="F352" s="136">
        <f t="shared" si="123"/>
        <v>0.31441393875396106</v>
      </c>
      <c r="G352" s="136">
        <f t="shared" si="123"/>
        <v>-2.5770234986945191</v>
      </c>
      <c r="H352" s="136">
        <f t="shared" si="123"/>
        <v>-0.82590422822210885</v>
      </c>
      <c r="I352" s="136">
        <f t="shared" si="123"/>
        <v>19.29041697147035</v>
      </c>
      <c r="J352" s="136">
        <f t="shared" si="123"/>
        <v>0.72599776471860711</v>
      </c>
      <c r="K352" s="136">
        <f t="shared" si="123"/>
        <v>0.46434390274470455</v>
      </c>
      <c r="L352" s="136"/>
      <c r="M352" s="136">
        <f t="shared" si="104"/>
        <v>1.7316370027349444</v>
      </c>
      <c r="N352" s="32">
        <f t="shared" si="105"/>
        <v>3.7618935829503961</v>
      </c>
      <c r="O352" s="32">
        <f t="shared" si="106"/>
        <v>6.8269195463112204</v>
      </c>
    </row>
    <row r="353" spans="1:15" s="32" customFormat="1" hidden="1">
      <c r="A353" s="45" t="s">
        <v>241</v>
      </c>
      <c r="B353" s="45"/>
      <c r="C353" s="136">
        <f>(C86-B86)/B86</f>
        <v>1.580231698299235</v>
      </c>
      <c r="D353" s="136">
        <f t="shared" ref="D353:K353" si="124">(D86-C86)/C86</f>
        <v>-1.0387848681696594</v>
      </c>
      <c r="E353" s="136">
        <f t="shared" si="124"/>
        <v>12.931034482758822</v>
      </c>
      <c r="F353" s="136">
        <f t="shared" si="124"/>
        <v>0.45155586987270047</v>
      </c>
      <c r="G353" s="136">
        <f t="shared" si="124"/>
        <v>-0.21412911084043754</v>
      </c>
      <c r="H353" s="136">
        <f t="shared" si="124"/>
        <v>-7.2380657160571391E-2</v>
      </c>
      <c r="I353" s="136">
        <f t="shared" si="124"/>
        <v>-3.2501253132832066</v>
      </c>
      <c r="J353" s="136">
        <f t="shared" si="124"/>
        <v>0.40766317665404317</v>
      </c>
      <c r="K353" s="136">
        <f t="shared" si="124"/>
        <v>-0.4874188953948404</v>
      </c>
      <c r="L353" s="136"/>
      <c r="M353" s="136">
        <f t="shared" si="104"/>
        <v>0.87274146844368494</v>
      </c>
      <c r="N353" s="32">
        <f t="shared" si="105"/>
        <v>-0.54872986631626541</v>
      </c>
      <c r="O353" s="32">
        <f t="shared" si="106"/>
        <v>-1.1099603440080013</v>
      </c>
    </row>
    <row r="354" spans="1:15" s="32" customFormat="1" hidden="1">
      <c r="A354" s="45" t="s">
        <v>244</v>
      </c>
      <c r="B354" s="45"/>
      <c r="C354" s="136">
        <f>('Data Sheet'!C62-'Data Sheet'!B62)/'Data Sheet'!B62</f>
        <v>0.14139185401633972</v>
      </c>
      <c r="D354" s="136">
        <f>('Data Sheet'!D62-'Data Sheet'!C62)/'Data Sheet'!C62</f>
        <v>-9.1274817136886094E-2</v>
      </c>
      <c r="E354" s="136">
        <f>('Data Sheet'!E62-'Data Sheet'!D62)/'Data Sheet'!D62</f>
        <v>0.41982406715345244</v>
      </c>
      <c r="F354" s="136">
        <f>('Data Sheet'!F62-'Data Sheet'!E62)/'Data Sheet'!E62</f>
        <v>3.2800161976108619E-2</v>
      </c>
      <c r="G354" s="136">
        <f>('Data Sheet'!G62-'Data Sheet'!F62)/'Data Sheet'!F62</f>
        <v>-2.4701039011959373E-3</v>
      </c>
      <c r="H354" s="136">
        <f>('Data Sheet'!H62-'Data Sheet'!G62)/'Data Sheet'!G62</f>
        <v>0.1031365458690356</v>
      </c>
      <c r="I354" s="136">
        <f>('Data Sheet'!I62-'Data Sheet'!H62)/'Data Sheet'!H62</f>
        <v>0.98072400769614454</v>
      </c>
      <c r="J354" s="136">
        <f>('Data Sheet'!J62-'Data Sheet'!I62)/'Data Sheet'!I62</f>
        <v>0.40594700581029319</v>
      </c>
      <c r="K354" s="136">
        <f>('Data Sheet'!K62-'Data Sheet'!J62)/'Data Sheet'!J62</f>
        <v>0.28987435707157289</v>
      </c>
      <c r="L354" s="136"/>
      <c r="M354" s="136">
        <f t="shared" si="104"/>
        <v>0.21385612245385252</v>
      </c>
      <c r="N354" s="32">
        <f t="shared" si="105"/>
        <v>0.39821358699994053</v>
      </c>
      <c r="O354" s="32">
        <f t="shared" si="106"/>
        <v>0.55884845685933693</v>
      </c>
    </row>
    <row r="355" spans="1:15" s="32" customFormat="1" hidden="1">
      <c r="A355" s="45" t="s">
        <v>245</v>
      </c>
      <c r="B355" s="45"/>
      <c r="C355" s="136">
        <f>Customization!C24</f>
        <v>9.579439252336451E-2</v>
      </c>
      <c r="D355" s="136">
        <f>Customization!D24</f>
        <v>0</v>
      </c>
      <c r="E355" s="136">
        <f>Customization!E24</f>
        <v>-2.1321961620469194E-2</v>
      </c>
      <c r="F355" s="136">
        <f>Customization!F24</f>
        <v>-0.98910675381263624</v>
      </c>
      <c r="G355" s="136">
        <f>Customization!G24</f>
        <v>0</v>
      </c>
      <c r="H355" s="136">
        <f>Customization!H24</f>
        <v>-1</v>
      </c>
      <c r="I355" s="136" t="e">
        <f>Customization!I24</f>
        <v>#DIV/0!</v>
      </c>
      <c r="J355" s="136" t="e">
        <f>Customization!J24</f>
        <v>#DIV/0!</v>
      </c>
      <c r="K355" s="136" t="e">
        <f>Customization!K24</f>
        <v>#DIV/0!</v>
      </c>
      <c r="L355" s="136"/>
      <c r="M355" s="136" t="e">
        <f t="shared" si="104"/>
        <v>#DIV/0!</v>
      </c>
      <c r="N355" s="32" t="e">
        <f t="shared" si="105"/>
        <v>#DIV/0!</v>
      </c>
      <c r="O355" s="32" t="e">
        <f t="shared" si="106"/>
        <v>#DIV/0!</v>
      </c>
    </row>
    <row r="356" spans="1:15" s="32" customFormat="1" hidden="1">
      <c r="A356" s="45" t="s">
        <v>196</v>
      </c>
      <c r="B356" s="45"/>
      <c r="C356" s="136">
        <f>('Profit &amp; Loss'!C13-'Profit &amp; Loss'!B13)/'Profit &amp; Loss'!B13</f>
        <v>6.9565773865268161</v>
      </c>
      <c r="D356" s="136">
        <f>('Profit &amp; Loss'!D13-'Profit &amp; Loss'!C13)/'Profit &amp; Loss'!C13</f>
        <v>0.25251391825989394</v>
      </c>
      <c r="E356" s="136">
        <f>('Profit &amp; Loss'!E13-'Profit &amp; Loss'!D13)/'Profit &amp; Loss'!D13</f>
        <v>0.45841086072634535</v>
      </c>
      <c r="F356" s="136">
        <f>('Profit &amp; Loss'!F13-'Profit &amp; Loss'!E13)/'Profit &amp; Loss'!E13</f>
        <v>-4.8858857439871478E-2</v>
      </c>
      <c r="G356" s="136">
        <f>('Profit &amp; Loss'!G13-'Profit &amp; Loss'!F13)/'Profit &amp; Loss'!F13</f>
        <v>0.10902180932982262</v>
      </c>
      <c r="H356" s="136">
        <f>('Profit &amp; Loss'!H13-'Profit &amp; Loss'!G13)/'Profit &amp; Loss'!G13</f>
        <v>0.11261674916567747</v>
      </c>
      <c r="I356" s="136">
        <f>('Profit &amp; Loss'!I13-'Profit &amp; Loss'!H13)/'Profit &amp; Loss'!H13</f>
        <v>8.6804227478610926E-2</v>
      </c>
      <c r="J356" s="136">
        <f>('Profit &amp; Loss'!J13-'Profit &amp; Loss'!I13)/'Profit &amp; Loss'!I13</f>
        <v>3.5397410487710029E-2</v>
      </c>
      <c r="K356" s="136">
        <f>('Profit &amp; Loss'!K13-'Profit &amp; Loss'!J13)/'Profit &amp; Loss'!J13</f>
        <v>3.1360692690257264E-2</v>
      </c>
      <c r="L356" s="136"/>
      <c r="M356" s="136">
        <f t="shared" si="104"/>
        <v>0.10372668106984459</v>
      </c>
      <c r="N356" s="32">
        <f t="shared" si="105"/>
        <v>9.5785514044384582E-2</v>
      </c>
      <c r="O356" s="32">
        <f t="shared" si="106"/>
        <v>5.1187443552192735E-2</v>
      </c>
    </row>
    <row r="357" spans="1:15" s="32" customFormat="1" hidden="1">
      <c r="A357" s="45" t="s">
        <v>198</v>
      </c>
      <c r="B357" s="45"/>
      <c r="C357" s="136">
        <f t="shared" ref="C357:K357" si="125">C420</f>
        <v>0.44665043391396658</v>
      </c>
      <c r="D357" s="136">
        <f t="shared" si="125"/>
        <v>0.25251391825989389</v>
      </c>
      <c r="E357" s="136">
        <f t="shared" si="125"/>
        <v>0.45841086072634535</v>
      </c>
      <c r="F357" s="136">
        <f t="shared" si="125"/>
        <v>-4.8858857439871492E-2</v>
      </c>
      <c r="G357" s="136">
        <f t="shared" si="125"/>
        <v>0.10902180932982275</v>
      </c>
      <c r="H357" s="136">
        <f t="shared" si="125"/>
        <v>0.11261674916567736</v>
      </c>
      <c r="I357" s="136">
        <f t="shared" si="125"/>
        <v>8.6804227478610982E-2</v>
      </c>
      <c r="J357" s="136">
        <f t="shared" si="125"/>
        <v>3.5397410487710029E-2</v>
      </c>
      <c r="K357" s="136">
        <f t="shared" si="125"/>
        <v>3.1360692690257201E-2</v>
      </c>
      <c r="L357" s="136"/>
      <c r="M357" s="136">
        <f t="shared" si="104"/>
        <v>0.10372668106984459</v>
      </c>
      <c r="N357" s="32">
        <f t="shared" si="105"/>
        <v>9.5785514044384595E-2</v>
      </c>
      <c r="O357" s="32">
        <f t="shared" si="106"/>
        <v>5.1187443552192735E-2</v>
      </c>
    </row>
    <row r="358" spans="1:15" s="32" customFormat="1" hidden="1">
      <c r="A358" s="45" t="s">
        <v>206</v>
      </c>
      <c r="B358" s="45"/>
      <c r="C358" s="136">
        <f>('Data Sheet'!C31-'Data Sheet'!B31)/'Data Sheet'!B31</f>
        <v>0.36834365325077406</v>
      </c>
      <c r="D358" s="136">
        <f>('Data Sheet'!D31-'Data Sheet'!C31)/'Data Sheet'!C31</f>
        <v>0.15385485604389398</v>
      </c>
      <c r="E358" s="136">
        <f>('Data Sheet'!E31-'Data Sheet'!D31)/'Data Sheet'!D31</f>
        <v>0.33330065199274478</v>
      </c>
      <c r="F358" s="136">
        <f>('Data Sheet'!F31-'Data Sheet'!E31)/'Data Sheet'!E31</f>
        <v>0.10000735348187362</v>
      </c>
      <c r="G358" s="136">
        <f>('Data Sheet'!G31-'Data Sheet'!F31)/'Data Sheet'!F31</f>
        <v>0.13637275218931749</v>
      </c>
      <c r="H358" s="136">
        <f>('Data Sheet'!H31-'Data Sheet'!G31)/'Data Sheet'!G31</f>
        <v>0.12000705923877861</v>
      </c>
      <c r="I358" s="136">
        <f>('Data Sheet'!I31-'Data Sheet'!H31)/'Data Sheet'!H31</f>
        <v>-3.5716161563107217E-2</v>
      </c>
      <c r="J358" s="136">
        <f>('Data Sheet'!J31-'Data Sheet'!I31)/'Data Sheet'!I31</f>
        <v>-0.11111716324418544</v>
      </c>
      <c r="K358" s="136">
        <f>('Data Sheet'!K31-'Data Sheet'!J31)/'Data Sheet'!J31</f>
        <v>-0.16664624057846678</v>
      </c>
      <c r="L358" s="136"/>
      <c r="M358" s="136">
        <f t="shared" si="104"/>
        <v>5.3006310756084918E-2</v>
      </c>
      <c r="N358" s="32">
        <f t="shared" si="105"/>
        <v>-8.1868864031569015E-4</v>
      </c>
      <c r="O358" s="32">
        <f t="shared" si="106"/>
        <v>-0.10449318846191981</v>
      </c>
    </row>
    <row r="359" spans="1:15" s="32" customFormat="1" hidden="1">
      <c r="A359" s="45" t="s">
        <v>207</v>
      </c>
      <c r="B359" s="45"/>
      <c r="C359" s="136">
        <f t="shared" ref="C359:K359" si="126">(C467-B467)/B467</f>
        <v>0.77332902809170223</v>
      </c>
      <c r="D359" s="136">
        <f t="shared" si="126"/>
        <v>0.5701019664967224</v>
      </c>
      <c r="E359" s="136">
        <f t="shared" si="126"/>
        <v>0.75437782674243237</v>
      </c>
      <c r="F359" s="136">
        <f t="shared" si="126"/>
        <v>-0.31649920676890536</v>
      </c>
      <c r="G359" s="136">
        <f t="shared" si="126"/>
        <v>2.9883945841392964E-2</v>
      </c>
      <c r="H359" s="136">
        <f t="shared" si="126"/>
        <v>8.9022443421917716E-2</v>
      </c>
      <c r="I359" s="136">
        <f t="shared" si="126"/>
        <v>0.48909200655341861</v>
      </c>
      <c r="J359" s="136">
        <f t="shared" si="126"/>
        <v>0.34692223058660043</v>
      </c>
      <c r="K359" s="136">
        <f t="shared" si="126"/>
        <v>0.30920034393809093</v>
      </c>
      <c r="L359" s="136"/>
      <c r="M359" s="136">
        <f t="shared" si="104"/>
        <v>0.22721015568116698</v>
      </c>
      <c r="N359" s="32">
        <f t="shared" si="105"/>
        <v>0.29826622520451751</v>
      </c>
      <c r="O359" s="32">
        <f t="shared" si="106"/>
        <v>0.38173819369270329</v>
      </c>
    </row>
    <row r="360" spans="1:15" s="18" customFormat="1" hidden="1">
      <c r="A360" s="57" t="s">
        <v>243</v>
      </c>
      <c r="B360" s="46"/>
      <c r="C360" s="154">
        <f t="shared" ref="C360:K360" si="127">C425</f>
        <v>-0.42175245971766712</v>
      </c>
      <c r="D360" s="154">
        <f t="shared" si="127"/>
        <v>0.33345663029406308</v>
      </c>
      <c r="E360" s="154">
        <f t="shared" si="127"/>
        <v>0.50767452612112829</v>
      </c>
      <c r="F360" s="154">
        <f t="shared" si="127"/>
        <v>0.17767011131213392</v>
      </c>
      <c r="G360" s="154">
        <f t="shared" si="127"/>
        <v>0.13368051035021489</v>
      </c>
      <c r="H360" s="154">
        <f t="shared" si="127"/>
        <v>0.12448609292817929</v>
      </c>
      <c r="I360" s="154">
        <f t="shared" si="127"/>
        <v>0.22527012398129037</v>
      </c>
      <c r="J360" s="154">
        <f t="shared" si="127"/>
        <v>0.28412349136493975</v>
      </c>
      <c r="K360" s="154">
        <f t="shared" si="127"/>
        <v>0.32343701318932389</v>
      </c>
      <c r="L360" s="154"/>
      <c r="M360" s="136">
        <f t="shared" si="104"/>
        <v>0.21097984995412733</v>
      </c>
      <c r="N360" s="32">
        <f t="shared" si="105"/>
        <v>0.26039541635361513</v>
      </c>
      <c r="O360" s="32">
        <f t="shared" si="106"/>
        <v>0.27761020951185134</v>
      </c>
    </row>
    <row r="361" spans="1:15" s="18" customFormat="1" hidden="1">
      <c r="A361" s="57" t="s">
        <v>199</v>
      </c>
      <c r="B361" s="46"/>
      <c r="C361" s="154"/>
      <c r="D361" s="154">
        <f t="shared" ref="D361:K361" si="128">D438</f>
        <v>-0.45949510382836539</v>
      </c>
      <c r="E361" s="154">
        <f t="shared" si="128"/>
        <v>0.28637673172673961</v>
      </c>
      <c r="F361" s="154">
        <f t="shared" si="128"/>
        <v>0.19345859350273939</v>
      </c>
      <c r="G361" s="154">
        <f t="shared" si="128"/>
        <v>0.14935324215683063</v>
      </c>
      <c r="H361" s="154">
        <f t="shared" si="128"/>
        <v>0.12042107895256922</v>
      </c>
      <c r="I361" s="154">
        <f t="shared" si="128"/>
        <v>-1.6484193319524193E-2</v>
      </c>
      <c r="J361" s="154">
        <f t="shared" si="128"/>
        <v>-4.1723638055187709E-2</v>
      </c>
      <c r="K361" s="154">
        <f t="shared" si="128"/>
        <v>-4.4573667431406436E-2</v>
      </c>
      <c r="L361" s="154"/>
      <c r="M361" s="136">
        <f t="shared" si="104"/>
        <v>1.8733304370439512E-2</v>
      </c>
      <c r="N361" s="32">
        <f t="shared" si="105"/>
        <v>3.7145225334744215E-2</v>
      </c>
      <c r="O361" s="32">
        <f t="shared" si="106"/>
        <v>-3.4260499602039446E-2</v>
      </c>
    </row>
    <row r="362" spans="1:15" s="18" customFormat="1" hidden="1">
      <c r="A362" s="57" t="s">
        <v>200</v>
      </c>
      <c r="B362" s="46"/>
      <c r="C362" s="154"/>
      <c r="D362" s="154"/>
      <c r="E362" s="154"/>
      <c r="F362" s="154"/>
      <c r="G362" s="154">
        <f>(G320-F320)/F320</f>
        <v>5.694747352863916E-4</v>
      </c>
      <c r="H362" s="154">
        <f t="shared" ref="H362:K362" si="129">(H320-G320)/G320</f>
        <v>0.1287452406405101</v>
      </c>
      <c r="I362" s="154">
        <f t="shared" si="129"/>
        <v>-0.44854696844157188</v>
      </c>
      <c r="J362" s="154">
        <f t="shared" si="129"/>
        <v>0.419374714595525</v>
      </c>
      <c r="K362" s="154">
        <f t="shared" si="129"/>
        <v>0.15096074153942471</v>
      </c>
      <c r="L362" s="154"/>
      <c r="M362" s="136">
        <f t="shared" si="104"/>
        <v>2.5110320306917434E-2</v>
      </c>
      <c r="N362" s="32">
        <f t="shared" si="105"/>
        <v>5.5242704675218357E-2</v>
      </c>
      <c r="O362" s="32">
        <f t="shared" si="106"/>
        <v>4.0596162564459276E-2</v>
      </c>
    </row>
    <row r="363" spans="1:15" s="18" customFormat="1" hidden="1">
      <c r="A363" s="57" t="s">
        <v>201</v>
      </c>
      <c r="B363" s="46"/>
      <c r="C363" s="154"/>
      <c r="D363" s="154"/>
      <c r="E363" s="154">
        <f>(E321-D321)/D321</f>
        <v>-2.9665969918299218E-2</v>
      </c>
      <c r="F363" s="154">
        <f t="shared" ref="F363:K363" si="130">(F321-E321)/E321</f>
        <v>-3.1143844976325216E-2</v>
      </c>
      <c r="G363" s="154">
        <f t="shared" si="130"/>
        <v>-0.14974219886895315</v>
      </c>
      <c r="H363" s="154">
        <f t="shared" si="130"/>
        <v>-3.9329875752031757E-2</v>
      </c>
      <c r="I363" s="154">
        <f t="shared" si="130"/>
        <v>-0.51335580997573471</v>
      </c>
      <c r="J363" s="154">
        <f t="shared" si="130"/>
        <v>0.29491749448583687</v>
      </c>
      <c r="K363" s="154">
        <f t="shared" si="130"/>
        <v>0.1052602710601532</v>
      </c>
      <c r="L363" s="154"/>
      <c r="M363" s="136">
        <f t="shared" si="104"/>
        <v>-3.6305993394535399E-2</v>
      </c>
      <c r="N363" s="32">
        <f t="shared" si="105"/>
        <v>-6.771122248905298E-2</v>
      </c>
      <c r="O363" s="32">
        <f t="shared" si="106"/>
        <v>-3.772601480991488E-2</v>
      </c>
    </row>
    <row r="364" spans="1:15" s="18" customFormat="1" hidden="1">
      <c r="A364" s="57" t="s">
        <v>202</v>
      </c>
      <c r="B364" s="46"/>
      <c r="C364" s="154"/>
      <c r="D364" s="154" t="e">
        <f>(D322-C322)/C322</f>
        <v>#DIV/0!</v>
      </c>
      <c r="E364" s="154" t="e">
        <f t="shared" ref="E364:K364" si="131">(E322-D322)/D322</f>
        <v>#DIV/0!</v>
      </c>
      <c r="F364" s="154">
        <f t="shared" si="131"/>
        <v>-0.20353243593882633</v>
      </c>
      <c r="G364" s="154">
        <f t="shared" si="131"/>
        <v>-0.11462527686090832</v>
      </c>
      <c r="H364" s="154">
        <f t="shared" si="131"/>
        <v>-2.5692771763918255E-2</v>
      </c>
      <c r="I364" s="154">
        <f t="shared" si="131"/>
        <v>-0.22572168362866152</v>
      </c>
      <c r="J364" s="154">
        <f t="shared" si="131"/>
        <v>-0.15377192361852912</v>
      </c>
      <c r="K364" s="154">
        <f t="shared" si="131"/>
        <v>-5.251163255036758E-2</v>
      </c>
      <c r="L364" s="154"/>
      <c r="M364" s="136" t="e">
        <f t="shared" si="104"/>
        <v>#DIV/0!</v>
      </c>
      <c r="N364" s="32" t="e">
        <f t="shared" si="105"/>
        <v>#DIV/0!</v>
      </c>
      <c r="O364" s="32">
        <f t="shared" si="106"/>
        <v>-0.14400174659918605</v>
      </c>
    </row>
    <row r="365" spans="1:15" s="18" customFormat="1" hidden="1">
      <c r="A365" s="57" t="s">
        <v>203</v>
      </c>
      <c r="B365" s="46"/>
      <c r="C365" s="154">
        <f>(C130-B130)/B130</f>
        <v>0.97923068779269951</v>
      </c>
      <c r="D365" s="154">
        <f t="shared" ref="D365:K365" si="132">(D130-C130)/C130</f>
        <v>0.19577223829041551</v>
      </c>
      <c r="E365" s="154">
        <f t="shared" si="132"/>
        <v>0.71738647163998648</v>
      </c>
      <c r="F365" s="154">
        <f t="shared" si="132"/>
        <v>8.9919907048007466E-2</v>
      </c>
      <c r="G365" s="154">
        <f t="shared" si="132"/>
        <v>9.5444807507623949E-2</v>
      </c>
      <c r="H365" s="154">
        <f t="shared" si="132"/>
        <v>0.12246682785539692</v>
      </c>
      <c r="I365" s="154">
        <f t="shared" si="132"/>
        <v>-4.4400655989646098E-2</v>
      </c>
      <c r="J365" s="154">
        <f t="shared" si="132"/>
        <v>0.15663203200577464</v>
      </c>
      <c r="K365" s="154">
        <f t="shared" si="132"/>
        <v>-3.6548602529987491E-2</v>
      </c>
      <c r="L365" s="154"/>
      <c r="M365" s="136">
        <f t="shared" si="104"/>
        <v>0.1296673025827571</v>
      </c>
      <c r="N365" s="32">
        <f t="shared" si="105"/>
        <v>8.4652342286383811E-2</v>
      </c>
      <c r="O365" s="32">
        <f t="shared" si="106"/>
        <v>2.5227591162047019E-2</v>
      </c>
    </row>
    <row r="366" spans="1:15" s="18" customFormat="1" hidden="1">
      <c r="A366" s="57" t="s">
        <v>205</v>
      </c>
      <c r="B366" s="46"/>
      <c r="C366" s="154"/>
      <c r="D366" s="154">
        <f>(D340-C340)/C340</f>
        <v>-0.32459025771574018</v>
      </c>
      <c r="E366" s="154">
        <f t="shared" ref="E366:K366" si="133">(E340-D340)/D340</f>
        <v>0.32787024096895728</v>
      </c>
      <c r="F366" s="154">
        <f t="shared" si="133"/>
        <v>0.11363418912454154</v>
      </c>
      <c r="G366" s="154">
        <f t="shared" si="133"/>
        <v>0.13159402027607553</v>
      </c>
      <c r="H366" s="154">
        <f t="shared" si="133"/>
        <v>0.1201376762078304</v>
      </c>
      <c r="I366" s="154">
        <f t="shared" si="133"/>
        <v>-2.941708088567551E-2</v>
      </c>
      <c r="J366" s="154">
        <f t="shared" si="133"/>
        <v>-9.5535173890777203E-2</v>
      </c>
      <c r="K366" s="154">
        <f t="shared" si="133"/>
        <v>-0.15746126524939505</v>
      </c>
      <c r="L366" s="154"/>
      <c r="M366" s="136">
        <f t="shared" si="104"/>
        <v>8.6232348835816788E-3</v>
      </c>
      <c r="N366" s="32">
        <f t="shared" si="105"/>
        <v>-4.4117177316720336E-3</v>
      </c>
      <c r="O366" s="32">
        <f t="shared" si="106"/>
        <v>-9.4137840008615914E-2</v>
      </c>
    </row>
    <row r="367" spans="1:15" s="18" customFormat="1" hidden="1">
      <c r="A367" s="57"/>
      <c r="B367" s="46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36">
        <f t="shared" si="104"/>
        <v>0</v>
      </c>
      <c r="N367" s="32">
        <f t="shared" si="105"/>
        <v>0</v>
      </c>
      <c r="O367" s="32">
        <f t="shared" si="106"/>
        <v>0</v>
      </c>
    </row>
    <row r="368" spans="1:15" s="18" customFormat="1" hidden="1">
      <c r="C368" s="112"/>
      <c r="M368" s="136">
        <f t="shared" si="104"/>
        <v>0</v>
      </c>
      <c r="N368" s="32">
        <f t="shared" si="105"/>
        <v>0</v>
      </c>
      <c r="O368" s="32">
        <f t="shared" si="106"/>
        <v>0</v>
      </c>
    </row>
    <row r="369" spans="1:15" s="18" customFormat="1" hidden="1">
      <c r="A369" s="18" t="s">
        <v>276</v>
      </c>
      <c r="C369" s="112"/>
      <c r="D369" s="32">
        <f>('Profit &amp; Loss'!D13-'Profit &amp; Loss'!C13)/'Profit &amp; Loss'!C13</f>
        <v>0.25251391825989394</v>
      </c>
      <c r="E369" s="32">
        <f>('Profit &amp; Loss'!E13-'Profit &amp; Loss'!D13)/'Profit &amp; Loss'!D13</f>
        <v>0.45841086072634535</v>
      </c>
      <c r="F369" s="32">
        <f>('Profit &amp; Loss'!F13-'Profit &amp; Loss'!E13)/'Profit &amp; Loss'!E13</f>
        <v>-4.8858857439871478E-2</v>
      </c>
      <c r="G369" s="32">
        <f>('Profit &amp; Loss'!G13-'Profit &amp; Loss'!F13)/'Profit &amp; Loss'!F13</f>
        <v>0.10902180932982262</v>
      </c>
      <c r="H369" s="32">
        <f>('Profit &amp; Loss'!H13-'Profit &amp; Loss'!G13)/'Profit &amp; Loss'!G13</f>
        <v>0.11261674916567747</v>
      </c>
      <c r="I369" s="32">
        <f>('Profit &amp; Loss'!I13-'Profit &amp; Loss'!H13)/'Profit &amp; Loss'!H13</f>
        <v>8.6804227478610926E-2</v>
      </c>
      <c r="J369" s="32">
        <f>('Profit &amp; Loss'!J13-'Profit &amp; Loss'!I13)/'Profit &amp; Loss'!I13</f>
        <v>3.5397410487710029E-2</v>
      </c>
      <c r="K369" s="32">
        <f>('Profit &amp; Loss'!K13-'Profit &amp; Loss'!J13)/'Profit &amp; Loss'!J13</f>
        <v>3.1360692690257264E-2</v>
      </c>
      <c r="L369" s="32"/>
      <c r="M369" s="136">
        <f t="shared" si="104"/>
        <v>0.10372668106984459</v>
      </c>
      <c r="N369" s="32">
        <f t="shared" si="105"/>
        <v>9.5785514044384582E-2</v>
      </c>
      <c r="O369" s="32">
        <f t="shared" si="106"/>
        <v>5.1187443552192735E-2</v>
      </c>
    </row>
    <row r="370" spans="1:15" s="18" customFormat="1" hidden="1">
      <c r="A370" s="18" t="s">
        <v>277</v>
      </c>
      <c r="C370" s="112"/>
      <c r="D370" s="32">
        <f>('Profit &amp; Loss'!D14-'Profit &amp; Loss'!C14)/'Profit &amp; Loss'!C14</f>
        <v>-0.11047745831460073</v>
      </c>
      <c r="E370" s="32">
        <f>('Profit &amp; Loss'!E14-'Profit &amp; Loss'!D14)/'Profit &amp; Loss'!D14</f>
        <v>7.4375322236119618E-2</v>
      </c>
      <c r="F370" s="32">
        <f>('Profit &amp; Loss'!F14-'Profit &amp; Loss'!E14)/'Profit &amp; Loss'!E14</f>
        <v>0.27170616351747101</v>
      </c>
      <c r="G370" s="32">
        <f>('Profit &amp; Loss'!G14-'Profit &amp; Loss'!F14)/'Profit &amp; Loss'!F14</f>
        <v>0.16636235959120041</v>
      </c>
      <c r="H370" s="32">
        <f>('Profit &amp; Loss'!H14-'Profit &amp; Loss'!G14)/'Profit &amp; Loss'!G14</f>
        <v>7.3122560233328859E-2</v>
      </c>
      <c r="I370" s="32">
        <f>('Profit &amp; Loss'!I14-'Profit &amp; Loss'!H14)/'Profit &amp; Loss'!H14</f>
        <v>-3.5546408379888379E-2</v>
      </c>
      <c r="J370" s="32">
        <f>('Profit &amp; Loss'!J14-'Profit &amp; Loss'!I14)/'Profit &amp; Loss'!I14</f>
        <v>0.40393601206802632</v>
      </c>
      <c r="K370" s="32">
        <f>('Profit &amp; Loss'!K14-'Profit &amp; Loss'!J14)/'Profit &amp; Loss'!J14</f>
        <v>-0.21030045242594272</v>
      </c>
      <c r="L370" s="32"/>
      <c r="M370" s="136">
        <f t="shared" si="104"/>
        <v>6.3317809852571433E-2</v>
      </c>
      <c r="N370" s="32">
        <f t="shared" si="105"/>
        <v>9.2178376187859179E-2</v>
      </c>
      <c r="O370" s="32">
        <f t="shared" si="106"/>
        <v>5.2696383754065074E-2</v>
      </c>
    </row>
    <row r="371" spans="1:15" s="18" customFormat="1" hidden="1">
      <c r="A371" s="155" t="s">
        <v>278</v>
      </c>
      <c r="C371" s="112"/>
      <c r="D371" s="32">
        <f>('Profit &amp; Loss'!D15-'Profit &amp; Loss'!C15)/'Profit &amp; Loss'!C15</f>
        <v>0.11413936406687931</v>
      </c>
      <c r="E371" s="32">
        <f>('Profit &amp; Loss'!E15-'Profit &amp; Loss'!D15)/'Profit &amp; Loss'!D15</f>
        <v>0.56688063844552383</v>
      </c>
      <c r="F371" s="32">
        <f>('Profit &amp; Loss'!F15-'Profit &amp; Loss'!E15)/'Profit &amp; Loss'!E15</f>
        <v>0.20957205336876497</v>
      </c>
      <c r="G371" s="32">
        <f>('Profit &amp; Loss'!G15-'Profit &amp; Loss'!F15)/'Profit &amp; Loss'!F15</f>
        <v>0.29352129436803437</v>
      </c>
      <c r="H371" s="32">
        <f>('Profit &amp; Loss'!H15-'Profit &amp; Loss'!G15)/'Profit &amp; Loss'!G15</f>
        <v>0.19397413442315514</v>
      </c>
      <c r="I371" s="32">
        <f>('Profit &amp; Loss'!I15-'Profit &amp; Loss'!H15)/'Profit &amp; Loss'!H15</f>
        <v>4.817224057966718E-2</v>
      </c>
      <c r="J371" s="32">
        <f>('Profit &amp; Loss'!J15-'Profit &amp; Loss'!I15)/'Profit &amp; Loss'!I15</f>
        <v>0.45363171138567671</v>
      </c>
      <c r="K371" s="32">
        <f>('Profit &amp; Loss'!K15-'Profit &amp; Loss'!J15)/'Profit &amp; Loss'!J15</f>
        <v>-0.18553492759683737</v>
      </c>
      <c r="L371" s="32"/>
      <c r="M371" s="136">
        <f t="shared" si="104"/>
        <v>0.16943565090408641</v>
      </c>
      <c r="N371" s="32">
        <f t="shared" si="105"/>
        <v>0.19464002081275647</v>
      </c>
      <c r="O371" s="32">
        <f t="shared" si="106"/>
        <v>0.1054230081228355</v>
      </c>
    </row>
    <row r="372" spans="1:15" s="18" customFormat="1" hidden="1">
      <c r="A372" s="155"/>
      <c r="C372" s="112"/>
      <c r="M372" s="136">
        <f t="shared" si="104"/>
        <v>0</v>
      </c>
      <c r="N372" s="32">
        <f t="shared" si="105"/>
        <v>0</v>
      </c>
      <c r="O372" s="32">
        <f t="shared" si="106"/>
        <v>0</v>
      </c>
    </row>
    <row r="373" spans="1:15" s="18" customFormat="1" hidden="1">
      <c r="A373" s="155" t="s">
        <v>279</v>
      </c>
      <c r="C373" s="112"/>
      <c r="D373" s="139">
        <f>D369</f>
        <v>0.25251391825989394</v>
      </c>
      <c r="E373" s="139">
        <f>SUM(D369,E369)</f>
        <v>0.71092477898623929</v>
      </c>
      <c r="F373" s="139">
        <f>SUM(D369:F369)</f>
        <v>0.66206592154636779</v>
      </c>
      <c r="G373" s="139">
        <f>SUM(D369:G369)</f>
        <v>0.77108773087619042</v>
      </c>
      <c r="H373" s="139">
        <f>SUM(D369:H369)</f>
        <v>0.88370448004186786</v>
      </c>
      <c r="I373" s="139">
        <f>SUM(D369:I369)</f>
        <v>0.9705087075204788</v>
      </c>
      <c r="J373" s="139">
        <f>SUM(D369:J369)</f>
        <v>1.0059061180081887</v>
      </c>
      <c r="K373" s="139">
        <f>SUM(D369:K369)</f>
        <v>1.037266810698446</v>
      </c>
      <c r="L373" s="139"/>
      <c r="M373" s="136">
        <f t="shared" si="104"/>
        <v>0.6293978465937673</v>
      </c>
      <c r="N373" s="32">
        <f t="shared" si="105"/>
        <v>1.0595743387477878</v>
      </c>
      <c r="O373" s="32">
        <f t="shared" si="106"/>
        <v>1.0045605454090378</v>
      </c>
    </row>
    <row r="374" spans="1:15" s="18" customFormat="1" hidden="1">
      <c r="A374" s="155" t="s">
        <v>280</v>
      </c>
      <c r="C374" s="112"/>
      <c r="D374" s="139">
        <f t="shared" ref="D374:D375" si="134">D370</f>
        <v>-0.11047745831460073</v>
      </c>
      <c r="E374" s="139">
        <f t="shared" ref="E374:E375" si="135">SUM(D370,E370)</f>
        <v>-3.6102136078481117E-2</v>
      </c>
      <c r="F374" s="139">
        <f t="shared" ref="F374:F375" si="136">SUM(D370:F370)</f>
        <v>0.23560402743898989</v>
      </c>
      <c r="G374" s="139">
        <f t="shared" ref="G374:G375" si="137">SUM(D370:G370)</f>
        <v>0.40196638703019028</v>
      </c>
      <c r="H374" s="139">
        <f t="shared" ref="H374:H375" si="138">SUM(D370:H370)</f>
        <v>0.47508894726351913</v>
      </c>
      <c r="I374" s="139">
        <f t="shared" ref="I374:I375" si="139">SUM(D370:I370)</f>
        <v>0.43954253888363076</v>
      </c>
      <c r="J374" s="139">
        <f t="shared" ref="J374:J375" si="140">SUM(D370:J370)</f>
        <v>0.84347855095165714</v>
      </c>
      <c r="K374" s="139">
        <f t="shared" ref="K374:K375" si="141">SUM(D370:K370)</f>
        <v>0.63317809852571438</v>
      </c>
      <c r="L374" s="139"/>
      <c r="M374" s="136">
        <f t="shared" si="104"/>
        <v>0.28822789557006201</v>
      </c>
      <c r="N374" s="32">
        <f t="shared" si="105"/>
        <v>0.61629648364495471</v>
      </c>
      <c r="O374" s="32">
        <f t="shared" si="106"/>
        <v>0.6387330627870007</v>
      </c>
    </row>
    <row r="375" spans="1:15" s="18" customFormat="1" hidden="1">
      <c r="A375" s="155" t="s">
        <v>281</v>
      </c>
      <c r="C375" s="112"/>
      <c r="D375" s="139">
        <f t="shared" si="134"/>
        <v>0.11413936406687931</v>
      </c>
      <c r="E375" s="139">
        <f t="shared" si="135"/>
        <v>0.68102000251240313</v>
      </c>
      <c r="F375" s="139">
        <f t="shared" si="136"/>
        <v>0.89059205588116808</v>
      </c>
      <c r="G375" s="139">
        <f t="shared" si="137"/>
        <v>1.1841133502492025</v>
      </c>
      <c r="H375" s="139">
        <f t="shared" si="138"/>
        <v>1.3780874846723576</v>
      </c>
      <c r="I375" s="139">
        <f t="shared" si="139"/>
        <v>1.4262597252520248</v>
      </c>
      <c r="J375" s="139">
        <f t="shared" si="140"/>
        <v>1.8798914366377015</v>
      </c>
      <c r="K375" s="139">
        <f t="shared" si="141"/>
        <v>1.6943565090408641</v>
      </c>
      <c r="L375" s="139"/>
      <c r="M375" s="136">
        <f t="shared" si="104"/>
        <v>0.92484599283126001</v>
      </c>
      <c r="N375" s="32">
        <f t="shared" si="105"/>
        <v>1.6975108997366821</v>
      </c>
      <c r="O375" s="32">
        <f t="shared" si="106"/>
        <v>1.6668358903101967</v>
      </c>
    </row>
    <row r="376" spans="1:15" s="18" customFormat="1" hidden="1">
      <c r="A376" s="155" t="s">
        <v>282</v>
      </c>
      <c r="C376" s="112"/>
      <c r="D376" s="32">
        <f>D4</f>
        <v>0.15028709497889195</v>
      </c>
      <c r="E376" s="139">
        <f>SUM(D4:E4)</f>
        <v>0.30821040201625904</v>
      </c>
      <c r="F376" s="139">
        <f>SUM(D4:F4)</f>
        <v>0.47313605655189284</v>
      </c>
      <c r="G376" s="139">
        <f>SUM(D4:G4)</f>
        <v>0.65121507252655741</v>
      </c>
      <c r="H376" s="139">
        <f>SUM(D4:H4)</f>
        <v>0.82594207319118684</v>
      </c>
      <c r="I376" s="139">
        <f>SUM(D4:I4)</f>
        <v>0.95711303478496146</v>
      </c>
      <c r="J376" s="139">
        <f>SUM(D4:J4)</f>
        <v>1.0697566230168039</v>
      </c>
      <c r="K376" s="139">
        <f>SUM(D4:K4)</f>
        <v>1.115048616366779</v>
      </c>
      <c r="L376" s="139"/>
      <c r="M376" s="136">
        <f t="shared" si="104"/>
        <v>0.55507089734333315</v>
      </c>
      <c r="N376" s="32">
        <f t="shared" si="105"/>
        <v>1.0348292634459244</v>
      </c>
      <c r="O376" s="32">
        <f t="shared" si="106"/>
        <v>1.0473060913895147</v>
      </c>
    </row>
    <row r="377" spans="1:15" s="18" customFormat="1" hidden="1">
      <c r="A377" s="155" t="s">
        <v>283</v>
      </c>
      <c r="C377" s="112"/>
      <c r="D377" s="139">
        <f>D17</f>
        <v>0.25251391825989389</v>
      </c>
      <c r="E377" s="139">
        <f>SUM(D17:E17)</f>
        <v>0.71092477898623918</v>
      </c>
      <c r="F377" s="139">
        <f>SUM(D17:F17)</f>
        <v>0.66206592154636767</v>
      </c>
      <c r="G377" s="139">
        <f>SUM(D17:G17)</f>
        <v>0.77108773087619042</v>
      </c>
      <c r="H377" s="139">
        <f>SUM(D17:H17)</f>
        <v>0.88370448004186775</v>
      </c>
      <c r="I377" s="139">
        <f>SUM(D17:I17)</f>
        <v>0.97050870752047869</v>
      </c>
      <c r="J377" s="139">
        <f>SUM(D17:J17)</f>
        <v>1.0059061180081887</v>
      </c>
      <c r="K377" s="139">
        <f>SUM(D17:K17)</f>
        <v>1.037266810698446</v>
      </c>
      <c r="L377" s="139"/>
      <c r="M377" s="136">
        <f t="shared" si="104"/>
        <v>0.62939784659376719</v>
      </c>
      <c r="N377" s="32">
        <f t="shared" si="105"/>
        <v>1.0595743387477878</v>
      </c>
      <c r="O377" s="32">
        <f t="shared" si="106"/>
        <v>1.0045605454090378</v>
      </c>
    </row>
    <row r="378" spans="1:15" s="18" customFormat="1" hidden="1">
      <c r="A378" s="155" t="s">
        <v>284</v>
      </c>
      <c r="C378" s="112"/>
      <c r="D378" s="139">
        <f>D41</f>
        <v>0.13496801705756936</v>
      </c>
      <c r="E378" s="139">
        <f>SUM(D41:E41)</f>
        <v>0.3790972674802634</v>
      </c>
      <c r="F378" s="139">
        <f>SUM(D41:F41)</f>
        <v>0.27983968600297637</v>
      </c>
      <c r="G378" s="139">
        <f>SUM(D41:G41)</f>
        <v>0.40537403821442602</v>
      </c>
      <c r="H378" s="139">
        <f>SUM(D41:H41)</f>
        <v>0.93178650966711207</v>
      </c>
      <c r="I378" s="139">
        <f>SUM(D41:I41)</f>
        <v>0.67561477442560935</v>
      </c>
      <c r="J378" s="139">
        <f>SUM(D41:J41)</f>
        <v>1.0708441242004136</v>
      </c>
      <c r="K378" s="139">
        <f>SUM(D41:K41)</f>
        <v>1.1253454169999122</v>
      </c>
      <c r="L378" s="139"/>
      <c r="M378" s="136">
        <f t="shared" si="104"/>
        <v>0.50028698340482824</v>
      </c>
      <c r="N378" s="32">
        <f t="shared" si="105"/>
        <v>0.94185036938246047</v>
      </c>
      <c r="O378" s="32">
        <f t="shared" si="106"/>
        <v>0.95726810520864503</v>
      </c>
    </row>
    <row r="379" spans="1:15" s="18" customFormat="1" hidden="1">
      <c r="A379" s="155" t="s">
        <v>285</v>
      </c>
      <c r="C379" s="112"/>
      <c r="D379" s="139">
        <f>D349</f>
        <v>0.3240862792091071</v>
      </c>
      <c r="E379" s="139">
        <f>SUM(D349:E349)</f>
        <v>0.82053408227711933</v>
      </c>
      <c r="F379" s="139">
        <f>SUM(D349:F349)</f>
        <v>0.98200973997291618</v>
      </c>
      <c r="G379" s="139">
        <f>SUM(D349:G349)</f>
        <v>1.115672848538394</v>
      </c>
      <c r="H379" s="139">
        <f>SUM(D349:H349)</f>
        <v>1.2400298207963398</v>
      </c>
      <c r="I379" s="139">
        <f>SUM(D349:I349)</f>
        <v>1.4652999447776303</v>
      </c>
      <c r="J379" s="139">
        <f>SUM(D349:J349)</f>
        <v>1.74942343614257</v>
      </c>
      <c r="K379" s="139">
        <f>SUM(D349:K349)</f>
        <v>2.0728604493318938</v>
      </c>
      <c r="L379" s="139"/>
      <c r="M379" s="136">
        <f t="shared" si="104"/>
        <v>0.97699166010459704</v>
      </c>
      <c r="N379" s="32">
        <f t="shared" si="105"/>
        <v>1.7240556319382851</v>
      </c>
      <c r="O379" s="32">
        <f t="shared" si="106"/>
        <v>1.7625279434173649</v>
      </c>
    </row>
    <row r="380" spans="1:15" s="18" customFormat="1" hidden="1">
      <c r="A380" s="155" t="s">
        <v>286</v>
      </c>
      <c r="C380" s="112"/>
      <c r="D380" s="139">
        <f>D360</f>
        <v>0.33345663029406308</v>
      </c>
      <c r="E380" s="139">
        <f>SUM(D360:E360)</f>
        <v>0.84113115641519132</v>
      </c>
      <c r="F380" s="139">
        <f>SUM(D360:F360)</f>
        <v>1.0188012677273253</v>
      </c>
      <c r="G380" s="139">
        <f>SUM(D360:G360)</f>
        <v>1.15248177807754</v>
      </c>
      <c r="H380" s="139">
        <f>SUM(D360:H360)</f>
        <v>1.2769678710057193</v>
      </c>
      <c r="I380" s="139">
        <f>SUM(D360:I360)</f>
        <v>1.5022379949870097</v>
      </c>
      <c r="J380" s="139">
        <f>SUM(D360:J360)</f>
        <v>1.7863614863519495</v>
      </c>
      <c r="K380" s="139">
        <f>SUM(D360:K360)</f>
        <v>2.1097984995412733</v>
      </c>
      <c r="L380" s="139"/>
      <c r="M380" s="136">
        <f t="shared" si="104"/>
        <v>1.002123668440007</v>
      </c>
      <c r="N380" s="32">
        <f t="shared" si="105"/>
        <v>1.7659942596806997</v>
      </c>
      <c r="O380" s="32">
        <f t="shared" si="106"/>
        <v>1.7994659936267443</v>
      </c>
    </row>
    <row r="381" spans="1:15" s="18" customFormat="1" hidden="1">
      <c r="A381" s="155" t="s">
        <v>288</v>
      </c>
      <c r="C381" s="112"/>
      <c r="D381" s="139">
        <f>D346</f>
        <v>0.14345263763116298</v>
      </c>
      <c r="E381" s="139">
        <f>SUM(D346:E346)</f>
        <v>0.76859405812142056</v>
      </c>
      <c r="F381" s="139">
        <f>SUM(D346:F346)</f>
        <v>1.0070171191775263</v>
      </c>
      <c r="G381" s="139">
        <f>SUM(D346:G346)</f>
        <v>1.1296462545276127</v>
      </c>
      <c r="H381" s="139">
        <f>SUM(D346:H346)</f>
        <v>1.2666986088978951</v>
      </c>
      <c r="I381" s="139">
        <f>SUM(D346:I346)</f>
        <v>1.2669432632013642</v>
      </c>
      <c r="J381" s="139">
        <f>SUM(D346:J346)</f>
        <v>1.4853824244054212</v>
      </c>
      <c r="K381" s="139">
        <f>SUM(D346:K346)</f>
        <v>1.5406807301252894</v>
      </c>
      <c r="L381" s="139"/>
      <c r="M381" s="136">
        <f t="shared" si="104"/>
        <v>0.86084150960876937</v>
      </c>
      <c r="N381" s="32">
        <f t="shared" si="105"/>
        <v>1.5100385581532705</v>
      </c>
      <c r="O381" s="32">
        <f t="shared" si="106"/>
        <v>1.4310021392440249</v>
      </c>
    </row>
    <row r="382" spans="1:15" s="18" customFormat="1" hidden="1">
      <c r="A382" s="155" t="s">
        <v>289</v>
      </c>
      <c r="C382" s="112"/>
      <c r="D382" s="139">
        <f>D347</f>
        <v>0.14460730693502521</v>
      </c>
      <c r="E382" s="139">
        <f>SUM(D347:E347)</f>
        <v>0.77079232222554506</v>
      </c>
      <c r="F382" s="139">
        <f>SUM(D347:F347)</f>
        <v>0.9803548618931599</v>
      </c>
      <c r="G382" s="139">
        <f>SUM(D347:G347)</f>
        <v>1.1046552350274881</v>
      </c>
      <c r="H382" s="139">
        <f>SUM(D347:H347)</f>
        <v>1.2399833135727416</v>
      </c>
      <c r="I382" s="139">
        <f>SUM(D347:I347)</f>
        <v>1.2509453878407946</v>
      </c>
      <c r="J382" s="139">
        <f>SUM(D347:J347)</f>
        <v>1.4892399918377224</v>
      </c>
      <c r="K382" s="139">
        <f>SUM(D347:K347)</f>
        <v>1.5837501105378584</v>
      </c>
      <c r="L382" s="139"/>
      <c r="M382" s="136">
        <f t="shared" si="104"/>
        <v>0.85643285298703353</v>
      </c>
      <c r="N382" s="32">
        <f t="shared" si="105"/>
        <v>1.5050013783607279</v>
      </c>
      <c r="O382" s="32">
        <f t="shared" si="106"/>
        <v>1.4413118300721253</v>
      </c>
    </row>
    <row r="383" spans="1:15" s="18" customFormat="1" hidden="1">
      <c r="A383" s="155"/>
      <c r="C383" s="112"/>
      <c r="M383" s="136">
        <f t="shared" si="104"/>
        <v>0</v>
      </c>
      <c r="N383" s="32">
        <f t="shared" si="105"/>
        <v>0</v>
      </c>
      <c r="O383" s="32">
        <f t="shared" si="106"/>
        <v>0</v>
      </c>
    </row>
    <row r="384" spans="1:15" s="18" customFormat="1" hidden="1">
      <c r="A384" s="155"/>
      <c r="C384" s="112"/>
      <c r="M384" s="136">
        <f t="shared" si="104"/>
        <v>0</v>
      </c>
      <c r="N384" s="32">
        <f t="shared" si="105"/>
        <v>0</v>
      </c>
      <c r="O384" s="32">
        <f t="shared" si="106"/>
        <v>0</v>
      </c>
    </row>
    <row r="385" spans="1:15" s="18" customFormat="1" hidden="1">
      <c r="A385" s="155" t="s">
        <v>298</v>
      </c>
      <c r="C385" s="62">
        <f>'Profit &amp; Loss'!C9/'Balance Sheet'!C6</f>
        <v>0.30703624733475476</v>
      </c>
      <c r="D385" s="62">
        <f>'Profit &amp; Loss'!D9/'Balance Sheet'!D6</f>
        <v>0.23454157782515991</v>
      </c>
      <c r="E385" s="62">
        <f>'Profit &amp; Loss'!E9/'Balance Sheet'!E6</f>
        <v>0.32679738562091504</v>
      </c>
      <c r="F385" s="62">
        <f>'Profit &amp; Loss'!F9/'Balance Sheet'!F6</f>
        <v>32.200000000000003</v>
      </c>
      <c r="G385" s="62">
        <f>'Profit &amp; Loss'!G9/'Balance Sheet'!G6</f>
        <v>30.2</v>
      </c>
      <c r="H385" s="62" t="e">
        <f>'Profit &amp; Loss'!H9/'Balance Sheet'!H6</f>
        <v>#DIV/0!</v>
      </c>
      <c r="I385" s="62" t="e">
        <f>'Profit &amp; Loss'!I9/'Balance Sheet'!I6</f>
        <v>#DIV/0!</v>
      </c>
      <c r="J385" s="62" t="e">
        <f>'Profit &amp; Loss'!J9/'Balance Sheet'!J6</f>
        <v>#DIV/0!</v>
      </c>
      <c r="K385" s="62" t="e">
        <f>'Profit &amp; Loss'!K9/'Balance Sheet'!K6</f>
        <v>#DIV/0!</v>
      </c>
      <c r="L385" s="62"/>
      <c r="M385" s="136" t="e">
        <f t="shared" si="104"/>
        <v>#DIV/0!</v>
      </c>
      <c r="N385" s="32" t="e">
        <f t="shared" si="105"/>
        <v>#DIV/0!</v>
      </c>
      <c r="O385" s="32" t="e">
        <f t="shared" si="106"/>
        <v>#DIV/0!</v>
      </c>
    </row>
    <row r="386" spans="1:15" s="18" customFormat="1" hidden="1">
      <c r="A386" s="155" t="s">
        <v>299</v>
      </c>
      <c r="C386" s="156">
        <f>(C88/C385)+'Data Sheet'!C69</f>
        <v>824.01687500000014</v>
      </c>
      <c r="D386" s="156">
        <f>(D88/D385)+'Data Sheet'!D69</f>
        <v>1268.6568181818184</v>
      </c>
      <c r="E386" s="156">
        <f>(E88/E385)+'Data Sheet'!E69</f>
        <v>1534.3704</v>
      </c>
      <c r="F386" s="156">
        <f>(F88/F385)+'Data Sheet'!F69</f>
        <v>410.06645962732915</v>
      </c>
      <c r="G386" s="156">
        <f>(G88/G385)+'Data Sheet'!G69</f>
        <v>327.65463576158942</v>
      </c>
      <c r="H386" s="156" t="e">
        <f>(H88/H385)+'Data Sheet'!H69</f>
        <v>#DIV/0!</v>
      </c>
      <c r="I386" s="156" t="e">
        <f>(I88/I385)+'Data Sheet'!I69</f>
        <v>#DIV/0!</v>
      </c>
      <c r="J386" s="156" t="e">
        <f>(J88/J385)+'Data Sheet'!J69</f>
        <v>#DIV/0!</v>
      </c>
      <c r="K386" s="156" t="e">
        <f>(K88/K385)+'Data Sheet'!K69</f>
        <v>#DIV/0!</v>
      </c>
      <c r="L386" s="156"/>
      <c r="M386" s="136" t="e">
        <f t="shared" si="104"/>
        <v>#DIV/0!</v>
      </c>
      <c r="N386" s="32" t="e">
        <f t="shared" si="105"/>
        <v>#DIV/0!</v>
      </c>
      <c r="O386" s="32" t="e">
        <f t="shared" si="106"/>
        <v>#DIV/0!</v>
      </c>
    </row>
    <row r="387" spans="1:15" s="18" customFormat="1" hidden="1">
      <c r="A387" s="155" t="s">
        <v>70</v>
      </c>
      <c r="C387" s="157">
        <f>'Profit &amp; Loss'!C15*'Data Sheet'!C70/10000000</f>
        <v>2814.2353549979998</v>
      </c>
      <c r="D387" s="157">
        <f>'Profit &amp; Loss'!D15*'Data Sheet'!D70/10000000</f>
        <v>3135.450388752</v>
      </c>
      <c r="E387" s="157">
        <f>'Profit &amp; Loss'!E15*'Data Sheet'!E70/10000000</f>
        <v>4912.8765069419997</v>
      </c>
      <c r="F387" s="157">
        <f>'Profit &amp; Loss'!F15*'Data Sheet'!F70/10000000</f>
        <v>5942.4781244490005</v>
      </c>
      <c r="G387" s="157">
        <f>'Profit &amp; Loss'!G15*'Data Sheet'!G70/10000000</f>
        <v>7686.721995291</v>
      </c>
      <c r="H387" s="157">
        <f>'Profit &amp; Loss'!H15*'Data Sheet'!H70/10000000</f>
        <v>9177.7472408789999</v>
      </c>
      <c r="I387" s="157">
        <f>'Profit &amp; Loss'!I15*'Data Sheet'!I70/10000000</f>
        <v>9619.8598889460009</v>
      </c>
      <c r="J387" s="157">
        <f>'Profit &amp; Loss'!J15*'Data Sheet'!J70/10000000</f>
        <v>13983.733393659</v>
      </c>
      <c r="K387" s="157">
        <f>'Profit &amp; Loss'!K15*'Data Sheet'!K70/10000000</f>
        <v>22778.524861866001</v>
      </c>
      <c r="L387" s="157"/>
      <c r="M387" s="136">
        <f t="shared" si="104"/>
        <v>7723.7392400783992</v>
      </c>
      <c r="N387" s="32">
        <f t="shared" si="105"/>
        <v>14194.065324143879</v>
      </c>
      <c r="O387" s="32">
        <f t="shared" si="106"/>
        <v>15460.706048157001</v>
      </c>
    </row>
    <row r="388" spans="1:15" s="18" customFormat="1" hidden="1">
      <c r="A388" s="155" t="s">
        <v>300</v>
      </c>
      <c r="C388" s="62">
        <f>C386/C387</f>
        <v>0.29280311383217122</v>
      </c>
      <c r="D388" s="62">
        <f t="shared" ref="D388:K388" si="142">D386/D387</f>
        <v>0.40461709192814899</v>
      </c>
      <c r="E388" s="62">
        <f t="shared" si="142"/>
        <v>0.31231609380612391</v>
      </c>
      <c r="F388" s="62">
        <f t="shared" si="142"/>
        <v>6.9005968728803935E-2</v>
      </c>
      <c r="G388" s="62">
        <f t="shared" si="142"/>
        <v>4.2626055158794023E-2</v>
      </c>
      <c r="H388" s="62" t="e">
        <f t="shared" si="142"/>
        <v>#DIV/0!</v>
      </c>
      <c r="I388" s="62" t="e">
        <f t="shared" si="142"/>
        <v>#DIV/0!</v>
      </c>
      <c r="J388" s="62" t="e">
        <f t="shared" si="142"/>
        <v>#DIV/0!</v>
      </c>
      <c r="K388" s="62" t="e">
        <f t="shared" si="142"/>
        <v>#DIV/0!</v>
      </c>
      <c r="L388" s="62"/>
      <c r="M388" s="136" t="e">
        <f t="shared" si="104"/>
        <v>#DIV/0!</v>
      </c>
      <c r="N388" s="32" t="e">
        <f t="shared" si="105"/>
        <v>#DIV/0!</v>
      </c>
      <c r="O388" s="32" t="e">
        <f t="shared" si="106"/>
        <v>#DIV/0!</v>
      </c>
    </row>
    <row r="389" spans="1:15" s="18" customFormat="1" hidden="1">
      <c r="A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36">
        <f t="shared" ref="M389:M452" si="143">SUM(D389:K389)/10</f>
        <v>0</v>
      </c>
      <c r="N389" s="32">
        <f t="shared" ref="N389:N452" si="144">SUM(G389:M389)/5</f>
        <v>0</v>
      </c>
      <c r="O389" s="32">
        <f t="shared" ref="O389:O452" si="145">SUM(I389:K389)/3</f>
        <v>0</v>
      </c>
    </row>
    <row r="390" spans="1:15" s="18" customFormat="1" hidden="1">
      <c r="A390" s="155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36">
        <f t="shared" si="143"/>
        <v>0</v>
      </c>
      <c r="N390" s="32">
        <f t="shared" si="144"/>
        <v>0</v>
      </c>
      <c r="O390" s="32">
        <f t="shared" si="145"/>
        <v>0</v>
      </c>
    </row>
    <row r="391" spans="1:15" s="18" customFormat="1" hidden="1">
      <c r="A391" s="155" t="s">
        <v>301</v>
      </c>
      <c r="B391" s="32">
        <f>'Data Sheet'!B62/'Data Sheet'!B61</f>
        <v>0.23300309855632284</v>
      </c>
      <c r="C391" s="32">
        <f>'Data Sheet'!C62/'Data Sheet'!C61</f>
        <v>0.26715799170888993</v>
      </c>
      <c r="D391" s="32">
        <f>'Data Sheet'!D62/'Data Sheet'!D61</f>
        <v>0.22024261763663069</v>
      </c>
      <c r="E391" s="32">
        <f>'Data Sheet'!E62/'Data Sheet'!E61</f>
        <v>0.27394145118528623</v>
      </c>
      <c r="F391" s="32">
        <f>'Data Sheet'!F62/'Data Sheet'!F61</f>
        <v>0.24245679411373272</v>
      </c>
      <c r="G391" s="32">
        <f>'Data Sheet'!G62/'Data Sheet'!G61</f>
        <v>0.22186371801803373</v>
      </c>
      <c r="H391" s="32">
        <f>'Data Sheet'!H62/'Data Sheet'!H61</f>
        <v>0.21183485546078951</v>
      </c>
      <c r="I391" s="32">
        <f>'Data Sheet'!I62/'Data Sheet'!I61</f>
        <v>0.36615181952906306</v>
      </c>
      <c r="J391" s="32">
        <f>'Data Sheet'!J62/'Data Sheet'!J61</f>
        <v>0.45103470563115317</v>
      </c>
      <c r="K391" s="32">
        <f>'Data Sheet'!K62/'Data Sheet'!K61</f>
        <v>0.51085673168037371</v>
      </c>
      <c r="L391" s="32"/>
      <c r="M391" s="136">
        <f t="shared" si="143"/>
        <v>0.24983826932550629</v>
      </c>
      <c r="N391" s="32">
        <f t="shared" si="144"/>
        <v>0.40231601992898386</v>
      </c>
      <c r="O391" s="32">
        <f t="shared" si="145"/>
        <v>0.44268108561352992</v>
      </c>
    </row>
    <row r="392" spans="1:15" s="18" customFormat="1" hidden="1">
      <c r="A392" s="155" t="s">
        <v>302</v>
      </c>
      <c r="B392" s="32">
        <f>'Balance Sheet'!B16/'Balance Sheet'!B8</f>
        <v>-5.6371493281829665E-2</v>
      </c>
      <c r="C392" s="32">
        <f>'Balance Sheet'!C16/'Balance Sheet'!C8</f>
        <v>-0.14611336767025385</v>
      </c>
      <c r="D392" s="32">
        <f>'Balance Sheet'!D16/'Balance Sheet'!D8</f>
        <v>5.1410626551182002E-3</v>
      </c>
      <c r="E392" s="32">
        <f>'Balance Sheet'!E16/'Balance Sheet'!E8</f>
        <v>6.2741965900140945E-2</v>
      </c>
      <c r="F392" s="32">
        <f>'Balance Sheet'!F16/'Balance Sheet'!F8</f>
        <v>7.8046276403597181E-2</v>
      </c>
      <c r="G392" s="32">
        <f>'Balance Sheet'!G16/'Balance Sheet'!G8</f>
        <v>5.6263843591398306E-2</v>
      </c>
      <c r="H392" s="32">
        <f>'Balance Sheet'!H16/'Balance Sheet'!H8</f>
        <v>4.5173220620424198E-2</v>
      </c>
      <c r="I392" s="32">
        <f>'Balance Sheet'!I16/'Balance Sheet'!I8</f>
        <v>-8.8700806849991737E-2</v>
      </c>
      <c r="J392" s="32">
        <f>'Balance Sheet'!J16/'Balance Sheet'!J8</f>
        <v>-0.10939718153803536</v>
      </c>
      <c r="K392" s="32">
        <f>'Balance Sheet'!K16/'Balance Sheet'!K8</f>
        <v>-4.9239142001489829E-2</v>
      </c>
      <c r="L392" s="32"/>
      <c r="M392" s="136">
        <f t="shared" si="143"/>
        <v>2.9238781161879112E-6</v>
      </c>
      <c r="N392" s="32">
        <f t="shared" si="144"/>
        <v>-2.9179428459915651E-2</v>
      </c>
      <c r="O392" s="32">
        <f t="shared" si="145"/>
        <v>-8.2445710129838978E-2</v>
      </c>
    </row>
    <row r="393" spans="1:15" s="18" customFormat="1" hidden="1">
      <c r="A393" s="155"/>
      <c r="C393" s="112"/>
      <c r="M393" s="136">
        <f t="shared" si="143"/>
        <v>0</v>
      </c>
      <c r="N393" s="32">
        <f t="shared" si="144"/>
        <v>0</v>
      </c>
      <c r="O393" s="32">
        <f t="shared" si="145"/>
        <v>0</v>
      </c>
    </row>
    <row r="394" spans="1:15" s="18" customFormat="1" hidden="1">
      <c r="A394" s="155" t="s">
        <v>6</v>
      </c>
      <c r="B394" s="18">
        <f>'Data Sheet'!B17</f>
        <v>1295.1400000000001</v>
      </c>
      <c r="C394" s="18">
        <f>'Data Sheet'!C17</f>
        <v>1473.38</v>
      </c>
      <c r="D394" s="18">
        <f>'Data Sheet'!D17</f>
        <v>1694.81</v>
      </c>
      <c r="E394" s="18">
        <f>'Data Sheet'!E17</f>
        <v>1962.46</v>
      </c>
      <c r="F394" s="18">
        <f>'Data Sheet'!F17</f>
        <v>2286.12</v>
      </c>
      <c r="G394" s="18">
        <f>'Data Sheet'!G17</f>
        <v>2693.23</v>
      </c>
      <c r="H394" s="18">
        <f>'Data Sheet'!H17</f>
        <v>3163.81</v>
      </c>
      <c r="I394" s="18">
        <f>'Data Sheet'!I17</f>
        <v>3578.81</v>
      </c>
      <c r="J394" s="18">
        <f>'Data Sheet'!J17</f>
        <v>3981.94</v>
      </c>
      <c r="K394" s="18">
        <f>'Data Sheet'!K17</f>
        <v>4162.29</v>
      </c>
      <c r="M394" s="136">
        <f t="shared" si="143"/>
        <v>2352.3469999999998</v>
      </c>
      <c r="N394" s="32">
        <f t="shared" si="144"/>
        <v>3986.4854000000005</v>
      </c>
      <c r="O394" s="32">
        <f t="shared" si="145"/>
        <v>3907.6800000000003</v>
      </c>
    </row>
    <row r="395" spans="1:15" s="18" customFormat="1" hidden="1">
      <c r="A395" s="155" t="s">
        <v>85</v>
      </c>
      <c r="B395" s="49">
        <f>B88</f>
        <v>135.59</v>
      </c>
      <c r="C395" s="49">
        <f t="shared" ref="C395:K395" si="146">C88</f>
        <v>208.71</v>
      </c>
      <c r="D395" s="49">
        <f t="shared" si="146"/>
        <v>238.65000000000003</v>
      </c>
      <c r="E395" s="49">
        <f t="shared" si="146"/>
        <v>387.84000000000003</v>
      </c>
      <c r="F395" s="49">
        <f t="shared" si="146"/>
        <v>480.31000000000006</v>
      </c>
      <c r="G395" s="49">
        <f t="shared" si="146"/>
        <v>539.21</v>
      </c>
      <c r="H395" s="49">
        <f t="shared" si="146"/>
        <v>613.11</v>
      </c>
      <c r="I395" s="49">
        <f t="shared" si="146"/>
        <v>613.26</v>
      </c>
      <c r="J395" s="49">
        <f t="shared" si="146"/>
        <v>747.22</v>
      </c>
      <c r="K395" s="49">
        <f t="shared" si="146"/>
        <v>788.54</v>
      </c>
      <c r="L395" s="49"/>
      <c r="M395" s="136">
        <f t="shared" si="143"/>
        <v>440.81400000000002</v>
      </c>
      <c r="N395" s="32">
        <f t="shared" si="144"/>
        <v>748.43079999999998</v>
      </c>
      <c r="O395" s="32">
        <f t="shared" si="145"/>
        <v>716.34</v>
      </c>
    </row>
    <row r="396" spans="1:15" s="18" customFormat="1" hidden="1">
      <c r="A396" s="155" t="s">
        <v>261</v>
      </c>
      <c r="B396" s="49">
        <f>B89</f>
        <v>150.85</v>
      </c>
      <c r="C396" s="49">
        <f t="shared" ref="C396:K396" si="147">C89</f>
        <v>228.55</v>
      </c>
      <c r="D396" s="49">
        <f t="shared" si="147"/>
        <v>261.60000000000002</v>
      </c>
      <c r="E396" s="49">
        <f t="shared" si="147"/>
        <v>425.41</v>
      </c>
      <c r="F396" s="49">
        <f t="shared" si="147"/>
        <v>514.56000000000006</v>
      </c>
      <c r="G396" s="49">
        <f t="shared" si="147"/>
        <v>578.52</v>
      </c>
      <c r="H396" s="49">
        <f t="shared" si="147"/>
        <v>656.81000000000006</v>
      </c>
      <c r="I396" s="49">
        <f t="shared" si="147"/>
        <v>664.01</v>
      </c>
      <c r="J396" s="49">
        <f t="shared" si="147"/>
        <v>822.24</v>
      </c>
      <c r="K396" s="49">
        <f t="shared" si="147"/>
        <v>899.94999999999993</v>
      </c>
      <c r="L396" s="49"/>
      <c r="M396" s="136">
        <f t="shared" si="143"/>
        <v>482.30999999999995</v>
      </c>
      <c r="N396" s="32">
        <f t="shared" si="144"/>
        <v>820.76800000000003</v>
      </c>
      <c r="O396" s="32">
        <f t="shared" si="145"/>
        <v>795.4</v>
      </c>
    </row>
    <row r="397" spans="1:15" s="18" customFormat="1" hidden="1">
      <c r="A397" s="155" t="s">
        <v>96</v>
      </c>
      <c r="B397" s="49">
        <f>B163</f>
        <v>107.72010465750706</v>
      </c>
      <c r="C397" s="49">
        <f t="shared" ref="C397:K397" si="148">C163</f>
        <v>165.58874884437597</v>
      </c>
      <c r="D397" s="49">
        <f t="shared" si="148"/>
        <v>200.57630245286845</v>
      </c>
      <c r="E397" s="49">
        <f t="shared" si="148"/>
        <v>338.60800000000006</v>
      </c>
      <c r="F397" s="49">
        <f t="shared" si="148"/>
        <v>371.89521829441867</v>
      </c>
      <c r="G397" s="49">
        <f t="shared" si="148"/>
        <v>409.15224374989384</v>
      </c>
      <c r="H397" s="49">
        <f t="shared" si="148"/>
        <v>459.35858648929906</v>
      </c>
      <c r="I397" s="49">
        <f t="shared" si="148"/>
        <v>454.80613797461405</v>
      </c>
      <c r="J397" s="49">
        <f t="shared" si="148"/>
        <v>535.22089673112157</v>
      </c>
      <c r="K397" s="49">
        <f t="shared" si="148"/>
        <v>548.9358152508604</v>
      </c>
      <c r="L397" s="49"/>
      <c r="M397" s="136">
        <f t="shared" si="143"/>
        <v>331.85532009430756</v>
      </c>
      <c r="N397" s="32">
        <f t="shared" si="144"/>
        <v>547.8658000580192</v>
      </c>
      <c r="O397" s="32">
        <f t="shared" si="145"/>
        <v>512.98761665219865</v>
      </c>
    </row>
    <row r="398" spans="1:15" s="18" customFormat="1" hidden="1">
      <c r="A398" s="155" t="s">
        <v>304</v>
      </c>
      <c r="B398" s="18">
        <f>'Data Sheet'!B18+'Data Sheet'!B19+'Data Sheet'!B20+'Data Sheet'!B21+'Data Sheet'!B29</f>
        <v>650.38999999999987</v>
      </c>
      <c r="C398" s="18">
        <f>'Data Sheet'!C18+'Data Sheet'!C19+'Data Sheet'!C20+'Data Sheet'!C21+'Data Sheet'!C29</f>
        <v>720.46</v>
      </c>
      <c r="D398" s="18">
        <f>'Data Sheet'!D18+'Data Sheet'!D19+'Data Sheet'!D20+'Data Sheet'!D21+'Data Sheet'!D29</f>
        <v>833.03</v>
      </c>
      <c r="E398" s="18">
        <f>'Data Sheet'!E18+'Data Sheet'!E19+'Data Sheet'!E20+'Data Sheet'!E21+'Data Sheet'!E29</f>
        <v>896.81999999999982</v>
      </c>
      <c r="F398" s="18">
        <f>'Data Sheet'!F18+'Data Sheet'!F19+'Data Sheet'!F20+'Data Sheet'!F21+'Data Sheet'!F29</f>
        <v>1085.5900000000001</v>
      </c>
      <c r="G398" s="18">
        <f>'Data Sheet'!G18+'Data Sheet'!G19+'Data Sheet'!G20+'Data Sheet'!G21+'Data Sheet'!G29</f>
        <v>1321.6</v>
      </c>
      <c r="H398" s="18">
        <f>'Data Sheet'!H18+'Data Sheet'!H19+'Data Sheet'!H20+'Data Sheet'!H21+'Data Sheet'!H29</f>
        <v>1490.1999999999998</v>
      </c>
      <c r="I398" s="18">
        <f>'Data Sheet'!I18+'Data Sheet'!I19+'Data Sheet'!I20+'Data Sheet'!I21+'Data Sheet'!I29</f>
        <v>1787.6999999999998</v>
      </c>
      <c r="J398" s="18">
        <f>'Data Sheet'!J18+'Data Sheet'!J19+'Data Sheet'!J20+'Data Sheet'!J21+'Data Sheet'!J29</f>
        <v>1894.52</v>
      </c>
      <c r="K398" s="18">
        <f>'Data Sheet'!K18+'Data Sheet'!K19+'Data Sheet'!K20+'Data Sheet'!K21+'Data Sheet'!K29</f>
        <v>1947.6299999999997</v>
      </c>
      <c r="M398" s="136">
        <f t="shared" si="143"/>
        <v>1125.7089999999998</v>
      </c>
      <c r="N398" s="32">
        <f t="shared" si="144"/>
        <v>1913.4718</v>
      </c>
      <c r="O398" s="32">
        <f t="shared" si="145"/>
        <v>1876.6166666666666</v>
      </c>
    </row>
    <row r="399" spans="1:15" s="18" customFormat="1" hidden="1">
      <c r="A399" s="155" t="s">
        <v>303</v>
      </c>
      <c r="B399" s="18">
        <f>'Data Sheet'!B22+'Data Sheet'!B23+'Data Sheet'!B24+'Data Sheet'!B26+'Data Sheet'!B27</f>
        <v>560.62</v>
      </c>
      <c r="C399" s="18">
        <f>'Data Sheet'!C22+'Data Sheet'!C23+'Data Sheet'!C24+'Data Sheet'!C26+'Data Sheet'!C27</f>
        <v>607.49000000000012</v>
      </c>
      <c r="D399" s="18">
        <f>'Data Sheet'!D22+'Data Sheet'!D23+'Data Sheet'!D24+'Data Sheet'!D26+'Data Sheet'!D27</f>
        <v>688.34</v>
      </c>
      <c r="E399" s="18">
        <f>'Data Sheet'!E22+'Data Sheet'!E23+'Data Sheet'!E24+'Data Sheet'!E26+'Data Sheet'!E27</f>
        <v>763.7</v>
      </c>
      <c r="F399" s="18">
        <f>'Data Sheet'!F22+'Data Sheet'!F23+'Data Sheet'!F24+'Data Sheet'!F26+'Data Sheet'!F27</f>
        <v>898.8900000000001</v>
      </c>
      <c r="G399" s="18">
        <f>'Data Sheet'!G22+'Data Sheet'!G23+'Data Sheet'!G24+'Data Sheet'!G26+'Data Sheet'!G27</f>
        <v>1062.53</v>
      </c>
      <c r="H399" s="18">
        <f>'Data Sheet'!H22+'Data Sheet'!H23+'Data Sheet'!H24+'Data Sheet'!H26+'Data Sheet'!H27</f>
        <v>1182.3700000000001</v>
      </c>
      <c r="I399" s="18">
        <f>'Data Sheet'!I22+'Data Sheet'!I23+'Data Sheet'!I24+'Data Sheet'!I26+'Data Sheet'!I27</f>
        <v>1419.48</v>
      </c>
      <c r="J399" s="18">
        <f>'Data Sheet'!J22+'Data Sheet'!J23+'Data Sheet'!J24+'Data Sheet'!J26+'Data Sheet'!J27</f>
        <v>1594.31</v>
      </c>
      <c r="K399" s="18">
        <f>'Data Sheet'!K22+'Data Sheet'!K23+'Data Sheet'!K24+'Data Sheet'!K26+'Data Sheet'!K27</f>
        <v>1686.25</v>
      </c>
      <c r="M399" s="136">
        <f t="shared" si="143"/>
        <v>929.58699999999988</v>
      </c>
      <c r="N399" s="32">
        <f t="shared" si="144"/>
        <v>1574.9054000000001</v>
      </c>
      <c r="O399" s="32">
        <f t="shared" si="145"/>
        <v>1566.68</v>
      </c>
    </row>
    <row r="400" spans="1:15" s="18" customFormat="1" hidden="1">
      <c r="A400" s="155" t="s">
        <v>307</v>
      </c>
      <c r="B400" s="18">
        <f>'Data Sheet'!B30</f>
        <v>160.16999999999999</v>
      </c>
      <c r="C400" s="18">
        <f>'Data Sheet'!C30</f>
        <v>231.71</v>
      </c>
      <c r="D400" s="18">
        <f>'Data Sheet'!D30</f>
        <v>290.22000000000003</v>
      </c>
      <c r="E400" s="18">
        <f>'Data Sheet'!E30</f>
        <v>423.26</v>
      </c>
      <c r="F400" s="18">
        <f>'Data Sheet'!F30</f>
        <v>402.58</v>
      </c>
      <c r="G400" s="18">
        <f>'Data Sheet'!G30</f>
        <v>446.47</v>
      </c>
      <c r="H400" s="18">
        <f>'Data Sheet'!H30</f>
        <v>496.75</v>
      </c>
      <c r="I400" s="18">
        <f>'Data Sheet'!I30</f>
        <v>539.87</v>
      </c>
      <c r="J400" s="18">
        <f>'Data Sheet'!J30</f>
        <v>558.98</v>
      </c>
      <c r="K400" s="18">
        <f>'Data Sheet'!K30</f>
        <v>576.51</v>
      </c>
      <c r="M400" s="136">
        <f t="shared" si="143"/>
        <v>373.46399999999994</v>
      </c>
      <c r="N400" s="32">
        <f t="shared" si="144"/>
        <v>598.40879999999993</v>
      </c>
      <c r="O400" s="32">
        <f t="shared" si="145"/>
        <v>558.45333333333326</v>
      </c>
    </row>
    <row r="401" spans="1:15" s="18" customFormat="1" hidden="1">
      <c r="A401" s="57" t="s">
        <v>569</v>
      </c>
      <c r="B401" s="143">
        <f>B741-'Profit &amp; Loss'!B8</f>
        <v>-15.26</v>
      </c>
      <c r="C401" s="143">
        <f>C741-'Profit &amp; Loss'!C8</f>
        <v>6.960000000000008</v>
      </c>
      <c r="D401" s="143">
        <f>D741-'Profit &amp; Loss'!D8</f>
        <v>-20.39</v>
      </c>
      <c r="E401" s="143">
        <f>E741-'Profit &amp; Loss'!E8</f>
        <v>74.539999999999992</v>
      </c>
      <c r="F401" s="143">
        <f>F741-'Profit &amp; Loss'!F8</f>
        <v>10.120000000000019</v>
      </c>
      <c r="G401" s="143">
        <f>G741-'Profit &amp; Loss'!G8</f>
        <v>60.539999999999964</v>
      </c>
      <c r="H401" s="143">
        <f>H741-'Profit &amp; Loss'!H8</f>
        <v>58.820000000000036</v>
      </c>
      <c r="I401" s="143">
        <f>I741-'Profit &amp; Loss'!I8</f>
        <v>314.79999999999995</v>
      </c>
      <c r="J401" s="143">
        <f>J741-'Profit &amp; Loss'!J8</f>
        <v>225.34000000000009</v>
      </c>
      <c r="K401" s="143">
        <f>K741-'Profit &amp; Loss'!K8</f>
        <v>163.74999999999997</v>
      </c>
      <c r="L401" s="143"/>
      <c r="M401" s="136">
        <f t="shared" si="143"/>
        <v>88.751999999999995</v>
      </c>
      <c r="N401" s="32">
        <f t="shared" si="144"/>
        <v>182.40039999999999</v>
      </c>
      <c r="O401" s="32">
        <f t="shared" si="145"/>
        <v>234.63000000000002</v>
      </c>
    </row>
    <row r="402" spans="1:15" s="18" customFormat="1" hidden="1">
      <c r="A402" s="57" t="s">
        <v>566</v>
      </c>
      <c r="B402" s="46"/>
      <c r="C402" s="143">
        <f>('Balance Sheet'!C16-'Balance Sheet'!B16)</f>
        <v>-64.109999999999957</v>
      </c>
      <c r="D402" s="143">
        <f>('Balance Sheet'!D16-'Balance Sheet'!C16)</f>
        <v>108.7399999999999</v>
      </c>
      <c r="E402" s="143">
        <f>('Balance Sheet'!E16-'Balance Sheet'!D16)</f>
        <v>52.500000000000114</v>
      </c>
      <c r="F402" s="143">
        <f>('Balance Sheet'!F16-'Balance Sheet'!E16)</f>
        <v>25.539999999999964</v>
      </c>
      <c r="G402" s="143">
        <f>('Balance Sheet'!G16-'Balance Sheet'!F16)</f>
        <v>-17.579999999999927</v>
      </c>
      <c r="H402" s="143">
        <f>('Balance Sheet'!H16-'Balance Sheet'!G16)</f>
        <v>-4.6700000000000728</v>
      </c>
      <c r="I402" s="143">
        <f>('Balance Sheet'!I16-'Balance Sheet'!H16)</f>
        <v>-194.51999999999998</v>
      </c>
      <c r="J402" s="143">
        <f>('Balance Sheet'!J16-'Balance Sheet'!I16)</f>
        <v>-54.899999999999977</v>
      </c>
      <c r="K402" s="143">
        <f>('Balance Sheet'!K16-'Balance Sheet'!J16)</f>
        <v>92.399999999999864</v>
      </c>
      <c r="L402" s="143"/>
      <c r="M402" s="136">
        <f t="shared" si="143"/>
        <v>0.75099999999998768</v>
      </c>
      <c r="N402" s="32">
        <f t="shared" si="144"/>
        <v>-35.703800000000022</v>
      </c>
      <c r="O402" s="32">
        <f t="shared" si="145"/>
        <v>-52.340000000000032</v>
      </c>
    </row>
    <row r="403" spans="1:15" s="18" customFormat="1" hidden="1">
      <c r="A403" s="57" t="s">
        <v>567</v>
      </c>
      <c r="B403" s="46"/>
      <c r="C403" s="143">
        <f>('Profit &amp; Loss'!C4-'Profit &amp; Loss'!B4)</f>
        <v>178.24</v>
      </c>
      <c r="D403" s="143">
        <f>('Profit &amp; Loss'!D4-'Profit &amp; Loss'!C4)</f>
        <v>221.42999999999984</v>
      </c>
      <c r="E403" s="143">
        <f>('Profit &amp; Loss'!E4-'Profit &amp; Loss'!D4)</f>
        <v>267.65000000000009</v>
      </c>
      <c r="F403" s="143">
        <f>('Profit &amp; Loss'!F4-'Profit &amp; Loss'!E4)</f>
        <v>323.65999999999985</v>
      </c>
      <c r="G403" s="143">
        <f>('Profit &amp; Loss'!G4-'Profit &amp; Loss'!F4)</f>
        <v>407.11000000000013</v>
      </c>
      <c r="H403" s="143">
        <f>('Profit &amp; Loss'!H4-'Profit &amp; Loss'!G4)</f>
        <v>470.57999999999993</v>
      </c>
      <c r="I403" s="143">
        <f>('Profit &amp; Loss'!I4-'Profit &amp; Loss'!H4)</f>
        <v>415</v>
      </c>
      <c r="J403" s="143">
        <f>('Profit &amp; Loss'!J4-'Profit &amp; Loss'!I4)</f>
        <v>403.13000000000011</v>
      </c>
      <c r="K403" s="143">
        <f>('Profit &amp; Loss'!K4-'Profit &amp; Loss'!J4)</f>
        <v>180.34999999999991</v>
      </c>
      <c r="L403" s="143">
        <f>('Profit &amp; Loss'!L4-'Profit &amp; Loss'!K4)</f>
        <v>-119.17000000000007</v>
      </c>
      <c r="M403" s="136">
        <f t="shared" si="143"/>
        <v>268.89099999999996</v>
      </c>
      <c r="N403" s="32">
        <f t="shared" si="144"/>
        <v>405.1782</v>
      </c>
      <c r="O403" s="32">
        <f t="shared" si="145"/>
        <v>332.82666666666665</v>
      </c>
    </row>
    <row r="404" spans="1:15" s="2" customFormat="1" hidden="1">
      <c r="A404" s="138" t="s">
        <v>568</v>
      </c>
      <c r="B404" s="145"/>
      <c r="C404" s="169">
        <f>C401/C403</f>
        <v>3.9048473967684065E-2</v>
      </c>
      <c r="D404" s="169">
        <f t="shared" ref="D404:F404" si="149">D401/D403</f>
        <v>-9.2083276882084703E-2</v>
      </c>
      <c r="E404" s="169">
        <f t="shared" si="149"/>
        <v>0.27849803848309346</v>
      </c>
      <c r="F404" s="169">
        <f t="shared" si="149"/>
        <v>3.1267379348699324E-2</v>
      </c>
      <c r="G404" s="169">
        <f t="shared" ref="G404:K404" si="150">G401/G403</f>
        <v>0.14870673773672949</v>
      </c>
      <c r="H404" s="169">
        <f t="shared" si="150"/>
        <v>0.12499468740702972</v>
      </c>
      <c r="I404" s="169">
        <f t="shared" si="150"/>
        <v>0.75855421686746982</v>
      </c>
      <c r="J404" s="169">
        <f t="shared" si="150"/>
        <v>0.5589760127006177</v>
      </c>
      <c r="K404" s="169">
        <f t="shared" si="150"/>
        <v>0.90795675076240678</v>
      </c>
      <c r="L404" s="169"/>
      <c r="M404" s="136">
        <f t="shared" si="143"/>
        <v>0.27168705464239618</v>
      </c>
      <c r="N404" s="32">
        <f t="shared" si="144"/>
        <v>0.55417509202332993</v>
      </c>
      <c r="O404" s="32">
        <f t="shared" si="145"/>
        <v>0.74182899344349806</v>
      </c>
    </row>
    <row r="405" spans="1:15" s="2" customFormat="1" hidden="1">
      <c r="A405" s="138" t="s">
        <v>570</v>
      </c>
      <c r="B405" s="145"/>
      <c r="C405" s="169">
        <f>C402/C403</f>
        <v>-0.35968357271095125</v>
      </c>
      <c r="D405" s="169">
        <f t="shared" ref="D405:E405" si="151">D402/D403</f>
        <v>0.4910807027051437</v>
      </c>
      <c r="E405" s="169">
        <f t="shared" si="151"/>
        <v>0.19615169064076254</v>
      </c>
      <c r="F405" s="169">
        <f t="shared" ref="F405:K405" si="152">F402/F403</f>
        <v>7.8909967249582824E-2</v>
      </c>
      <c r="G405" s="169">
        <f t="shared" si="152"/>
        <v>-4.3182432266463421E-2</v>
      </c>
      <c r="H405" s="169">
        <f t="shared" si="152"/>
        <v>-9.9239236686643577E-3</v>
      </c>
      <c r="I405" s="169">
        <f t="shared" si="152"/>
        <v>-0.46872289156626501</v>
      </c>
      <c r="J405" s="169">
        <f t="shared" si="152"/>
        <v>-0.13618435740331894</v>
      </c>
      <c r="K405" s="169">
        <f t="shared" si="152"/>
        <v>0.51233712226226735</v>
      </c>
      <c r="L405" s="169"/>
      <c r="M405" s="136">
        <f t="shared" si="143"/>
        <v>6.2046587795304475E-2</v>
      </c>
      <c r="N405" s="32">
        <f t="shared" si="144"/>
        <v>-1.6725978969427978E-2</v>
      </c>
      <c r="O405" s="32">
        <f t="shared" si="145"/>
        <v>-3.0856708902438856E-2</v>
      </c>
    </row>
    <row r="406" spans="1:15" s="18" customFormat="1" hidden="1">
      <c r="A406" s="155"/>
      <c r="M406" s="136">
        <f t="shared" si="143"/>
        <v>0</v>
      </c>
      <c r="N406" s="32">
        <f t="shared" si="144"/>
        <v>0</v>
      </c>
      <c r="O406" s="32">
        <f t="shared" si="145"/>
        <v>0</v>
      </c>
    </row>
    <row r="407" spans="1:15" s="18" customFormat="1" hidden="1">
      <c r="A407" s="138" t="s">
        <v>305</v>
      </c>
      <c r="B407" s="45">
        <f>B398/'Data Sheet'!B17</f>
        <v>0.50217737078616975</v>
      </c>
      <c r="C407" s="45">
        <f>C398/'Data Sheet'!C17</f>
        <v>0.48898451180279356</v>
      </c>
      <c r="D407" s="45">
        <f>D398/'Data Sheet'!D17</f>
        <v>0.49151822328166578</v>
      </c>
      <c r="E407" s="45">
        <f>E398/'Data Sheet'!E17</f>
        <v>0.45698765834717642</v>
      </c>
      <c r="F407" s="45">
        <f>F398/'Data Sheet'!F17</f>
        <v>0.4748613371126626</v>
      </c>
      <c r="G407" s="45">
        <f>G398/'Data Sheet'!G17</f>
        <v>0.49071189612472754</v>
      </c>
      <c r="H407" s="45">
        <f>H398/'Data Sheet'!H17</f>
        <v>0.47101437823383829</v>
      </c>
      <c r="I407" s="45">
        <f>I398/'Data Sheet'!I17</f>
        <v>0.4995235846552345</v>
      </c>
      <c r="J407" s="45">
        <f>J398/'Data Sheet'!J17</f>
        <v>0.47577813829439919</v>
      </c>
      <c r="K407" s="45">
        <f>K398/'Data Sheet'!K17</f>
        <v>0.46792270601039326</v>
      </c>
      <c r="L407" s="45"/>
      <c r="M407" s="136">
        <f t="shared" si="143"/>
        <v>0.38283179220600971</v>
      </c>
      <c r="N407" s="32">
        <f t="shared" si="144"/>
        <v>0.55755649910492056</v>
      </c>
      <c r="O407" s="32">
        <f t="shared" si="145"/>
        <v>0.48107480965334232</v>
      </c>
    </row>
    <row r="408" spans="1:15" s="18" customFormat="1" hidden="1">
      <c r="A408" s="138" t="s">
        <v>306</v>
      </c>
      <c r="B408" s="45">
        <f>B399/'Data Sheet'!B17</f>
        <v>0.4328644007597634</v>
      </c>
      <c r="C408" s="45">
        <f>C399/'Data Sheet'!C17</f>
        <v>0.41231046980412389</v>
      </c>
      <c r="D408" s="45">
        <f>D399/'Data Sheet'!D17</f>
        <v>0.40614582165552482</v>
      </c>
      <c r="E408" s="45">
        <f>E399/'Data Sheet'!E17</f>
        <v>0.38915442862529681</v>
      </c>
      <c r="F408" s="45">
        <f>F399/'Data Sheet'!F17</f>
        <v>0.39319458296152437</v>
      </c>
      <c r="G408" s="45">
        <f>G399/'Data Sheet'!G17</f>
        <v>0.39451884911426055</v>
      </c>
      <c r="H408" s="45">
        <f>H399/'Data Sheet'!H17</f>
        <v>0.37371713219188263</v>
      </c>
      <c r="I408" s="45">
        <f>I399/'Data Sheet'!I17</f>
        <v>0.39663463553527573</v>
      </c>
      <c r="J408" s="45">
        <f>J399/'Data Sheet'!J17</f>
        <v>0.40038523935569093</v>
      </c>
      <c r="K408" s="45">
        <f>K399/'Data Sheet'!K17</f>
        <v>0.40512554387128241</v>
      </c>
      <c r="L408" s="45"/>
      <c r="M408" s="136">
        <f t="shared" si="143"/>
        <v>0.31588762333107379</v>
      </c>
      <c r="N408" s="32">
        <f t="shared" si="144"/>
        <v>0.45725380467989318</v>
      </c>
      <c r="O408" s="32">
        <f t="shared" si="145"/>
        <v>0.40071513958741639</v>
      </c>
    </row>
    <row r="409" spans="1:15" s="60" customFormat="1" hidden="1">
      <c r="A409" s="59" t="s">
        <v>106</v>
      </c>
      <c r="B409" s="59"/>
      <c r="C409" s="59">
        <f>(('Profit &amp; Loss'!C13-'Profit &amp; Loss'!B13)/'Profit &amp; Loss'!B13)/((Customization!C88-Customization!B88)/Customization!B88)</f>
        <v>12.899922426684503</v>
      </c>
      <c r="D409" s="59">
        <f>(('Profit &amp; Loss'!D13-'Profit &amp; Loss'!C13)/'Profit &amp; Loss'!C13)/((Customization!D88-Customization!C88)/Customization!C88)</f>
        <v>1.7602598490321451</v>
      </c>
      <c r="E409" s="59">
        <f>(('Profit &amp; Loss'!E13-'Profit &amp; Loss'!D13)/'Profit &amp; Loss'!D13)/((Customization!E88-Customization!D88)/Customization!D88)</f>
        <v>0.73329145326323708</v>
      </c>
      <c r="F409" s="59">
        <f>(('Profit &amp; Loss'!F13-'Profit &amp; Loss'!E13)/'Profit &amp; Loss'!E13)/((Customization!F88-Customization!E88)/Customization!E88)</f>
        <v>-0.20492504887509191</v>
      </c>
      <c r="G409" s="59">
        <f>(('Profit &amp; Loss'!G13-'Profit &amp; Loss'!F13)/'Profit &amp; Loss'!F13)/((Customization!G88-Customization!F88)/Customization!F88)</f>
        <v>0.88903676127686138</v>
      </c>
      <c r="H409" s="59">
        <f>(('Profit &amp; Loss'!H13-'Profit &amp; Loss'!G13)/'Profit &amp; Loss'!G13)/((Customization!H88-Customization!G88)/Customization!G88)</f>
        <v>0.82170605301251654</v>
      </c>
      <c r="I409" s="59">
        <f>(('Profit &amp; Loss'!I13-'Profit &amp; Loss'!H13)/'Profit &amp; Loss'!H13)/((Customization!I88-Customization!H88)/Customization!H88)</f>
        <v>354.80359939612805</v>
      </c>
      <c r="J409" s="59">
        <f>(('Profit &amp; Loss'!J13-'Profit &amp; Loss'!I13)/'Profit &amp; Loss'!I13)/((Customization!J88-Customization!I88)/Customization!I88)</f>
        <v>0.16204699877346257</v>
      </c>
      <c r="K409" s="59">
        <f>(('Profit &amp; Loss'!K13-'Profit &amp; Loss'!J13)/'Profit &amp; Loss'!J13)/((Customization!K88-Customization!J88)/Customization!J88)</f>
        <v>0.56711850900324468</v>
      </c>
      <c r="L409" s="59"/>
      <c r="M409" s="136">
        <f t="shared" si="143"/>
        <v>35.953213397161441</v>
      </c>
      <c r="N409" s="32">
        <f t="shared" si="144"/>
        <v>78.63934422307112</v>
      </c>
      <c r="O409" s="32">
        <f t="shared" si="145"/>
        <v>118.51092163463493</v>
      </c>
    </row>
    <row r="410" spans="1:15" s="60" customFormat="1" hidden="1">
      <c r="A410" s="59" t="s">
        <v>193</v>
      </c>
      <c r="B410" s="59"/>
      <c r="C410" s="59">
        <f>((Customization!C88-Customization!B88)/B88)/(('Data Sheet'!C17-'Data Sheet'!B17)/'Data Sheet'!B17)</f>
        <v>3.9185019311174534</v>
      </c>
      <c r="D410" s="59">
        <f>((Customization!D88-Customization!C88)/C88)/(('Data Sheet'!D17-'Data Sheet'!C17)/'Data Sheet'!C17)</f>
        <v>0.95452399057491344</v>
      </c>
      <c r="E410" s="59">
        <f>((Customization!E88-Customization!D88)/D88)/(('Data Sheet'!E17-'Data Sheet'!D17)/'Data Sheet'!D17)</f>
        <v>3.9585127250554573</v>
      </c>
      <c r="F410" s="59">
        <f>((Customization!F88-Customization!E88)/E88)/(('Data Sheet'!F17-'Data Sheet'!E17)/'Data Sheet'!E17)</f>
        <v>1.4456396230617481</v>
      </c>
      <c r="G410" s="59">
        <f>((Customization!G88-Customization!F88)/F88)/(('Data Sheet'!G17-'Data Sheet'!F17)/'Data Sheet'!F17)</f>
        <v>0.68862204049652254</v>
      </c>
      <c r="H410" s="59">
        <f>((Customization!H88-Customization!G88)/G88)/(('Data Sheet'!H17-'Data Sheet'!G17)/'Data Sheet'!G17)</f>
        <v>0.78437994041539327</v>
      </c>
      <c r="I410" s="59">
        <f>((Customization!I88-Customization!H88)/H88)/(('Data Sheet'!I17-'Data Sheet'!H17)/'Data Sheet'!H17)</f>
        <v>1.865155980382569E-3</v>
      </c>
      <c r="J410" s="59">
        <f>((Customization!J88-Customization!I88)/I88)/(('Data Sheet'!J17-'Data Sheet'!I17)/'Data Sheet'!I17)</f>
        <v>1.9392063466095086</v>
      </c>
      <c r="K410" s="59">
        <f>((Customization!K88-Customization!J88)/J88)/(('Data Sheet'!K17-'Data Sheet'!J17)/'Data Sheet'!J17)</f>
        <v>1.2209289463719002</v>
      </c>
      <c r="L410" s="59"/>
      <c r="M410" s="136">
        <f t="shared" si="143"/>
        <v>1.0993678768565827</v>
      </c>
      <c r="N410" s="32">
        <f t="shared" si="144"/>
        <v>1.146874061346058</v>
      </c>
      <c r="O410" s="32">
        <f t="shared" si="145"/>
        <v>1.0540001496539304</v>
      </c>
    </row>
    <row r="411" spans="1:15" s="60" customFormat="1" ht="18" hidden="1">
      <c r="A411" s="158" t="s">
        <v>197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136">
        <f t="shared" si="143"/>
        <v>0</v>
      </c>
      <c r="N411" s="32">
        <f t="shared" si="144"/>
        <v>0</v>
      </c>
      <c r="O411" s="32">
        <f t="shared" si="145"/>
        <v>0</v>
      </c>
    </row>
    <row r="412" spans="1:15" s="62" customFormat="1" hidden="1">
      <c r="A412" s="61" t="s">
        <v>251</v>
      </c>
      <c r="B412" s="61"/>
      <c r="C412" s="61">
        <f t="shared" ref="C412:K412" si="153">C360/C359</f>
        <v>-0.54537259613595579</v>
      </c>
      <c r="D412" s="61">
        <f t="shared" si="153"/>
        <v>0.58490699890609865</v>
      </c>
      <c r="E412" s="61">
        <f t="shared" si="153"/>
        <v>0.67297116660145939</v>
      </c>
      <c r="F412" s="61">
        <f t="shared" si="153"/>
        <v>-0.56136036840642478</v>
      </c>
      <c r="G412" s="61">
        <f t="shared" si="153"/>
        <v>4.4733219321074671</v>
      </c>
      <c r="H412" s="61">
        <f t="shared" si="153"/>
        <v>1.3983675143377414</v>
      </c>
      <c r="I412" s="61">
        <f t="shared" si="153"/>
        <v>0.46058843931788196</v>
      </c>
      <c r="J412" s="61">
        <f t="shared" si="153"/>
        <v>0.81898323691890207</v>
      </c>
      <c r="K412" s="61">
        <f t="shared" si="153"/>
        <v>1.0460435103981756</v>
      </c>
      <c r="L412" s="61"/>
      <c r="M412" s="136">
        <f t="shared" si="143"/>
        <v>0.88938224301813018</v>
      </c>
      <c r="N412" s="32">
        <f t="shared" si="144"/>
        <v>1.8173373752196595</v>
      </c>
      <c r="O412" s="32">
        <f t="shared" si="145"/>
        <v>0.77520506221165331</v>
      </c>
    </row>
    <row r="413" spans="1:15" s="62" customFormat="1" hidden="1">
      <c r="A413" s="61" t="s">
        <v>252</v>
      </c>
      <c r="B413" s="61"/>
      <c r="C413" s="61">
        <f>1/C412</f>
        <v>-1.8336088154871468</v>
      </c>
      <c r="D413" s="61">
        <f t="shared" ref="D413:K413" si="154">1/D412</f>
        <v>1.7096735068484634</v>
      </c>
      <c r="E413" s="61">
        <f t="shared" si="154"/>
        <v>1.4859477636316185</v>
      </c>
      <c r="F413" s="61">
        <f t="shared" si="154"/>
        <v>-1.7813868884951283</v>
      </c>
      <c r="G413" s="61">
        <f t="shared" si="154"/>
        <v>0.22354751461602965</v>
      </c>
      <c r="H413" s="61">
        <f t="shared" si="154"/>
        <v>0.7151195874809736</v>
      </c>
      <c r="I413" s="61">
        <f t="shared" si="154"/>
        <v>2.1711356921614682</v>
      </c>
      <c r="J413" s="61">
        <f t="shared" si="154"/>
        <v>1.2210262126513129</v>
      </c>
      <c r="K413" s="61">
        <f t="shared" si="154"/>
        <v>0.95598317857672177</v>
      </c>
      <c r="L413" s="61"/>
      <c r="M413" s="136">
        <f t="shared" si="143"/>
        <v>0.67010465674714603</v>
      </c>
      <c r="N413" s="32">
        <f t="shared" si="144"/>
        <v>1.1913833684467305</v>
      </c>
      <c r="O413" s="32">
        <f t="shared" si="145"/>
        <v>1.4493816944631677</v>
      </c>
    </row>
    <row r="414" spans="1:15" s="62" customFormat="1" hidden="1">
      <c r="A414" s="61" t="s">
        <v>253</v>
      </c>
      <c r="B414" s="61"/>
      <c r="C414" s="61">
        <f t="shared" ref="C414:K414" si="155">C360/C356</f>
        <v>-6.0626431114602156E-2</v>
      </c>
      <c r="D414" s="61">
        <f t="shared" si="155"/>
        <v>1.3205475270114053</v>
      </c>
      <c r="E414" s="61">
        <f t="shared" si="155"/>
        <v>1.107466182883899</v>
      </c>
      <c r="F414" s="61">
        <f t="shared" si="155"/>
        <v>-3.636395131236644</v>
      </c>
      <c r="G414" s="61">
        <f t="shared" si="155"/>
        <v>1.226181359234211</v>
      </c>
      <c r="H414" s="61">
        <f t="shared" si="155"/>
        <v>1.1053959011464636</v>
      </c>
      <c r="I414" s="61">
        <f t="shared" si="155"/>
        <v>2.595151532646244</v>
      </c>
      <c r="J414" s="61">
        <f t="shared" si="155"/>
        <v>8.0266744784505448</v>
      </c>
      <c r="K414" s="61">
        <f t="shared" si="155"/>
        <v>10.313452460500184</v>
      </c>
      <c r="L414" s="61"/>
      <c r="M414" s="136">
        <f t="shared" si="143"/>
        <v>2.2058474310636305</v>
      </c>
      <c r="N414" s="32">
        <f t="shared" si="144"/>
        <v>5.0945406326082558</v>
      </c>
      <c r="O414" s="32">
        <f t="shared" si="145"/>
        <v>6.9784261571989914</v>
      </c>
    </row>
    <row r="415" spans="1:15" s="62" customFormat="1" hidden="1">
      <c r="A415" s="61" t="s">
        <v>254</v>
      </c>
      <c r="B415" s="61"/>
      <c r="C415" s="61">
        <f>1/C414</f>
        <v>-16.494455992464736</v>
      </c>
      <c r="D415" s="61">
        <f t="shared" ref="D415:K415" si="156">1/D414</f>
        <v>0.75726165059969341</v>
      </c>
      <c r="E415" s="61">
        <f t="shared" si="156"/>
        <v>0.90296210887085371</v>
      </c>
      <c r="F415" s="61">
        <f t="shared" si="156"/>
        <v>-0.27499761822085761</v>
      </c>
      <c r="G415" s="61">
        <f t="shared" si="156"/>
        <v>0.81554004427577631</v>
      </c>
      <c r="H415" s="61">
        <f t="shared" si="156"/>
        <v>0.90465325496760751</v>
      </c>
      <c r="I415" s="61">
        <f t="shared" si="156"/>
        <v>0.38533395349762578</v>
      </c>
      <c r="J415" s="61">
        <f t="shared" si="156"/>
        <v>0.12458459635864519</v>
      </c>
      <c r="K415" s="61">
        <f t="shared" si="156"/>
        <v>9.6960741694396863E-2</v>
      </c>
      <c r="L415" s="61"/>
      <c r="M415" s="136">
        <f t="shared" si="143"/>
        <v>0.37122987320437412</v>
      </c>
      <c r="N415" s="32">
        <f t="shared" si="144"/>
        <v>0.5396604927996852</v>
      </c>
      <c r="O415" s="32">
        <f t="shared" si="145"/>
        <v>0.20229309718355593</v>
      </c>
    </row>
    <row r="416" spans="1:15" s="60" customFormat="1" hidden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136">
        <f t="shared" si="143"/>
        <v>0</v>
      </c>
      <c r="N416" s="32">
        <f t="shared" si="144"/>
        <v>0</v>
      </c>
      <c r="O416" s="32">
        <f t="shared" si="145"/>
        <v>0</v>
      </c>
    </row>
    <row r="417" spans="1:15" s="18" customFormat="1" hidden="1">
      <c r="A417" s="46"/>
      <c r="B417" s="143"/>
      <c r="C417" s="143"/>
      <c r="D417" s="78"/>
      <c r="E417" s="78"/>
      <c r="F417" s="78"/>
      <c r="G417" s="78"/>
      <c r="H417" s="78"/>
      <c r="I417" s="78"/>
      <c r="J417" s="78"/>
      <c r="K417" s="78"/>
      <c r="L417" s="78"/>
      <c r="M417" s="136">
        <f t="shared" si="143"/>
        <v>0</v>
      </c>
      <c r="N417" s="32">
        <f t="shared" si="144"/>
        <v>0</v>
      </c>
      <c r="O417" s="32">
        <f t="shared" si="145"/>
        <v>0</v>
      </c>
    </row>
    <row r="418" spans="1:15" s="18" customFormat="1" hidden="1">
      <c r="A418" s="138" t="s">
        <v>156</v>
      </c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36">
        <f t="shared" si="143"/>
        <v>0</v>
      </c>
      <c r="N418" s="32">
        <f t="shared" si="144"/>
        <v>0</v>
      </c>
      <c r="O418" s="32">
        <f t="shared" si="145"/>
        <v>0</v>
      </c>
    </row>
    <row r="419" spans="1:15" s="49" customFormat="1" hidden="1">
      <c r="A419" s="159" t="s">
        <v>151</v>
      </c>
      <c r="B419" s="143">
        <f>'Data Sheet'!B30</f>
        <v>160.16999999999999</v>
      </c>
      <c r="C419" s="143">
        <f>'Data Sheet'!C30</f>
        <v>231.71</v>
      </c>
      <c r="D419" s="143">
        <f>'Data Sheet'!D30</f>
        <v>290.22000000000003</v>
      </c>
      <c r="E419" s="143">
        <f>'Data Sheet'!E30</f>
        <v>423.26</v>
      </c>
      <c r="F419" s="143">
        <f>'Data Sheet'!F30</f>
        <v>402.58</v>
      </c>
      <c r="G419" s="143">
        <f>'Data Sheet'!G30</f>
        <v>446.47</v>
      </c>
      <c r="H419" s="143">
        <f>'Data Sheet'!H30</f>
        <v>496.75</v>
      </c>
      <c r="I419" s="143">
        <f>'Data Sheet'!I30</f>
        <v>539.87</v>
      </c>
      <c r="J419" s="143">
        <f>'Data Sheet'!J30</f>
        <v>558.98</v>
      </c>
      <c r="K419" s="143">
        <f>'Data Sheet'!K30</f>
        <v>576.51</v>
      </c>
      <c r="L419" s="143"/>
      <c r="M419" s="136">
        <f t="shared" si="143"/>
        <v>373.46399999999994</v>
      </c>
      <c r="N419" s="32">
        <f t="shared" si="144"/>
        <v>598.40879999999993</v>
      </c>
      <c r="O419" s="32">
        <f t="shared" si="145"/>
        <v>558.45333333333326</v>
      </c>
    </row>
    <row r="420" spans="1:15" s="32" customFormat="1" hidden="1">
      <c r="A420" s="45" t="s">
        <v>171</v>
      </c>
      <c r="B420" s="45"/>
      <c r="C420" s="45">
        <f>(C419-B419)/B419</f>
        <v>0.44665043391396658</v>
      </c>
      <c r="D420" s="45">
        <f t="shared" ref="D420:K420" si="157">(D419-C419)/C419</f>
        <v>0.25251391825989389</v>
      </c>
      <c r="E420" s="45">
        <f t="shared" si="157"/>
        <v>0.45841086072634535</v>
      </c>
      <c r="F420" s="45">
        <f t="shared" si="157"/>
        <v>-4.8858857439871492E-2</v>
      </c>
      <c r="G420" s="45">
        <f t="shared" si="157"/>
        <v>0.10902180932982275</v>
      </c>
      <c r="H420" s="45">
        <f t="shared" si="157"/>
        <v>0.11261674916567736</v>
      </c>
      <c r="I420" s="45">
        <f t="shared" si="157"/>
        <v>8.6804227478610982E-2</v>
      </c>
      <c r="J420" s="45">
        <f t="shared" si="157"/>
        <v>3.5397410487710029E-2</v>
      </c>
      <c r="K420" s="45">
        <f t="shared" si="157"/>
        <v>3.1360692690257201E-2</v>
      </c>
      <c r="L420" s="45"/>
      <c r="M420" s="136">
        <f t="shared" si="143"/>
        <v>0.10372668106984459</v>
      </c>
      <c r="N420" s="32">
        <f t="shared" si="144"/>
        <v>9.5785514044384595E-2</v>
      </c>
      <c r="O420" s="32">
        <f t="shared" si="145"/>
        <v>5.1187443552192735E-2</v>
      </c>
    </row>
    <row r="421" spans="1:15" s="32" customFormat="1" hidden="1">
      <c r="A421" s="45" t="s">
        <v>172</v>
      </c>
      <c r="B421" s="45"/>
      <c r="C421" s="45"/>
      <c r="D421" s="45"/>
      <c r="E421" s="45">
        <f>SUM(C420:E420)/3</f>
        <v>0.38585840430006857</v>
      </c>
      <c r="F421" s="45">
        <f t="shared" ref="F421:K421" si="158">SUM(D420:F420)/3</f>
        <v>0.22068864051545589</v>
      </c>
      <c r="G421" s="45">
        <f t="shared" si="158"/>
        <v>0.17285793753876555</v>
      </c>
      <c r="H421" s="45">
        <f t="shared" si="158"/>
        <v>5.7593233685209543E-2</v>
      </c>
      <c r="I421" s="45">
        <f t="shared" si="158"/>
        <v>0.10281426199137038</v>
      </c>
      <c r="J421" s="45">
        <f t="shared" si="158"/>
        <v>7.8272795710666129E-2</v>
      </c>
      <c r="K421" s="45">
        <f t="shared" si="158"/>
        <v>5.1187443552192735E-2</v>
      </c>
      <c r="L421" s="45"/>
      <c r="M421" s="136">
        <f t="shared" si="143"/>
        <v>0.10692727172937286</v>
      </c>
      <c r="N421" s="32">
        <f t="shared" si="144"/>
        <v>0.11393058884151544</v>
      </c>
      <c r="O421" s="32">
        <f t="shared" si="145"/>
        <v>7.7424833751409752E-2</v>
      </c>
    </row>
    <row r="422" spans="1:15" s="32" customFormat="1" hidden="1">
      <c r="A422" s="45" t="s">
        <v>173</v>
      </c>
      <c r="B422" s="45"/>
      <c r="C422" s="45"/>
      <c r="D422" s="45"/>
      <c r="E422" s="45"/>
      <c r="F422" s="45"/>
      <c r="G422" s="45">
        <f>SUM(C420:G420)/5</f>
        <v>0.24354763295803142</v>
      </c>
      <c r="H422" s="45">
        <f t="shared" ref="H422:K422" si="159">SUM(D420:H420)/5</f>
        <v>0.17674089600837356</v>
      </c>
      <c r="I422" s="45">
        <f t="shared" si="159"/>
        <v>0.14359895785211699</v>
      </c>
      <c r="J422" s="45">
        <f t="shared" si="159"/>
        <v>5.8996267804389935E-2</v>
      </c>
      <c r="K422" s="45">
        <f t="shared" si="159"/>
        <v>7.504017783041568E-2</v>
      </c>
      <c r="L422" s="45"/>
      <c r="M422" s="136">
        <f t="shared" si="143"/>
        <v>6.9792393245332762E-2</v>
      </c>
      <c r="N422" s="32">
        <f t="shared" si="144"/>
        <v>0.15354326513973207</v>
      </c>
      <c r="O422" s="32">
        <f t="shared" si="145"/>
        <v>9.2545134495640877E-2</v>
      </c>
    </row>
    <row r="423" spans="1:15" s="32" customFormat="1" hidden="1">
      <c r="A423" s="45" t="s">
        <v>174</v>
      </c>
      <c r="B423" s="45"/>
      <c r="C423" s="45"/>
      <c r="D423" s="45"/>
      <c r="E423" s="45"/>
      <c r="F423" s="45"/>
      <c r="G423" s="45"/>
      <c r="H423" s="45"/>
      <c r="I423" s="45"/>
      <c r="J423" s="45"/>
      <c r="K423" s="45">
        <f>SUM(C420:K420)/9</f>
        <v>0.1648796938458236</v>
      </c>
      <c r="L423" s="45"/>
      <c r="M423" s="136">
        <f t="shared" si="143"/>
        <v>1.6487969384582361E-2</v>
      </c>
      <c r="N423" s="32">
        <f t="shared" si="144"/>
        <v>3.6273532646081193E-2</v>
      </c>
      <c r="O423" s="32">
        <f t="shared" si="145"/>
        <v>5.4959897948607866E-2</v>
      </c>
    </row>
    <row r="424" spans="1:15" s="49" customFormat="1" hidden="1">
      <c r="A424" s="159" t="s">
        <v>242</v>
      </c>
      <c r="B424" s="143">
        <f>('Data Sheet'!B57+'Data Sheet'!B58)</f>
        <v>280.52</v>
      </c>
      <c r="C424" s="143">
        <f>('Data Sheet'!C57+'Data Sheet'!C58)</f>
        <v>162.21</v>
      </c>
      <c r="D424" s="143">
        <f>('Data Sheet'!D57+'Data Sheet'!D58)</f>
        <v>216.29999999999998</v>
      </c>
      <c r="E424" s="143">
        <f>('Data Sheet'!E57+'Data Sheet'!E58)</f>
        <v>326.11</v>
      </c>
      <c r="F424" s="143">
        <f>('Data Sheet'!F57+'Data Sheet'!F58)</f>
        <v>384.05</v>
      </c>
      <c r="G424" s="143">
        <f>('Data Sheet'!G57+'Data Sheet'!G58)</f>
        <v>435.39000000000004</v>
      </c>
      <c r="H424" s="143">
        <f>('Data Sheet'!H57+'Data Sheet'!H58)</f>
        <v>489.59000000000003</v>
      </c>
      <c r="I424" s="143">
        <f>('Data Sheet'!I57+'Data Sheet'!I58)</f>
        <v>599.88</v>
      </c>
      <c r="J424" s="143">
        <f>('Data Sheet'!J57+'Data Sheet'!J58)</f>
        <v>770.32</v>
      </c>
      <c r="K424" s="143">
        <f>('Data Sheet'!K57+'Data Sheet'!K58)</f>
        <v>1019.47</v>
      </c>
      <c r="L424" s="143"/>
      <c r="M424" s="136">
        <f t="shared" si="143"/>
        <v>424.11100000000005</v>
      </c>
      <c r="N424" s="32">
        <f t="shared" si="144"/>
        <v>747.75220000000013</v>
      </c>
      <c r="O424" s="32">
        <f t="shared" si="145"/>
        <v>796.55666666666673</v>
      </c>
    </row>
    <row r="425" spans="1:15" s="32" customFormat="1" hidden="1">
      <c r="A425" s="45" t="s">
        <v>157</v>
      </c>
      <c r="B425" s="45"/>
      <c r="C425" s="45">
        <f>(C424-B424)/B424</f>
        <v>-0.42175245971766712</v>
      </c>
      <c r="D425" s="45">
        <f t="shared" ref="D425:K425" si="160">(D424-C424)/C424</f>
        <v>0.33345663029406308</v>
      </c>
      <c r="E425" s="45">
        <f t="shared" si="160"/>
        <v>0.50767452612112829</v>
      </c>
      <c r="F425" s="45">
        <f t="shared" si="160"/>
        <v>0.17767011131213392</v>
      </c>
      <c r="G425" s="45">
        <f t="shared" si="160"/>
        <v>0.13368051035021489</v>
      </c>
      <c r="H425" s="45">
        <f t="shared" si="160"/>
        <v>0.12448609292817929</v>
      </c>
      <c r="I425" s="45">
        <f t="shared" si="160"/>
        <v>0.22527012398129037</v>
      </c>
      <c r="J425" s="45">
        <f t="shared" si="160"/>
        <v>0.28412349136493975</v>
      </c>
      <c r="K425" s="45">
        <f t="shared" si="160"/>
        <v>0.32343701318932389</v>
      </c>
      <c r="L425" s="45"/>
      <c r="M425" s="136">
        <f t="shared" si="143"/>
        <v>0.21097984995412733</v>
      </c>
      <c r="N425" s="32">
        <f t="shared" si="144"/>
        <v>0.26039541635361513</v>
      </c>
      <c r="O425" s="32">
        <f t="shared" si="145"/>
        <v>0.27761020951185134</v>
      </c>
    </row>
    <row r="426" spans="1:15" s="32" customFormat="1" hidden="1">
      <c r="A426" s="45" t="s">
        <v>167</v>
      </c>
      <c r="B426" s="45"/>
      <c r="C426" s="45"/>
      <c r="D426" s="45"/>
      <c r="E426" s="45">
        <f>SUM(C425:E425)/3</f>
        <v>0.13979289889917476</v>
      </c>
      <c r="F426" s="45">
        <f t="shared" ref="F426:K426" si="161">SUM(D425:F425)/3</f>
        <v>0.33960042257577511</v>
      </c>
      <c r="G426" s="45">
        <f t="shared" si="161"/>
        <v>0.27300838259449239</v>
      </c>
      <c r="H426" s="45">
        <f t="shared" si="161"/>
        <v>0.14527890486350939</v>
      </c>
      <c r="I426" s="45">
        <f t="shared" si="161"/>
        <v>0.16114557575322819</v>
      </c>
      <c r="J426" s="45">
        <f t="shared" si="161"/>
        <v>0.2112932360914698</v>
      </c>
      <c r="K426" s="45">
        <f t="shared" si="161"/>
        <v>0.27761020951185134</v>
      </c>
      <c r="L426" s="45"/>
      <c r="M426" s="136">
        <f t="shared" si="143"/>
        <v>0.15477296302895011</v>
      </c>
      <c r="N426" s="32">
        <f t="shared" si="144"/>
        <v>0.24462185436870026</v>
      </c>
      <c r="O426" s="32">
        <f t="shared" si="145"/>
        <v>0.21668300711884977</v>
      </c>
    </row>
    <row r="427" spans="1:15" s="32" customFormat="1" hidden="1">
      <c r="A427" s="45" t="s">
        <v>168</v>
      </c>
      <c r="B427" s="45"/>
      <c r="C427" s="45"/>
      <c r="D427" s="45"/>
      <c r="E427" s="45"/>
      <c r="F427" s="45"/>
      <c r="G427" s="45">
        <f>SUM(C425:G425)/5</f>
        <v>0.14614586367197463</v>
      </c>
      <c r="H427" s="45">
        <f t="shared" ref="H427:K427" si="162">SUM(D425:H425)/5</f>
        <v>0.25539357420114384</v>
      </c>
      <c r="I427" s="45">
        <f t="shared" si="162"/>
        <v>0.23375627293858936</v>
      </c>
      <c r="J427" s="45">
        <f t="shared" si="162"/>
        <v>0.18904606598735166</v>
      </c>
      <c r="K427" s="45">
        <f t="shared" si="162"/>
        <v>0.21819944636278965</v>
      </c>
      <c r="L427" s="45"/>
      <c r="M427" s="136">
        <f t="shared" si="143"/>
        <v>0.10425412231618492</v>
      </c>
      <c r="N427" s="32">
        <f t="shared" si="144"/>
        <v>0.22935906909560683</v>
      </c>
      <c r="O427" s="32">
        <f t="shared" si="145"/>
        <v>0.2136672617629102</v>
      </c>
    </row>
    <row r="428" spans="1:15" s="32" customFormat="1" hidden="1">
      <c r="A428" s="45" t="s">
        <v>169</v>
      </c>
      <c r="B428" s="45"/>
      <c r="C428" s="45"/>
      <c r="D428" s="45"/>
      <c r="E428" s="45"/>
      <c r="F428" s="45"/>
      <c r="G428" s="45"/>
      <c r="H428" s="45"/>
      <c r="I428" s="45"/>
      <c r="J428" s="45"/>
      <c r="K428" s="45">
        <f>SUM(C425:K425)/9</f>
        <v>0.18756067109151181</v>
      </c>
      <c r="L428" s="45"/>
      <c r="M428" s="136">
        <f t="shared" si="143"/>
        <v>1.8756067109151182E-2</v>
      </c>
      <c r="N428" s="32">
        <f t="shared" si="144"/>
        <v>4.1263347640132599E-2</v>
      </c>
      <c r="O428" s="32">
        <f t="shared" si="145"/>
        <v>6.2520223697170599E-2</v>
      </c>
    </row>
    <row r="429" spans="1:15" s="18" customFormat="1" hidden="1">
      <c r="A429" s="57" t="s">
        <v>159</v>
      </c>
      <c r="B429" s="143"/>
      <c r="C429" s="143">
        <f>'Data Sheet'!C30-(0.1*B424)</f>
        <v>203.65800000000002</v>
      </c>
      <c r="D429" s="143">
        <f>'Data Sheet'!D30-(0.1*C424)</f>
        <v>273.99900000000002</v>
      </c>
      <c r="E429" s="143">
        <f>'Data Sheet'!E30-(0.1*D424)</f>
        <v>401.63</v>
      </c>
      <c r="F429" s="143">
        <f>'Data Sheet'!F30-(0.1*E424)</f>
        <v>369.96899999999999</v>
      </c>
      <c r="G429" s="143">
        <f>'Data Sheet'!G30-(0.1*F424)</f>
        <v>408.06500000000005</v>
      </c>
      <c r="H429" s="143">
        <f>'Data Sheet'!H30-(0.1*G424)</f>
        <v>453.21100000000001</v>
      </c>
      <c r="I429" s="143">
        <f>'Data Sheet'!I30-(0.1*H424)</f>
        <v>490.911</v>
      </c>
      <c r="J429" s="143">
        <f>'Data Sheet'!J30-(0.1*I424)</f>
        <v>498.99200000000002</v>
      </c>
      <c r="K429" s="143">
        <f>'Data Sheet'!K30-(0.1*J424)</f>
        <v>499.47799999999995</v>
      </c>
      <c r="L429" s="143"/>
      <c r="M429" s="136">
        <f t="shared" si="143"/>
        <v>339.62549999999999</v>
      </c>
      <c r="N429" s="32">
        <f t="shared" si="144"/>
        <v>538.05650000000003</v>
      </c>
      <c r="O429" s="32">
        <f t="shared" si="145"/>
        <v>496.46033333333327</v>
      </c>
    </row>
    <row r="430" spans="1:15" s="18" customFormat="1" hidden="1">
      <c r="A430" s="45" t="s">
        <v>176</v>
      </c>
      <c r="B430" s="143"/>
      <c r="C430" s="143"/>
      <c r="D430" s="45">
        <f>(D429-C429)/C429</f>
        <v>0.34538785611171674</v>
      </c>
      <c r="E430" s="45">
        <f t="shared" ref="E430:K430" si="163">(E429-D429)/D429</f>
        <v>0.46580826937324576</v>
      </c>
      <c r="F430" s="45">
        <f t="shared" si="163"/>
        <v>-7.88312626048851E-2</v>
      </c>
      <c r="G430" s="45">
        <f t="shared" si="163"/>
        <v>0.10297078944452119</v>
      </c>
      <c r="H430" s="45">
        <f t="shared" si="163"/>
        <v>0.11063433521620318</v>
      </c>
      <c r="I430" s="45">
        <f t="shared" si="163"/>
        <v>8.3184212210206693E-2</v>
      </c>
      <c r="J430" s="45">
        <f t="shared" si="163"/>
        <v>1.6461232280393017E-2</v>
      </c>
      <c r="K430" s="45">
        <f t="shared" si="163"/>
        <v>9.7396351043690704E-4</v>
      </c>
      <c r="L430" s="45"/>
      <c r="M430" s="136">
        <f t="shared" si="143"/>
        <v>0.10465893955418384</v>
      </c>
      <c r="N430" s="32">
        <f t="shared" si="144"/>
        <v>8.3776694443188957E-2</v>
      </c>
      <c r="O430" s="32">
        <f t="shared" si="145"/>
        <v>3.353980266701221E-2</v>
      </c>
    </row>
    <row r="431" spans="1:15" s="18" customFormat="1" hidden="1">
      <c r="A431" s="45" t="s">
        <v>177</v>
      </c>
      <c r="B431" s="143"/>
      <c r="C431" s="143"/>
      <c r="D431" s="143"/>
      <c r="E431" s="143"/>
      <c r="F431" s="45">
        <f>SUM(D430:F430)/3</f>
        <v>0.24412162096002579</v>
      </c>
      <c r="G431" s="45">
        <f t="shared" ref="G431:K431" si="164">SUM(E430:G430)/3</f>
        <v>0.16331593207096062</v>
      </c>
      <c r="H431" s="45">
        <f t="shared" si="164"/>
        <v>4.4924620685279755E-2</v>
      </c>
      <c r="I431" s="45">
        <f t="shared" si="164"/>
        <v>9.8929778956977021E-2</v>
      </c>
      <c r="J431" s="45">
        <f t="shared" si="164"/>
        <v>7.0093259902267627E-2</v>
      </c>
      <c r="K431" s="45">
        <f t="shared" si="164"/>
        <v>3.353980266701221E-2</v>
      </c>
      <c r="L431" s="45"/>
      <c r="M431" s="136">
        <f t="shared" si="143"/>
        <v>6.5492501524252303E-2</v>
      </c>
      <c r="N431" s="32">
        <f t="shared" si="144"/>
        <v>9.5259179161349905E-2</v>
      </c>
      <c r="O431" s="32">
        <f t="shared" si="145"/>
        <v>6.7520947175418941E-2</v>
      </c>
    </row>
    <row r="432" spans="1:15" s="18" customFormat="1" hidden="1">
      <c r="A432" s="45" t="s">
        <v>178</v>
      </c>
      <c r="B432" s="143"/>
      <c r="C432" s="143"/>
      <c r="D432" s="143"/>
      <c r="E432" s="143"/>
      <c r="F432" s="143"/>
      <c r="G432" s="78"/>
      <c r="H432" s="45">
        <f>SUM(D430:H430)/5</f>
        <v>0.18919399750816035</v>
      </c>
      <c r="I432" s="45">
        <f t="shared" ref="I432:K432" si="165">SUM(E430:I430)/5</f>
        <v>0.13675326872785834</v>
      </c>
      <c r="J432" s="45">
        <f t="shared" si="165"/>
        <v>4.6883861309287796E-2</v>
      </c>
      <c r="K432" s="45">
        <f t="shared" si="165"/>
        <v>6.2844906532352196E-2</v>
      </c>
      <c r="L432" s="45"/>
      <c r="M432" s="136">
        <f t="shared" si="143"/>
        <v>4.3567603407765866E-2</v>
      </c>
      <c r="N432" s="32">
        <f t="shared" si="144"/>
        <v>9.584872749708491E-2</v>
      </c>
      <c r="O432" s="32">
        <f t="shared" si="145"/>
        <v>8.2160678856499442E-2</v>
      </c>
    </row>
    <row r="433" spans="1:17" s="18" customFormat="1" hidden="1">
      <c r="A433" s="45" t="s">
        <v>179</v>
      </c>
      <c r="B433" s="143"/>
      <c r="C433" s="143"/>
      <c r="D433" s="143"/>
      <c r="E433" s="143"/>
      <c r="F433" s="143"/>
      <c r="G433" s="143"/>
      <c r="H433" s="143"/>
      <c r="I433" s="143"/>
      <c r="J433" s="143"/>
      <c r="K433" s="45">
        <f>SUM(D430:K430)/8</f>
        <v>0.1308236744427298</v>
      </c>
      <c r="L433" s="45"/>
      <c r="M433" s="136">
        <f t="shared" si="143"/>
        <v>1.3082367444272981E-2</v>
      </c>
      <c r="N433" s="32">
        <f t="shared" si="144"/>
        <v>2.8781208377400558E-2</v>
      </c>
      <c r="O433" s="32">
        <f t="shared" si="145"/>
        <v>4.3607891480909933E-2</v>
      </c>
    </row>
    <row r="434" spans="1:17" s="18" customFormat="1" hidden="1">
      <c r="A434" s="57" t="s">
        <v>170</v>
      </c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36">
        <f t="shared" si="143"/>
        <v>0</v>
      </c>
      <c r="N434" s="32">
        <f t="shared" si="144"/>
        <v>0</v>
      </c>
      <c r="O434" s="32">
        <f t="shared" si="145"/>
        <v>0</v>
      </c>
    </row>
    <row r="435" spans="1:17" s="18" customFormat="1" hidden="1">
      <c r="A435" s="57" t="s">
        <v>175</v>
      </c>
      <c r="B435" s="143"/>
      <c r="C435" s="143"/>
      <c r="D435" s="143"/>
      <c r="E435" s="143"/>
      <c r="F435" s="143"/>
      <c r="G435" s="143"/>
      <c r="H435" s="143"/>
      <c r="I435" s="143"/>
      <c r="J435" s="143"/>
      <c r="K435" s="160">
        <f>K424+M434+N434</f>
        <v>1019.47</v>
      </c>
      <c r="L435" s="160"/>
      <c r="M435" s="136">
        <f t="shared" si="143"/>
        <v>101.947</v>
      </c>
      <c r="N435" s="32">
        <f t="shared" si="144"/>
        <v>224.28339999999997</v>
      </c>
      <c r="O435" s="32">
        <f t="shared" si="145"/>
        <v>339.82333333333332</v>
      </c>
    </row>
    <row r="436" spans="1:17" s="18" customFormat="1" hidden="1">
      <c r="A436" s="57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36">
        <f t="shared" si="143"/>
        <v>0</v>
      </c>
      <c r="N436" s="32">
        <f t="shared" si="144"/>
        <v>0</v>
      </c>
      <c r="O436" s="32">
        <f t="shared" si="145"/>
        <v>0</v>
      </c>
    </row>
    <row r="437" spans="1:17" s="51" customFormat="1" hidden="1">
      <c r="A437" s="161" t="s">
        <v>166</v>
      </c>
      <c r="B437" s="161"/>
      <c r="C437" s="58">
        <f t="shared" ref="C437:K437" si="166">(C150-0.1)*B424</f>
        <v>372.65874039824917</v>
      </c>
      <c r="D437" s="58">
        <f t="shared" si="166"/>
        <v>201.4238737864078</v>
      </c>
      <c r="E437" s="58">
        <f t="shared" si="166"/>
        <v>259.10698445309856</v>
      </c>
      <c r="F437" s="58">
        <f t="shared" si="166"/>
        <v>309.23345723213117</v>
      </c>
      <c r="G437" s="58">
        <f t="shared" si="166"/>
        <v>355.41847665311559</v>
      </c>
      <c r="H437" s="58">
        <f t="shared" si="166"/>
        <v>398.2183530913623</v>
      </c>
      <c r="I437" s="58">
        <f t="shared" si="166"/>
        <v>391.65404477562174</v>
      </c>
      <c r="J437" s="58">
        <f t="shared" si="166"/>
        <v>375.31281316855342</v>
      </c>
      <c r="K437" s="58">
        <f t="shared" si="166"/>
        <v>358.58374465163274</v>
      </c>
      <c r="L437" s="58"/>
      <c r="M437" s="136">
        <f t="shared" si="143"/>
        <v>264.89517478119234</v>
      </c>
      <c r="N437" s="32">
        <f t="shared" si="144"/>
        <v>428.81652142429567</v>
      </c>
      <c r="O437" s="32">
        <f t="shared" si="145"/>
        <v>375.18353419860267</v>
      </c>
      <c r="P437" s="50"/>
      <c r="Q437" s="50"/>
    </row>
    <row r="438" spans="1:17" s="52" customFormat="1" hidden="1">
      <c r="A438" s="162" t="s">
        <v>158</v>
      </c>
      <c r="B438" s="162"/>
      <c r="C438" s="162"/>
      <c r="D438" s="162">
        <f>(D437-C437)/C437</f>
        <v>-0.45949510382836539</v>
      </c>
      <c r="E438" s="162">
        <f t="shared" ref="E438:K438" si="167">(E437-D437)/D437</f>
        <v>0.28637673172673961</v>
      </c>
      <c r="F438" s="162">
        <f t="shared" si="167"/>
        <v>0.19345859350273939</v>
      </c>
      <c r="G438" s="162">
        <f t="shared" si="167"/>
        <v>0.14935324215683063</v>
      </c>
      <c r="H438" s="162">
        <f t="shared" si="167"/>
        <v>0.12042107895256922</v>
      </c>
      <c r="I438" s="162">
        <f t="shared" si="167"/>
        <v>-1.6484193319524193E-2</v>
      </c>
      <c r="J438" s="162">
        <f t="shared" si="167"/>
        <v>-4.1723638055187709E-2</v>
      </c>
      <c r="K438" s="162">
        <f t="shared" si="167"/>
        <v>-4.4573667431406436E-2</v>
      </c>
      <c r="L438" s="162"/>
      <c r="M438" s="136">
        <f t="shared" si="143"/>
        <v>1.8733304370439512E-2</v>
      </c>
      <c r="N438" s="32">
        <f t="shared" si="144"/>
        <v>3.7145225334744215E-2</v>
      </c>
      <c r="O438" s="32">
        <f t="shared" si="145"/>
        <v>-3.4260499602039446E-2</v>
      </c>
    </row>
    <row r="439" spans="1:17" s="52" customFormat="1" hidden="1">
      <c r="A439" s="45" t="s">
        <v>177</v>
      </c>
      <c r="B439" s="162"/>
      <c r="C439" s="162"/>
      <c r="D439" s="162"/>
      <c r="E439" s="162"/>
      <c r="F439" s="162">
        <f>SUM(D438:F438)/3</f>
        <v>6.7800738003712018E-3</v>
      </c>
      <c r="G439" s="162">
        <f t="shared" ref="G439:K439" si="168">SUM(E438:G438)/3</f>
        <v>0.20972952246210322</v>
      </c>
      <c r="H439" s="162">
        <f t="shared" si="168"/>
        <v>0.15441097153737973</v>
      </c>
      <c r="I439" s="162">
        <f t="shared" si="168"/>
        <v>8.4430042596625232E-2</v>
      </c>
      <c r="J439" s="162">
        <f t="shared" si="168"/>
        <v>2.0737749192619104E-2</v>
      </c>
      <c r="K439" s="162">
        <f t="shared" si="168"/>
        <v>-3.4260499602039446E-2</v>
      </c>
      <c r="L439" s="162"/>
      <c r="M439" s="136">
        <f t="shared" si="143"/>
        <v>4.4182785998705912E-2</v>
      </c>
      <c r="N439" s="32">
        <f t="shared" si="144"/>
        <v>9.5846114437078744E-2</v>
      </c>
      <c r="O439" s="32">
        <f t="shared" si="145"/>
        <v>2.3635764062401629E-2</v>
      </c>
    </row>
    <row r="440" spans="1:17" s="52" customFormat="1" hidden="1">
      <c r="A440" s="45" t="s">
        <v>178</v>
      </c>
      <c r="B440" s="162"/>
      <c r="C440" s="162"/>
      <c r="D440" s="162"/>
      <c r="E440" s="162"/>
      <c r="F440" s="162"/>
      <c r="G440" s="162"/>
      <c r="H440" s="162">
        <f>SUM(D438:H438)/5</f>
        <v>5.8022908502102691E-2</v>
      </c>
      <c r="I440" s="162">
        <f t="shared" ref="I440:K440" si="169">SUM(E438:I438)/5</f>
        <v>0.14662509060387094</v>
      </c>
      <c r="J440" s="162">
        <f t="shared" si="169"/>
        <v>8.1005016647485467E-2</v>
      </c>
      <c r="K440" s="162">
        <f t="shared" si="169"/>
        <v>3.339856446065631E-2</v>
      </c>
      <c r="L440" s="162"/>
      <c r="M440" s="136">
        <f t="shared" si="143"/>
        <v>3.1905158021411542E-2</v>
      </c>
      <c r="N440" s="32">
        <f t="shared" si="144"/>
        <v>7.0191347647105398E-2</v>
      </c>
      <c r="O440" s="32">
        <f t="shared" si="145"/>
        <v>8.7009557237337568E-2</v>
      </c>
    </row>
    <row r="441" spans="1:17" s="52" customFormat="1" hidden="1">
      <c r="A441" s="45" t="s">
        <v>179</v>
      </c>
      <c r="B441" s="162"/>
      <c r="C441" s="162"/>
      <c r="D441" s="162"/>
      <c r="E441" s="162"/>
      <c r="F441" s="162"/>
      <c r="G441" s="162"/>
      <c r="H441" s="162"/>
      <c r="I441" s="162"/>
      <c r="J441" s="162"/>
      <c r="K441" s="162">
        <f>SUM(D438:K438)/8</f>
        <v>2.3416630463049391E-2</v>
      </c>
      <c r="L441" s="162"/>
      <c r="M441" s="136">
        <f t="shared" si="143"/>
        <v>2.341663046304939E-3</v>
      </c>
      <c r="N441" s="32">
        <f t="shared" si="144"/>
        <v>5.151658701870866E-3</v>
      </c>
      <c r="O441" s="32">
        <f t="shared" si="145"/>
        <v>7.8055434876831307E-3</v>
      </c>
    </row>
    <row r="442" spans="1:17" s="52" customFormat="1" hidden="1">
      <c r="A442" s="57" t="s">
        <v>170</v>
      </c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36">
        <f t="shared" si="143"/>
        <v>0</v>
      </c>
      <c r="N442" s="32">
        <f t="shared" si="144"/>
        <v>0</v>
      </c>
      <c r="O442" s="32">
        <f t="shared" si="145"/>
        <v>0</v>
      </c>
    </row>
    <row r="443" spans="1:17" s="52" customFormat="1" hidden="1">
      <c r="A443" s="57" t="s">
        <v>180</v>
      </c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36">
        <f t="shared" si="143"/>
        <v>0</v>
      </c>
      <c r="N443" s="32">
        <f t="shared" si="144"/>
        <v>0</v>
      </c>
      <c r="O443" s="32">
        <f t="shared" si="145"/>
        <v>0</v>
      </c>
    </row>
    <row r="444" spans="1:17" s="52" customFormat="1" hidden="1">
      <c r="A444" s="57" t="s">
        <v>175</v>
      </c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36">
        <f t="shared" si="143"/>
        <v>0</v>
      </c>
      <c r="N444" s="32">
        <f t="shared" si="144"/>
        <v>0</v>
      </c>
      <c r="O444" s="32">
        <f t="shared" si="145"/>
        <v>0</v>
      </c>
    </row>
    <row r="445" spans="1:17" s="52" customFormat="1" hidden="1">
      <c r="A445" s="57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36">
        <f t="shared" si="143"/>
        <v>0</v>
      </c>
      <c r="N445" s="32">
        <f t="shared" si="144"/>
        <v>0</v>
      </c>
      <c r="O445" s="32">
        <f t="shared" si="145"/>
        <v>0</v>
      </c>
    </row>
    <row r="446" spans="1:17" s="18" customFormat="1" hidden="1">
      <c r="A446" s="57" t="s">
        <v>160</v>
      </c>
      <c r="B446" s="45">
        <f t="shared" ref="B446:K446" si="170">B238/B424</f>
        <v>0.57097533152716384</v>
      </c>
      <c r="C446" s="45">
        <f t="shared" si="170"/>
        <v>1.4284569385364652</v>
      </c>
      <c r="D446" s="45">
        <f t="shared" si="170"/>
        <v>1.3417475728155341</v>
      </c>
      <c r="E446" s="45">
        <f t="shared" si="170"/>
        <v>1.2979056146698966</v>
      </c>
      <c r="F446" s="45">
        <f t="shared" si="170"/>
        <v>1.0482489259211039</v>
      </c>
      <c r="G446" s="45">
        <f t="shared" si="170"/>
        <v>1.0254484485174211</v>
      </c>
      <c r="H446" s="45">
        <f t="shared" si="170"/>
        <v>1.0146244817091852</v>
      </c>
      <c r="I446" s="45">
        <f t="shared" si="170"/>
        <v>0.89996332599853301</v>
      </c>
      <c r="J446" s="45">
        <f t="shared" si="170"/>
        <v>0.72564648457783776</v>
      </c>
      <c r="K446" s="45">
        <f t="shared" si="170"/>
        <v>0.56549972044297525</v>
      </c>
      <c r="L446" s="45"/>
      <c r="M446" s="136">
        <f t="shared" si="143"/>
        <v>0.79190845746524863</v>
      </c>
      <c r="N446" s="32">
        <f t="shared" si="144"/>
        <v>1.0046181837422403</v>
      </c>
      <c r="O446" s="32">
        <f t="shared" si="145"/>
        <v>0.7303698436731153</v>
      </c>
    </row>
    <row r="447" spans="1:17" s="18" customFormat="1" hidden="1">
      <c r="A447" s="57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136">
        <f t="shared" si="143"/>
        <v>0</v>
      </c>
      <c r="N447" s="32">
        <f t="shared" si="144"/>
        <v>0</v>
      </c>
      <c r="O447" s="32">
        <f t="shared" si="145"/>
        <v>0</v>
      </c>
    </row>
    <row r="448" spans="1:17" s="18" customFormat="1" hidden="1">
      <c r="A448" s="57" t="s">
        <v>181</v>
      </c>
      <c r="B448" s="45">
        <f t="shared" ref="B448:K448" si="171">B64</f>
        <v>0.12367002795064624</v>
      </c>
      <c r="C448" s="45">
        <f t="shared" si="171"/>
        <v>0.15726424954865684</v>
      </c>
      <c r="D448" s="45">
        <f t="shared" si="171"/>
        <v>0.17124043403095335</v>
      </c>
      <c r="E448" s="45">
        <f t="shared" si="171"/>
        <v>0.21567828134076616</v>
      </c>
      <c r="F448" s="45">
        <f t="shared" si="171"/>
        <v>0.17609749269504663</v>
      </c>
      <c r="G448" s="45">
        <f t="shared" si="171"/>
        <v>0.16577492453299569</v>
      </c>
      <c r="H448" s="45">
        <f t="shared" si="171"/>
        <v>0.15701006065471695</v>
      </c>
      <c r="I448" s="45">
        <f t="shared" si="171"/>
        <v>0.15085181945954101</v>
      </c>
      <c r="J448" s="45">
        <f t="shared" si="171"/>
        <v>0.14037881032863378</v>
      </c>
      <c r="K448" s="45">
        <f t="shared" si="171"/>
        <v>0.13850788868627606</v>
      </c>
      <c r="L448" s="45"/>
      <c r="M448" s="136">
        <f t="shared" si="143"/>
        <v>0.13155397117289297</v>
      </c>
      <c r="N448" s="32">
        <f t="shared" si="144"/>
        <v>0.17681549496701127</v>
      </c>
      <c r="O448" s="32">
        <f t="shared" si="145"/>
        <v>0.14324617282481697</v>
      </c>
    </row>
    <row r="449" spans="1:15" s="18" customFormat="1" hidden="1">
      <c r="A449" s="57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136">
        <f t="shared" si="143"/>
        <v>0</v>
      </c>
      <c r="N449" s="32">
        <f t="shared" si="144"/>
        <v>0</v>
      </c>
      <c r="O449" s="32">
        <f t="shared" si="145"/>
        <v>0</v>
      </c>
    </row>
    <row r="450" spans="1:15" s="18" customFormat="1" hidden="1">
      <c r="A450" s="57" t="s">
        <v>182</v>
      </c>
      <c r="B450" s="45"/>
      <c r="C450" s="45">
        <f>(C464-B464)/B464</f>
        <v>0.51508120649651956</v>
      </c>
      <c r="D450" s="45">
        <f t="shared" ref="D450:K450" si="172">(D464-C464)/C464</f>
        <v>0.14460730693502385</v>
      </c>
      <c r="E450" s="45">
        <f t="shared" si="172"/>
        <v>0.62618501529052073</v>
      </c>
      <c r="F450" s="45">
        <f t="shared" si="172"/>
        <v>0.20956253966761387</v>
      </c>
      <c r="G450" s="45">
        <f t="shared" si="172"/>
        <v>0.12430037313432982</v>
      </c>
      <c r="H450" s="45">
        <f t="shared" si="172"/>
        <v>0.13532807854525244</v>
      </c>
      <c r="I450" s="45">
        <f t="shared" si="172"/>
        <v>1.0962074268052889E-2</v>
      </c>
      <c r="J450" s="45">
        <f t="shared" si="172"/>
        <v>0.23829460399692856</v>
      </c>
      <c r="K450" s="45">
        <f t="shared" si="172"/>
        <v>9.4522280599338121E-2</v>
      </c>
      <c r="L450" s="45"/>
      <c r="M450" s="136">
        <f t="shared" si="143"/>
        <v>0.15837622724370604</v>
      </c>
      <c r="N450" s="32">
        <f t="shared" si="144"/>
        <v>0.15235672755752155</v>
      </c>
      <c r="O450" s="32">
        <f t="shared" si="145"/>
        <v>0.11459298628810653</v>
      </c>
    </row>
    <row r="451" spans="1:15" s="53" customFormat="1" hidden="1">
      <c r="A451" s="56" t="s">
        <v>184</v>
      </c>
      <c r="B451" s="58"/>
      <c r="C451" s="58">
        <f>'Data Sheet'!B27/'Data Sheet'!B30</f>
        <v>6.1184990947118689E-3</v>
      </c>
      <c r="D451" s="58">
        <f>'Data Sheet'!C27/'Data Sheet'!C30</f>
        <v>6.214664882827672E-3</v>
      </c>
      <c r="E451" s="58">
        <f>'Data Sheet'!D27/'Data Sheet'!D30</f>
        <v>3.7902281028185515E-3</v>
      </c>
      <c r="F451" s="58">
        <f>'Data Sheet'!E27/'Data Sheet'!E30</f>
        <v>3.5439209941879697E-3</v>
      </c>
      <c r="G451" s="58">
        <f>'Data Sheet'!F27/'Data Sheet'!F30</f>
        <v>3.9992051269312932E-3</v>
      </c>
      <c r="H451" s="58">
        <f>'Data Sheet'!G27/'Data Sheet'!G30</f>
        <v>3.3820861424059844E-3</v>
      </c>
      <c r="I451" s="58">
        <f>'Data Sheet'!H27/'Data Sheet'!H30</f>
        <v>0</v>
      </c>
      <c r="J451" s="58">
        <f>'Data Sheet'!I27/'Data Sheet'!I30</f>
        <v>0</v>
      </c>
      <c r="K451" s="58">
        <f>'Data Sheet'!J27/'Data Sheet'!J30</f>
        <v>0</v>
      </c>
      <c r="L451" s="58"/>
      <c r="M451" s="136">
        <f t="shared" si="143"/>
        <v>2.0930105249171473E-3</v>
      </c>
      <c r="N451" s="32">
        <f t="shared" si="144"/>
        <v>1.8948603588508852E-3</v>
      </c>
      <c r="O451" s="32">
        <f t="shared" si="145"/>
        <v>0</v>
      </c>
    </row>
    <row r="452" spans="1:15" s="18" customFormat="1" hidden="1">
      <c r="A452" s="57" t="s">
        <v>186</v>
      </c>
      <c r="B452" s="45"/>
      <c r="C452" s="45">
        <f>(C463-B463)/B463</f>
        <v>0.46938775510204078</v>
      </c>
      <c r="D452" s="45">
        <f t="shared" ref="D452:K452" si="173">(D463-C463)/C463</f>
        <v>-0.23611111111111102</v>
      </c>
      <c r="E452" s="45">
        <f t="shared" si="173"/>
        <v>0.36363636363636354</v>
      </c>
      <c r="F452" s="45">
        <f t="shared" si="173"/>
        <v>7.3333333333333403E-2</v>
      </c>
      <c r="G452" s="45">
        <f t="shared" si="173"/>
        <v>-6.211180124223608E-2</v>
      </c>
      <c r="H452" s="45">
        <f t="shared" si="173"/>
        <v>-1</v>
      </c>
      <c r="I452" s="45" t="e">
        <f t="shared" si="173"/>
        <v>#DIV/0!</v>
      </c>
      <c r="J452" s="45" t="e">
        <f t="shared" si="173"/>
        <v>#DIV/0!</v>
      </c>
      <c r="K452" s="45" t="e">
        <f t="shared" si="173"/>
        <v>#DIV/0!</v>
      </c>
      <c r="L452" s="45"/>
      <c r="M452" s="136" t="e">
        <f t="shared" si="143"/>
        <v>#DIV/0!</v>
      </c>
      <c r="N452" s="32" t="e">
        <f t="shared" si="144"/>
        <v>#DIV/0!</v>
      </c>
      <c r="O452" s="32" t="e">
        <f t="shared" si="145"/>
        <v>#DIV/0!</v>
      </c>
    </row>
    <row r="453" spans="1:15" s="18" customFormat="1" hidden="1">
      <c r="A453" s="57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136">
        <f t="shared" ref="M453:M516" si="174">SUM(D453:K453)/10</f>
        <v>0</v>
      </c>
      <c r="N453" s="32">
        <f t="shared" ref="N453:N516" si="175">SUM(G453:M453)/5</f>
        <v>0</v>
      </c>
      <c r="O453" s="32">
        <f t="shared" ref="O453:O516" si="176">SUM(I453:K453)/3</f>
        <v>0</v>
      </c>
    </row>
    <row r="454" spans="1:15" s="18" customFormat="1" hidden="1">
      <c r="A454" s="57"/>
      <c r="B454" s="45"/>
      <c r="C454" s="45">
        <f>C451*(C450-C452)</f>
        <v>2.7957534099137918E-4</v>
      </c>
      <c r="D454" s="45">
        <f t="shared" ref="D454:K454" si="177">D451*(D450-D452)</f>
        <v>2.3660373828770197E-3</v>
      </c>
      <c r="E454" s="45">
        <f t="shared" si="177"/>
        <v>9.9511927785670491E-4</v>
      </c>
      <c r="F454" s="45">
        <f t="shared" si="177"/>
        <v>4.8278554434962137E-4</v>
      </c>
      <c r="G454" s="45">
        <f t="shared" si="177"/>
        <v>7.4550052348917265E-4</v>
      </c>
      <c r="H454" s="45">
        <f t="shared" si="177"/>
        <v>3.8397773615323114E-3</v>
      </c>
      <c r="I454" s="45" t="e">
        <f t="shared" si="177"/>
        <v>#DIV/0!</v>
      </c>
      <c r="J454" s="45" t="e">
        <f t="shared" si="177"/>
        <v>#DIV/0!</v>
      </c>
      <c r="K454" s="45" t="e">
        <f t="shared" si="177"/>
        <v>#DIV/0!</v>
      </c>
      <c r="L454" s="45"/>
      <c r="M454" s="136" t="e">
        <f t="shared" si="174"/>
        <v>#DIV/0!</v>
      </c>
      <c r="N454" s="32" t="e">
        <f t="shared" si="175"/>
        <v>#DIV/0!</v>
      </c>
      <c r="O454" s="32" t="e">
        <f t="shared" si="176"/>
        <v>#DIV/0!</v>
      </c>
    </row>
    <row r="455" spans="1:15" s="18" customFormat="1" hidden="1">
      <c r="A455" s="57" t="s">
        <v>191</v>
      </c>
      <c r="B455" s="45"/>
      <c r="C455" s="45">
        <f>C450+C454</f>
        <v>0.515360781837511</v>
      </c>
      <c r="D455" s="45">
        <f t="shared" ref="D455:K455" si="178">D450+D454</f>
        <v>0.14697334431790088</v>
      </c>
      <c r="E455" s="45">
        <f t="shared" si="178"/>
        <v>0.6271801345683774</v>
      </c>
      <c r="F455" s="45">
        <f t="shared" si="178"/>
        <v>0.21004532521196351</v>
      </c>
      <c r="G455" s="45">
        <f t="shared" si="178"/>
        <v>0.125045873657819</v>
      </c>
      <c r="H455" s="45">
        <f t="shared" si="178"/>
        <v>0.13916785590678477</v>
      </c>
      <c r="I455" s="45" t="e">
        <f t="shared" si="178"/>
        <v>#DIV/0!</v>
      </c>
      <c r="J455" s="45" t="e">
        <f t="shared" si="178"/>
        <v>#DIV/0!</v>
      </c>
      <c r="K455" s="45" t="e">
        <f t="shared" si="178"/>
        <v>#DIV/0!</v>
      </c>
      <c r="L455" s="45"/>
      <c r="M455" s="136" t="e">
        <f t="shared" si="174"/>
        <v>#DIV/0!</v>
      </c>
      <c r="N455" s="32" t="e">
        <f t="shared" si="175"/>
        <v>#DIV/0!</v>
      </c>
      <c r="O455" s="32" t="e">
        <f t="shared" si="176"/>
        <v>#DIV/0!</v>
      </c>
    </row>
    <row r="456" spans="1:15" s="18" customFormat="1" hidden="1">
      <c r="A456" s="57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136">
        <f t="shared" si="174"/>
        <v>0</v>
      </c>
      <c r="N456" s="32">
        <f t="shared" si="175"/>
        <v>0</v>
      </c>
      <c r="O456" s="32">
        <f t="shared" si="176"/>
        <v>0</v>
      </c>
    </row>
    <row r="457" spans="1:15" s="18" customFormat="1" hidden="1">
      <c r="A457" s="57" t="s">
        <v>189</v>
      </c>
      <c r="B457" s="45"/>
      <c r="C457" s="45">
        <f>C464/B461</f>
        <v>0.80249297752809068</v>
      </c>
      <c r="D457" s="45">
        <f t="shared" ref="D457:K457" si="179">D464/C461</f>
        <v>1.5674056321150382</v>
      </c>
      <c r="E457" s="45">
        <f t="shared" si="179"/>
        <v>1.9250192316394412</v>
      </c>
      <c r="F457" s="45">
        <f t="shared" si="179"/>
        <v>1.5559721802237669</v>
      </c>
      <c r="G457" s="45">
        <f t="shared" si="179"/>
        <v>1.5061702681593345</v>
      </c>
      <c r="H457" s="45">
        <f t="shared" si="179"/>
        <v>1.5083823259232039</v>
      </c>
      <c r="I457" s="45">
        <f t="shared" si="179"/>
        <v>1.3562572764966598</v>
      </c>
      <c r="J457" s="45">
        <f t="shared" si="179"/>
        <v>1.3706741348269658</v>
      </c>
      <c r="K457" s="45">
        <f t="shared" si="179"/>
        <v>1.1682936961262851</v>
      </c>
      <c r="L457" s="45"/>
      <c r="M457" s="136">
        <f t="shared" si="174"/>
        <v>1.1958174745510695</v>
      </c>
      <c r="N457" s="32">
        <f t="shared" si="175"/>
        <v>1.6211190352167038</v>
      </c>
      <c r="O457" s="32">
        <f t="shared" si="176"/>
        <v>1.2984083691499702</v>
      </c>
    </row>
    <row r="458" spans="1:15" s="18" customFormat="1" hidden="1">
      <c r="A458" s="57" t="s">
        <v>192</v>
      </c>
      <c r="B458" s="45"/>
      <c r="C458" s="45">
        <f>'Data Sheet'!C27/'Data Sheet'!B59</f>
        <v>0.3364485981308411</v>
      </c>
      <c r="D458" s="45">
        <f>'Data Sheet'!D27/'Data Sheet'!C59</f>
        <v>0.23454157782515991</v>
      </c>
      <c r="E458" s="45">
        <f>'Data Sheet'!E27/'Data Sheet'!D59</f>
        <v>0.3198294243070362</v>
      </c>
      <c r="F458" s="45">
        <f>'Data Sheet'!F27/'Data Sheet'!E59</f>
        <v>0.35076252723311552</v>
      </c>
      <c r="G458" s="45">
        <f>'Data Sheet'!G27/'Data Sheet'!F59</f>
        <v>30.2</v>
      </c>
      <c r="H458" s="45">
        <f>'Data Sheet'!H27/'Data Sheet'!G59</f>
        <v>0</v>
      </c>
      <c r="I458" s="45" t="e">
        <f>'Data Sheet'!I27/'Data Sheet'!H59</f>
        <v>#DIV/0!</v>
      </c>
      <c r="J458" s="45" t="e">
        <f>'Data Sheet'!J27/'Data Sheet'!I59</f>
        <v>#DIV/0!</v>
      </c>
      <c r="K458" s="45" t="e">
        <f>'Data Sheet'!K27/'Data Sheet'!J59</f>
        <v>#DIV/0!</v>
      </c>
      <c r="L458" s="45"/>
      <c r="M458" s="136" t="e">
        <f t="shared" si="174"/>
        <v>#DIV/0!</v>
      </c>
      <c r="N458" s="32" t="e">
        <f t="shared" si="175"/>
        <v>#DIV/0!</v>
      </c>
      <c r="O458" s="32" t="e">
        <f t="shared" si="176"/>
        <v>#DIV/0!</v>
      </c>
    </row>
    <row r="459" spans="1:15" s="18" customFormat="1" hidden="1">
      <c r="A459" s="57" t="s">
        <v>190</v>
      </c>
      <c r="B459" s="45"/>
      <c r="C459" s="45">
        <f t="shared" ref="C459:K459" si="180">C457+(C462*(C457-C458))</f>
        <v>0.81596778265337955</v>
      </c>
      <c r="D459" s="45">
        <f t="shared" si="180"/>
        <v>1.5963059206708383</v>
      </c>
      <c r="E459" s="45">
        <f t="shared" si="180"/>
        <v>1.9476122867915548</v>
      </c>
      <c r="F459" s="45">
        <f t="shared" si="180"/>
        <v>1.5561290881332828</v>
      </c>
      <c r="G459" s="45">
        <f t="shared" si="180"/>
        <v>1.5028750811164717</v>
      </c>
      <c r="H459" s="45">
        <f t="shared" si="180"/>
        <v>1.5083823259232039</v>
      </c>
      <c r="I459" s="45" t="e">
        <f t="shared" si="180"/>
        <v>#DIV/0!</v>
      </c>
      <c r="J459" s="45" t="e">
        <f t="shared" si="180"/>
        <v>#DIV/0!</v>
      </c>
      <c r="K459" s="45" t="e">
        <f t="shared" si="180"/>
        <v>#DIV/0!</v>
      </c>
      <c r="L459" s="45"/>
      <c r="M459" s="136" t="e">
        <f t="shared" si="174"/>
        <v>#DIV/0!</v>
      </c>
      <c r="N459" s="32" t="e">
        <f t="shared" si="175"/>
        <v>#DIV/0!</v>
      </c>
      <c r="O459" s="32" t="e">
        <f t="shared" si="176"/>
        <v>#DIV/0!</v>
      </c>
    </row>
    <row r="460" spans="1:15" s="18" customFormat="1" hidden="1">
      <c r="A460" s="57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136">
        <f t="shared" si="174"/>
        <v>0</v>
      </c>
      <c r="N460" s="32">
        <f t="shared" si="175"/>
        <v>0</v>
      </c>
      <c r="O460" s="32">
        <f t="shared" si="176"/>
        <v>0</v>
      </c>
    </row>
    <row r="461" spans="1:15" s="53" customFormat="1" hidden="1">
      <c r="A461" s="56" t="s">
        <v>188</v>
      </c>
      <c r="B461" s="58">
        <f>'Data Sheet'!B57+'Data Sheet'!B58+'Data Sheet'!B59</f>
        <v>284.79999999999995</v>
      </c>
      <c r="C461" s="58">
        <f>'Data Sheet'!C57+'Data Sheet'!C58+'Data Sheet'!C59</f>
        <v>166.9</v>
      </c>
      <c r="D461" s="58">
        <f>'Data Sheet'!D57+'Data Sheet'!D58+'Data Sheet'!D59</f>
        <v>220.98999999999998</v>
      </c>
      <c r="E461" s="58">
        <f>'Data Sheet'!E57+'Data Sheet'!E58+'Data Sheet'!E59</f>
        <v>330.7</v>
      </c>
      <c r="F461" s="58">
        <f>'Data Sheet'!F57+'Data Sheet'!F58+'Data Sheet'!F59</f>
        <v>384.1</v>
      </c>
      <c r="G461" s="58">
        <f>'Data Sheet'!G57+'Data Sheet'!G58+'Data Sheet'!G59</f>
        <v>435.44000000000005</v>
      </c>
      <c r="H461" s="58">
        <f>'Data Sheet'!H57+'Data Sheet'!H58+'Data Sheet'!H59</f>
        <v>489.59000000000003</v>
      </c>
      <c r="I461" s="58">
        <f>'Data Sheet'!I57+'Data Sheet'!I58+'Data Sheet'!I59</f>
        <v>599.88</v>
      </c>
      <c r="J461" s="58">
        <f>'Data Sheet'!J57+'Data Sheet'!J58+'Data Sheet'!J59</f>
        <v>770.32</v>
      </c>
      <c r="K461" s="58">
        <f>'Data Sheet'!K57+'Data Sheet'!K58+'Data Sheet'!K59</f>
        <v>1019.47</v>
      </c>
      <c r="L461" s="58"/>
      <c r="M461" s="136">
        <f t="shared" si="174"/>
        <v>425.04900000000009</v>
      </c>
      <c r="N461" s="32">
        <f t="shared" si="175"/>
        <v>747.94979999999998</v>
      </c>
      <c r="O461" s="32">
        <f t="shared" si="176"/>
        <v>796.55666666666673</v>
      </c>
    </row>
    <row r="462" spans="1:15" s="53" customFormat="1" hidden="1">
      <c r="A462" s="56" t="s">
        <v>187</v>
      </c>
      <c r="B462" s="58">
        <f t="shared" ref="B462:K462" si="181">B273</f>
        <v>1.5257379153001571E-2</v>
      </c>
      <c r="C462" s="58">
        <f t="shared" si="181"/>
        <v>2.8913137291165774E-2</v>
      </c>
      <c r="D462" s="58">
        <f t="shared" si="181"/>
        <v>2.1682847896440132E-2</v>
      </c>
      <c r="E462" s="58">
        <f t="shared" si="181"/>
        <v>1.4075005366287448E-2</v>
      </c>
      <c r="F462" s="58">
        <f t="shared" si="181"/>
        <v>1.3019138133055593E-4</v>
      </c>
      <c r="G462" s="58">
        <f t="shared" si="181"/>
        <v>1.1483956912193665E-4</v>
      </c>
      <c r="H462" s="58">
        <f t="shared" si="181"/>
        <v>0</v>
      </c>
      <c r="I462" s="58">
        <f t="shared" si="181"/>
        <v>0</v>
      </c>
      <c r="J462" s="58">
        <f t="shared" si="181"/>
        <v>0</v>
      </c>
      <c r="K462" s="58">
        <f t="shared" si="181"/>
        <v>0</v>
      </c>
      <c r="L462" s="58"/>
      <c r="M462" s="136">
        <f t="shared" si="174"/>
        <v>3.6002884213180075E-3</v>
      </c>
      <c r="N462" s="32">
        <f t="shared" si="175"/>
        <v>7.4302559808798877E-4</v>
      </c>
      <c r="O462" s="32">
        <f t="shared" si="176"/>
        <v>0</v>
      </c>
    </row>
    <row r="463" spans="1:15" s="53" customFormat="1" hidden="1">
      <c r="A463" s="56" t="s">
        <v>185</v>
      </c>
      <c r="B463" s="58">
        <f>'Data Sheet'!B27</f>
        <v>0.98</v>
      </c>
      <c r="C463" s="58">
        <f>'Data Sheet'!C27</f>
        <v>1.44</v>
      </c>
      <c r="D463" s="58">
        <f>'Data Sheet'!D27</f>
        <v>1.1000000000000001</v>
      </c>
      <c r="E463" s="58">
        <f>'Data Sheet'!E27</f>
        <v>1.5</v>
      </c>
      <c r="F463" s="58">
        <f>'Data Sheet'!F27</f>
        <v>1.61</v>
      </c>
      <c r="G463" s="58">
        <f>'Data Sheet'!G27</f>
        <v>1.51</v>
      </c>
      <c r="H463" s="58">
        <f>'Data Sheet'!H27</f>
        <v>0</v>
      </c>
      <c r="I463" s="58">
        <f>'Data Sheet'!I27</f>
        <v>0</v>
      </c>
      <c r="J463" s="58">
        <f>'Data Sheet'!J27</f>
        <v>0</v>
      </c>
      <c r="K463" s="58">
        <f>'Data Sheet'!K27</f>
        <v>0</v>
      </c>
      <c r="L463" s="58"/>
      <c r="M463" s="136">
        <f t="shared" si="174"/>
        <v>0.57199999999999995</v>
      </c>
      <c r="N463" s="32">
        <f t="shared" si="175"/>
        <v>0.41639999999999999</v>
      </c>
      <c r="O463" s="32">
        <f t="shared" si="176"/>
        <v>0</v>
      </c>
    </row>
    <row r="464" spans="1:15" s="18" customFormat="1" hidden="1">
      <c r="A464" s="57" t="s">
        <v>183</v>
      </c>
      <c r="B464" s="149">
        <f>'Profit &amp; Loss'!B6</f>
        <v>150.85000000000014</v>
      </c>
      <c r="C464" s="149">
        <f>'Profit &amp; Loss'!C6</f>
        <v>228.55000000000018</v>
      </c>
      <c r="D464" s="149">
        <f>'Profit &amp; Loss'!D6</f>
        <v>261.59999999999991</v>
      </c>
      <c r="E464" s="149">
        <f>'Profit &amp; Loss'!E6</f>
        <v>425.41000000000008</v>
      </c>
      <c r="F464" s="149">
        <f>'Profit &amp; Loss'!F6</f>
        <v>514.55999999999972</v>
      </c>
      <c r="G464" s="149">
        <f>'Profit &amp; Loss'!G6</f>
        <v>578.52000000000044</v>
      </c>
      <c r="H464" s="149">
        <f>'Profit &amp; Loss'!H6</f>
        <v>656.81</v>
      </c>
      <c r="I464" s="149">
        <f>'Profit &amp; Loss'!I6</f>
        <v>664.00999999999976</v>
      </c>
      <c r="J464" s="149">
        <f>'Profit &amp; Loss'!J6</f>
        <v>822.24000000000024</v>
      </c>
      <c r="K464" s="149">
        <f>'Profit &amp; Loss'!K6</f>
        <v>899.96</v>
      </c>
      <c r="L464" s="149"/>
      <c r="M464" s="136">
        <f t="shared" si="174"/>
        <v>482.31100000000004</v>
      </c>
      <c r="N464" s="32">
        <f t="shared" si="175"/>
        <v>820.77020000000016</v>
      </c>
      <c r="O464" s="32">
        <f t="shared" si="176"/>
        <v>795.40333333333331</v>
      </c>
    </row>
    <row r="465" spans="1:17" s="18" customFormat="1" hidden="1">
      <c r="A465" s="57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136">
        <f t="shared" si="174"/>
        <v>0</v>
      </c>
      <c r="N465" s="32">
        <f t="shared" si="175"/>
        <v>0</v>
      </c>
      <c r="O465" s="32">
        <f t="shared" si="176"/>
        <v>0</v>
      </c>
    </row>
    <row r="466" spans="1:17" s="49" customFormat="1" hidden="1">
      <c r="A466" s="159" t="s">
        <v>161</v>
      </c>
      <c r="B466" s="143"/>
      <c r="C466" s="143">
        <f>C424-B424</f>
        <v>-118.30999999999997</v>
      </c>
      <c r="D466" s="143">
        <f t="shared" ref="D466:K466" si="182">D424-C424</f>
        <v>54.089999999999975</v>
      </c>
      <c r="E466" s="143">
        <f t="shared" si="182"/>
        <v>109.81000000000003</v>
      </c>
      <c r="F466" s="143">
        <f t="shared" si="182"/>
        <v>57.94</v>
      </c>
      <c r="G466" s="143">
        <f t="shared" si="182"/>
        <v>51.340000000000032</v>
      </c>
      <c r="H466" s="143">
        <f t="shared" si="182"/>
        <v>54.199999999999989</v>
      </c>
      <c r="I466" s="143">
        <f t="shared" si="182"/>
        <v>110.28999999999996</v>
      </c>
      <c r="J466" s="143">
        <f t="shared" si="182"/>
        <v>170.44000000000005</v>
      </c>
      <c r="K466" s="143">
        <f t="shared" si="182"/>
        <v>249.14999999999998</v>
      </c>
      <c r="L466" s="143"/>
      <c r="M466" s="136">
        <f t="shared" si="174"/>
        <v>85.726000000000013</v>
      </c>
      <c r="N466" s="32">
        <f t="shared" si="175"/>
        <v>144.22920000000002</v>
      </c>
      <c r="O466" s="32">
        <f t="shared" si="176"/>
        <v>176.62666666666667</v>
      </c>
    </row>
    <row r="467" spans="1:17" s="49" customFormat="1" hidden="1">
      <c r="A467" s="159" t="s">
        <v>162</v>
      </c>
      <c r="B467" s="143">
        <f>'Data Sheet'!B30-'Data Sheet'!B31</f>
        <v>30.97</v>
      </c>
      <c r="C467" s="143">
        <f>'Data Sheet'!C30-'Data Sheet'!C31</f>
        <v>54.920000000000016</v>
      </c>
      <c r="D467" s="143">
        <f>'Data Sheet'!D30-'Data Sheet'!D31</f>
        <v>86.230000000000018</v>
      </c>
      <c r="E467" s="143">
        <f>'Data Sheet'!E30-'Data Sheet'!E31</f>
        <v>151.27999999999997</v>
      </c>
      <c r="F467" s="143">
        <f>'Data Sheet'!F30-'Data Sheet'!F31</f>
        <v>103.39999999999998</v>
      </c>
      <c r="G467" s="143">
        <f>'Data Sheet'!G30-'Data Sheet'!G31</f>
        <v>106.49000000000001</v>
      </c>
      <c r="H467" s="143">
        <f>'Data Sheet'!H30-'Data Sheet'!H31</f>
        <v>115.97000000000003</v>
      </c>
      <c r="I467" s="143">
        <f>'Data Sheet'!I30-'Data Sheet'!I31</f>
        <v>172.69</v>
      </c>
      <c r="J467" s="143">
        <f>'Data Sheet'!J30-'Data Sheet'!J31</f>
        <v>232.60000000000002</v>
      </c>
      <c r="K467" s="143">
        <f>'Data Sheet'!K30-'Data Sheet'!K31</f>
        <v>304.52</v>
      </c>
      <c r="L467" s="143"/>
      <c r="M467" s="136">
        <f t="shared" si="174"/>
        <v>127.31799999999998</v>
      </c>
      <c r="N467" s="32">
        <f t="shared" si="175"/>
        <v>211.91759999999999</v>
      </c>
      <c r="O467" s="32">
        <f t="shared" si="176"/>
        <v>236.60333333333332</v>
      </c>
    </row>
    <row r="468" spans="1:17" s="49" customFormat="1" hidden="1">
      <c r="A468" s="159" t="s">
        <v>208</v>
      </c>
      <c r="B468" s="143"/>
      <c r="C468" s="143">
        <f>'Data Sheet'!B30-'Data Sheet'!B31</f>
        <v>30.97</v>
      </c>
      <c r="D468" s="143">
        <f>'Data Sheet'!C30-'Data Sheet'!C31</f>
        <v>54.920000000000016</v>
      </c>
      <c r="E468" s="143">
        <f>'Data Sheet'!D30-'Data Sheet'!D31</f>
        <v>86.230000000000018</v>
      </c>
      <c r="F468" s="143">
        <f>'Data Sheet'!E30-'Data Sheet'!E31</f>
        <v>151.27999999999997</v>
      </c>
      <c r="G468" s="143">
        <f>'Data Sheet'!F30-'Data Sheet'!F31</f>
        <v>103.39999999999998</v>
      </c>
      <c r="H468" s="143">
        <f>'Data Sheet'!G30-'Data Sheet'!G31</f>
        <v>106.49000000000001</v>
      </c>
      <c r="I468" s="143">
        <f>'Data Sheet'!H30-'Data Sheet'!H31</f>
        <v>115.97000000000003</v>
      </c>
      <c r="J468" s="143">
        <f>'Data Sheet'!I30-'Data Sheet'!I31</f>
        <v>172.69</v>
      </c>
      <c r="K468" s="143">
        <f>'Data Sheet'!J30-'Data Sheet'!J31</f>
        <v>232.60000000000002</v>
      </c>
      <c r="L468" s="143"/>
      <c r="M468" s="136">
        <f t="shared" si="174"/>
        <v>102.358</v>
      </c>
      <c r="N468" s="32">
        <f t="shared" si="175"/>
        <v>166.70160000000001</v>
      </c>
      <c r="O468" s="32">
        <f t="shared" si="176"/>
        <v>173.75333333333333</v>
      </c>
    </row>
    <row r="469" spans="1:17" s="49" customFormat="1" hidden="1">
      <c r="A469" s="159" t="s">
        <v>163</v>
      </c>
      <c r="B469" s="143"/>
      <c r="C469" s="143">
        <f>C468-C466</f>
        <v>149.27999999999997</v>
      </c>
      <c r="D469" s="143">
        <f t="shared" ref="D469" si="183">D468-D466</f>
        <v>0.83000000000004093</v>
      </c>
      <c r="E469" s="143">
        <f t="shared" ref="E469" si="184">E468-E466</f>
        <v>-23.580000000000013</v>
      </c>
      <c r="F469" s="143">
        <f t="shared" ref="F469" si="185">F468-F466</f>
        <v>93.339999999999975</v>
      </c>
      <c r="G469" s="143">
        <f t="shared" ref="G469" si="186">G468-G466</f>
        <v>52.059999999999945</v>
      </c>
      <c r="H469" s="143">
        <f t="shared" ref="H469" si="187">H468-H466</f>
        <v>52.29000000000002</v>
      </c>
      <c r="I469" s="143">
        <f t="shared" ref="I469" si="188">I468-I466</f>
        <v>5.6800000000000637</v>
      </c>
      <c r="J469" s="143">
        <f t="shared" ref="J469" si="189">J468-J466</f>
        <v>2.2499999999999432</v>
      </c>
      <c r="K469" s="143">
        <f t="shared" ref="K469" si="190">K468-K466</f>
        <v>-16.549999999999955</v>
      </c>
      <c r="L469" s="143"/>
      <c r="M469" s="136">
        <f t="shared" si="174"/>
        <v>16.632000000000001</v>
      </c>
      <c r="N469" s="32">
        <f t="shared" si="175"/>
        <v>22.472400000000004</v>
      </c>
      <c r="O469" s="32">
        <f t="shared" si="176"/>
        <v>-2.8733333333333158</v>
      </c>
    </row>
    <row r="470" spans="1:17" s="49" customFormat="1" hidden="1">
      <c r="A470" s="159" t="s">
        <v>164</v>
      </c>
      <c r="B470" s="143"/>
      <c r="C470" s="143">
        <f>C468/C466</f>
        <v>-0.2617699264643733</v>
      </c>
      <c r="D470" s="143">
        <f t="shared" ref="D470:K470" si="191">D468/D466</f>
        <v>1.015344795710853</v>
      </c>
      <c r="E470" s="143">
        <f t="shared" si="191"/>
        <v>0.78526545851926044</v>
      </c>
      <c r="F470" s="143">
        <f t="shared" si="191"/>
        <v>2.6109768726268552</v>
      </c>
      <c r="G470" s="143">
        <f t="shared" si="191"/>
        <v>2.0140241527074387</v>
      </c>
      <c r="H470" s="143">
        <f t="shared" si="191"/>
        <v>1.9647601476014767</v>
      </c>
      <c r="I470" s="143">
        <f t="shared" si="191"/>
        <v>1.0515005893553366</v>
      </c>
      <c r="J470" s="143">
        <f t="shared" si="191"/>
        <v>1.0132011264961274</v>
      </c>
      <c r="K470" s="143">
        <f t="shared" si="191"/>
        <v>0.93357415211719863</v>
      </c>
      <c r="L470" s="143"/>
      <c r="M470" s="136">
        <f t="shared" si="174"/>
        <v>1.1388647295134546</v>
      </c>
      <c r="N470" s="32">
        <f t="shared" si="175"/>
        <v>1.6231849795582065</v>
      </c>
      <c r="O470" s="32">
        <f t="shared" si="176"/>
        <v>0.99942528932288743</v>
      </c>
    </row>
    <row r="471" spans="1:17" s="49" customFormat="1" hidden="1">
      <c r="A471" s="159" t="s">
        <v>165</v>
      </c>
      <c r="B471" s="143">
        <f>'Data Sheet'!B58/'Data Sheet'!B57</f>
        <v>1.0627987352011177</v>
      </c>
      <c r="C471" s="143">
        <f>'Data Sheet'!C58/'Data Sheet'!C57</f>
        <v>10.927205882352942</v>
      </c>
      <c r="D471" s="143">
        <f>'Data Sheet'!D58/'Data Sheet'!D57</f>
        <v>14.904411764705882</v>
      </c>
      <c r="E471" s="143">
        <f>'Data Sheet'!E58/'Data Sheet'!E57</f>
        <v>22.978676470588237</v>
      </c>
      <c r="F471" s="143">
        <f>'Data Sheet'!F58/'Data Sheet'!F57</f>
        <v>27.238970588235293</v>
      </c>
      <c r="G471" s="143">
        <f>'Data Sheet'!G58/'Data Sheet'!G57</f>
        <v>31.013970588235296</v>
      </c>
      <c r="H471" s="143">
        <f>'Data Sheet'!H58/'Data Sheet'!H57</f>
        <v>34.999264705882354</v>
      </c>
      <c r="I471" s="143">
        <f>'Data Sheet'!I58/'Data Sheet'!I57</f>
        <v>43.108823529411765</v>
      </c>
      <c r="J471" s="143">
        <f>'Data Sheet'!J58/'Data Sheet'!J57</f>
        <v>55.641176470588242</v>
      </c>
      <c r="K471" s="143">
        <f>'Data Sheet'!K58/'Data Sheet'!K57</f>
        <v>36.480514705882356</v>
      </c>
      <c r="L471" s="143"/>
      <c r="M471" s="136">
        <f t="shared" si="174"/>
        <v>26.636580882352945</v>
      </c>
      <c r="N471" s="32">
        <f t="shared" si="175"/>
        <v>45.576066176470597</v>
      </c>
      <c r="O471" s="32">
        <f t="shared" si="176"/>
        <v>45.076838235294112</v>
      </c>
    </row>
    <row r="472" spans="1:17" s="18" customFormat="1" hidden="1">
      <c r="A472" s="57"/>
      <c r="B472" s="46"/>
      <c r="C472" s="69"/>
      <c r="D472" s="69"/>
      <c r="E472" s="69"/>
      <c r="F472" s="69"/>
      <c r="G472" s="153">
        <f>1/G470</f>
        <v>0.49651837524177994</v>
      </c>
      <c r="H472" s="153">
        <f t="shared" ref="H472:K472" si="192">1/H470</f>
        <v>0.50896797821391659</v>
      </c>
      <c r="I472" s="153">
        <f t="shared" si="192"/>
        <v>0.9510218159868925</v>
      </c>
      <c r="J472" s="153">
        <f t="shared" si="192"/>
        <v>0.98697087266199579</v>
      </c>
      <c r="K472" s="153">
        <f t="shared" si="192"/>
        <v>1.0711521926053309</v>
      </c>
      <c r="L472" s="153"/>
      <c r="M472" s="136">
        <f t="shared" si="174"/>
        <v>0.40146312347099161</v>
      </c>
      <c r="N472" s="32">
        <f t="shared" si="175"/>
        <v>0.88321887163618151</v>
      </c>
      <c r="O472" s="32">
        <f t="shared" si="176"/>
        <v>1.0030482937514063</v>
      </c>
    </row>
    <row r="473" spans="1:17" s="18" customFormat="1" hidden="1">
      <c r="A473" s="163" t="str">
        <f>'Data Sheet'!B1</f>
        <v>COLGATE-PALMOLIVE (INDIA) LTD</v>
      </c>
      <c r="B473" s="164" t="s">
        <v>81</v>
      </c>
      <c r="C473" s="164" t="s">
        <v>82</v>
      </c>
      <c r="D473" s="138" t="s">
        <v>83</v>
      </c>
      <c r="E473" s="138" t="s">
        <v>84</v>
      </c>
      <c r="F473" s="47"/>
      <c r="G473" s="47"/>
      <c r="H473" s="47"/>
      <c r="I473" s="47"/>
      <c r="J473" s="47"/>
      <c r="K473" s="48"/>
      <c r="L473" s="48"/>
      <c r="M473" s="136">
        <f t="shared" si="174"/>
        <v>0</v>
      </c>
      <c r="N473" s="32">
        <f t="shared" si="175"/>
        <v>0</v>
      </c>
      <c r="O473" s="32">
        <f t="shared" si="176"/>
        <v>0</v>
      </c>
      <c r="P473" s="31"/>
      <c r="Q473" s="31"/>
    </row>
    <row r="474" spans="1:17" s="18" customFormat="1" hidden="1">
      <c r="A474" s="135" t="s">
        <v>6</v>
      </c>
      <c r="B474" s="45">
        <f>POWER('Data Sheet'!K17/'Data Sheet'!B17,1/9)-1</f>
        <v>0.13850533166771517</v>
      </c>
      <c r="C474" s="45">
        <f>POWER('Data Sheet'!K17/'Data Sheet'!G17,1/4)-1</f>
        <v>0.11497395589524606</v>
      </c>
      <c r="D474" s="45">
        <f>POWER('Data Sheet'!K17/'Data Sheet'!I17,1/2)-1</f>
        <v>7.8442133000622194E-2</v>
      </c>
      <c r="E474" s="45">
        <f>('Data Sheet'!K17-'Data Sheet'!J17)/'Data Sheet'!K17</f>
        <v>4.3329513320792136E-2</v>
      </c>
      <c r="F474" s="46"/>
      <c r="G474" s="46"/>
      <c r="H474" s="46"/>
      <c r="I474" s="46"/>
      <c r="J474" s="46"/>
      <c r="K474" s="46"/>
      <c r="L474" s="46"/>
      <c r="M474" s="136">
        <f t="shared" si="174"/>
        <v>1.2177164632141432E-2</v>
      </c>
      <c r="N474" s="32">
        <f t="shared" si="175"/>
        <v>2.4354329264282865E-3</v>
      </c>
      <c r="O474" s="32">
        <f t="shared" si="176"/>
        <v>0</v>
      </c>
    </row>
    <row r="475" spans="1:17" s="18" customFormat="1" hidden="1">
      <c r="A475" s="57" t="s">
        <v>71</v>
      </c>
      <c r="B475" s="45">
        <f>POWER('Data Sheet'!K18/'Data Sheet'!B18,1/9)-1</f>
        <v>0.11090358319622573</v>
      </c>
      <c r="C475" s="45">
        <f>POWER('Data Sheet'!K18/'Data Sheet'!G18,1/4)-1</f>
        <v>8.21260871240721E-2</v>
      </c>
      <c r="D475" s="45">
        <f>POWER('Data Sheet'!K18/'Data Sheet'!I18,1/2)-1</f>
        <v>2.4459576476374867E-2</v>
      </c>
      <c r="E475" s="45">
        <f>('Data Sheet'!K18-'Data Sheet'!J18)/'Data Sheet'!K18</f>
        <v>1.0316497059098142E-2</v>
      </c>
      <c r="F475" s="46"/>
      <c r="G475" s="46"/>
      <c r="H475" s="46"/>
      <c r="I475" s="46"/>
      <c r="J475" s="46"/>
      <c r="K475" s="46"/>
      <c r="L475" s="46"/>
      <c r="M475" s="136">
        <f t="shared" si="174"/>
        <v>3.477607353547301E-3</v>
      </c>
      <c r="N475" s="32">
        <f t="shared" si="175"/>
        <v>6.9552147070946018E-4</v>
      </c>
      <c r="O475" s="32">
        <f t="shared" si="176"/>
        <v>0</v>
      </c>
    </row>
    <row r="476" spans="1:17" s="18" customFormat="1" hidden="1">
      <c r="A476" s="57" t="s">
        <v>72</v>
      </c>
      <c r="B476" s="45">
        <f>POWER('Data Sheet'!K19/'Data Sheet'!B19,1/9)-1</f>
        <v>-6.8203033137866909E-3</v>
      </c>
      <c r="C476" s="45">
        <f>POWER('Data Sheet'!K19/'Data Sheet'!G19,1/4)-1</f>
        <v>-0.44040347907955435</v>
      </c>
      <c r="D476" s="45">
        <f>POWER('Data Sheet'!K19/'Data Sheet'!I19,1/2)-1</f>
        <v>-0.60155325857436326</v>
      </c>
      <c r="E476" s="45">
        <f>('Data Sheet'!K19-'Data Sheet'!J19)/'Data Sheet'!K19</f>
        <v>-2.8470588235294123</v>
      </c>
      <c r="F476" s="46"/>
      <c r="G476" s="46"/>
      <c r="H476" s="46"/>
      <c r="I476" s="46"/>
      <c r="J476" s="46"/>
      <c r="K476" s="46"/>
      <c r="L476" s="46"/>
      <c r="M476" s="136">
        <f t="shared" si="174"/>
        <v>-0.34486120821037758</v>
      </c>
      <c r="N476" s="32">
        <f t="shared" si="175"/>
        <v>-6.8972241642075521E-2</v>
      </c>
      <c r="O476" s="32">
        <f t="shared" si="176"/>
        <v>0</v>
      </c>
    </row>
    <row r="477" spans="1:17" s="18" customFormat="1" hidden="1">
      <c r="A477" s="57" t="s">
        <v>73</v>
      </c>
      <c r="B477" s="45">
        <f>POWER('Data Sheet'!K20/'Data Sheet'!B20,1/9)-1</f>
        <v>0.19472959286221947</v>
      </c>
      <c r="C477" s="45">
        <f>POWER('Data Sheet'!K20/'Data Sheet'!G20,1/4)-1</f>
        <v>0.2201954512355353</v>
      </c>
      <c r="D477" s="45">
        <f>POWER('Data Sheet'!K20/'Data Sheet'!I20,1/2)-1</f>
        <v>0.28940525246978144</v>
      </c>
      <c r="E477" s="45">
        <f>('Data Sheet'!K20-'Data Sheet'!J20)/'Data Sheet'!K20</f>
        <v>0.13636363636363644</v>
      </c>
      <c r="F477" s="46"/>
      <c r="G477" s="46"/>
      <c r="H477" s="46"/>
      <c r="I477" s="46"/>
      <c r="J477" s="46"/>
      <c r="K477" s="46"/>
      <c r="L477" s="46"/>
      <c r="M477" s="136">
        <f t="shared" si="174"/>
        <v>4.2576888883341789E-2</v>
      </c>
      <c r="N477" s="32">
        <f t="shared" si="175"/>
        <v>8.5153777766683574E-3</v>
      </c>
      <c r="O477" s="32">
        <f t="shared" si="176"/>
        <v>0</v>
      </c>
    </row>
    <row r="478" spans="1:17" s="18" customFormat="1" hidden="1">
      <c r="A478" s="57" t="s">
        <v>74</v>
      </c>
      <c r="B478" s="45">
        <f>POWER('Data Sheet'!K21/'Data Sheet'!B21,1/9)-1</f>
        <v>0.29692169644831012</v>
      </c>
      <c r="C478" s="45">
        <f>POWER('Data Sheet'!K21/'Data Sheet'!G21,1/4)-1</f>
        <v>0.56549041041468429</v>
      </c>
      <c r="D478" s="45">
        <f>POWER('Data Sheet'!K21/'Data Sheet'!I21,1/2)-1</f>
        <v>0.12811893029229515</v>
      </c>
      <c r="E478" s="45">
        <f>('Data Sheet'!K21-'Data Sheet'!J21)/'Data Sheet'!K21</f>
        <v>9.296449857476044E-2</v>
      </c>
      <c r="F478" s="46"/>
      <c r="G478" s="46"/>
      <c r="H478" s="46"/>
      <c r="I478" s="46"/>
      <c r="J478" s="46"/>
      <c r="K478" s="46"/>
      <c r="L478" s="46"/>
      <c r="M478" s="136">
        <f t="shared" si="174"/>
        <v>2.2108342886705559E-2</v>
      </c>
      <c r="N478" s="32">
        <f t="shared" si="175"/>
        <v>4.4216685773411117E-3</v>
      </c>
      <c r="O478" s="32">
        <f t="shared" si="176"/>
        <v>0</v>
      </c>
    </row>
    <row r="479" spans="1:17" s="18" customFormat="1" hidden="1">
      <c r="A479" s="57" t="s">
        <v>75</v>
      </c>
      <c r="B479" s="45">
        <f>POWER('Data Sheet'!K22/'Data Sheet'!B22,1/9)-1</f>
        <v>7.3403449513084862E-2</v>
      </c>
      <c r="C479" s="45">
        <f>POWER('Data Sheet'!K22/'Data Sheet'!G22,1/4)-1</f>
        <v>8.522234344850288E-2</v>
      </c>
      <c r="D479" s="45">
        <f>POWER('Data Sheet'!K22/'Data Sheet'!I22,1/2)-1</f>
        <v>0.18830912312542902</v>
      </c>
      <c r="E479" s="45">
        <f>('Data Sheet'!K22-'Data Sheet'!J22)/'Data Sheet'!K22</f>
        <v>0.13415816753051329</v>
      </c>
      <c r="F479" s="46"/>
      <c r="G479" s="46"/>
      <c r="H479" s="46"/>
      <c r="I479" s="46"/>
      <c r="J479" s="46"/>
      <c r="K479" s="46"/>
      <c r="L479" s="46"/>
      <c r="M479" s="136">
        <f t="shared" si="174"/>
        <v>3.2246729065594233E-2</v>
      </c>
      <c r="N479" s="32">
        <f t="shared" si="175"/>
        <v>6.449345813118847E-3</v>
      </c>
      <c r="O479" s="32">
        <f t="shared" si="176"/>
        <v>0</v>
      </c>
    </row>
    <row r="480" spans="1:17" s="18" customFormat="1" hidden="1">
      <c r="A480" s="57" t="s">
        <v>76</v>
      </c>
      <c r="B480" s="45">
        <f>POWER('Data Sheet'!K23/'Data Sheet'!B23,1/9)-1</f>
        <v>0.15695564458059197</v>
      </c>
      <c r="C480" s="45">
        <f>POWER('Data Sheet'!K23/'Data Sheet'!G23,1/4)-1</f>
        <v>0.14312169147455656</v>
      </c>
      <c r="D480" s="45">
        <f>POWER('Data Sheet'!K23/'Data Sheet'!I23,1/2)-1</f>
        <v>5.1082326715087722E-2</v>
      </c>
      <c r="E480" s="45">
        <f>('Data Sheet'!K23-'Data Sheet'!J23)/'Data Sheet'!K23</f>
        <v>1.4990207402199637E-2</v>
      </c>
      <c r="F480" s="46"/>
      <c r="G480" s="46"/>
      <c r="H480" s="46"/>
      <c r="I480" s="46"/>
      <c r="J480" s="46"/>
      <c r="K480" s="46"/>
      <c r="L480" s="46"/>
      <c r="M480" s="136">
        <f t="shared" si="174"/>
        <v>6.6072534117287366E-3</v>
      </c>
      <c r="N480" s="32">
        <f t="shared" si="175"/>
        <v>1.3214506823457472E-3</v>
      </c>
      <c r="O480" s="32">
        <f t="shared" si="176"/>
        <v>0</v>
      </c>
    </row>
    <row r="481" spans="1:15" s="18" customFormat="1" hidden="1">
      <c r="A481" s="57" t="s">
        <v>77</v>
      </c>
      <c r="B481" s="45">
        <f>POWER('Data Sheet'!K24/'Data Sheet'!B24,1/9)-1</f>
        <v>2.5452226429135916E-2</v>
      </c>
      <c r="C481" s="45">
        <f>POWER('Data Sheet'!K24/'Data Sheet'!G24,1/4)-1</f>
        <v>-6.5865405730138327E-2</v>
      </c>
      <c r="D481" s="45">
        <f>POWER('Data Sheet'!K24/'Data Sheet'!I24,1/2)-1</f>
        <v>3.5984768667715272E-2</v>
      </c>
      <c r="E481" s="45">
        <f>('Data Sheet'!K24-'Data Sheet'!J24)/'Data Sheet'!K24</f>
        <v>-3.0613504505616462E-2</v>
      </c>
      <c r="F481" s="46"/>
      <c r="G481" s="46"/>
      <c r="H481" s="46"/>
      <c r="I481" s="46"/>
      <c r="J481" s="46"/>
      <c r="K481" s="46"/>
      <c r="L481" s="46"/>
      <c r="M481" s="136">
        <f t="shared" si="174"/>
        <v>5.3712641620988109E-4</v>
      </c>
      <c r="N481" s="32">
        <f t="shared" si="175"/>
        <v>1.0742528324197621E-4</v>
      </c>
      <c r="O481" s="32">
        <f t="shared" si="176"/>
        <v>0</v>
      </c>
    </row>
    <row r="482" spans="1:15" s="18" customFormat="1" hidden="1">
      <c r="A482" s="135" t="s">
        <v>9</v>
      </c>
      <c r="B482" s="45">
        <f>POWER('Data Sheet'!K25/'Data Sheet'!B25,1/9)-1</f>
        <v>-5.6728590761238373E-2</v>
      </c>
      <c r="C482" s="45">
        <f>POWER('Data Sheet'!K25/'Data Sheet'!G25,1/4)-1</f>
        <v>-5.9799153650854309E-2</v>
      </c>
      <c r="D482" s="45">
        <f>POWER('Data Sheet'!K25/'Data Sheet'!I25,1/2)-1</f>
        <v>-0.41234733197331264</v>
      </c>
      <c r="E482" s="45">
        <f>('Data Sheet'!K25-'Data Sheet'!J25)/'Data Sheet'!K25</f>
        <v>0.16258520575612215</v>
      </c>
      <c r="F482" s="46"/>
      <c r="G482" s="46"/>
      <c r="H482" s="46"/>
      <c r="I482" s="46"/>
      <c r="J482" s="46"/>
      <c r="K482" s="46"/>
      <c r="L482" s="46"/>
      <c r="M482" s="136">
        <f t="shared" si="174"/>
        <v>-2.4976212621719049E-2</v>
      </c>
      <c r="N482" s="32">
        <f t="shared" si="175"/>
        <v>-4.9952425243438101E-3</v>
      </c>
      <c r="O482" s="32">
        <f t="shared" si="176"/>
        <v>0</v>
      </c>
    </row>
    <row r="483" spans="1:15" s="18" customFormat="1" hidden="1">
      <c r="A483" s="135" t="s">
        <v>10</v>
      </c>
      <c r="B483" s="45">
        <f>POWER('Data Sheet'!K26/'Data Sheet'!B26,1/9)-1</f>
        <v>0.2471823613024573</v>
      </c>
      <c r="C483" s="45">
        <f>POWER('Data Sheet'!K26/'Data Sheet'!G26,1/4)-1</f>
        <v>0.29749377409282807</v>
      </c>
      <c r="D483" s="45">
        <f>POWER('Data Sheet'!K26/'Data Sheet'!I26,1/2)-1</f>
        <v>0.48164467263935817</v>
      </c>
      <c r="E483" s="45">
        <f>('Data Sheet'!K26-'Data Sheet'!J26)/'Data Sheet'!K26</f>
        <v>0.32663136163719597</v>
      </c>
      <c r="F483" s="46"/>
      <c r="G483" s="46"/>
      <c r="H483" s="46"/>
      <c r="I483" s="46"/>
      <c r="J483" s="46"/>
      <c r="K483" s="46"/>
      <c r="L483" s="46"/>
      <c r="M483" s="136">
        <f t="shared" si="174"/>
        <v>8.0827603427655409E-2</v>
      </c>
      <c r="N483" s="32">
        <f t="shared" si="175"/>
        <v>1.6165520685531082E-2</v>
      </c>
      <c r="O483" s="32">
        <f t="shared" si="176"/>
        <v>0</v>
      </c>
    </row>
    <row r="484" spans="1:15" s="18" customFormat="1" hidden="1">
      <c r="A484" s="135" t="s">
        <v>11</v>
      </c>
      <c r="B484" s="45">
        <f>POWER('Data Sheet'!K27/'Data Sheet'!B27,1/9)-1</f>
        <v>-1</v>
      </c>
      <c r="C484" s="45">
        <f>POWER('Data Sheet'!K27/'Data Sheet'!G27,1/4)-1</f>
        <v>-1</v>
      </c>
      <c r="D484" s="45" t="e">
        <f>POWER('Data Sheet'!K27/'Data Sheet'!I27,1/2)-1</f>
        <v>#DIV/0!</v>
      </c>
      <c r="E484" s="45" t="e">
        <f>('Data Sheet'!K27-'Data Sheet'!J27)/'Data Sheet'!K27</f>
        <v>#DIV/0!</v>
      </c>
      <c r="F484" s="46"/>
      <c r="G484" s="46"/>
      <c r="H484" s="46"/>
      <c r="I484" s="46"/>
      <c r="J484" s="46"/>
      <c r="K484" s="46"/>
      <c r="L484" s="46"/>
      <c r="M484" s="136" t="e">
        <f t="shared" si="174"/>
        <v>#DIV/0!</v>
      </c>
      <c r="N484" s="32" t="e">
        <f t="shared" si="175"/>
        <v>#DIV/0!</v>
      </c>
      <c r="O484" s="32">
        <f t="shared" si="176"/>
        <v>0</v>
      </c>
    </row>
    <row r="485" spans="1:15" s="18" customFormat="1" hidden="1">
      <c r="A485" s="135" t="s">
        <v>12</v>
      </c>
      <c r="B485" s="45">
        <f>POWER('Data Sheet'!K28/'Data Sheet'!B28,1/9)-1</f>
        <v>0.16997730481616169</v>
      </c>
      <c r="C485" s="45">
        <f>POWER('Data Sheet'!K28/'Data Sheet'!G28,1/4)-1</f>
        <v>8.9208271630444091E-2</v>
      </c>
      <c r="D485" s="45">
        <f>POWER('Data Sheet'!K28/'Data Sheet'!I28,1/2)-1</f>
        <v>6.6597950741910106E-2</v>
      </c>
      <c r="E485" s="45">
        <f>('Data Sheet'!K28-'Data Sheet'!J28)/'Data Sheet'!K28</f>
        <v>5.7670711827567459E-2</v>
      </c>
      <c r="F485" s="46"/>
      <c r="G485" s="46"/>
      <c r="H485" s="46"/>
      <c r="I485" s="46"/>
      <c r="J485" s="46"/>
      <c r="K485" s="46"/>
      <c r="L485" s="46"/>
      <c r="M485" s="136">
        <f t="shared" si="174"/>
        <v>1.2426866256947756E-2</v>
      </c>
      <c r="N485" s="32">
        <f t="shared" si="175"/>
        <v>2.4853732513895515E-3</v>
      </c>
      <c r="O485" s="32">
        <f t="shared" si="176"/>
        <v>0</v>
      </c>
    </row>
    <row r="486" spans="1:15" s="18" customFormat="1" hidden="1">
      <c r="A486" s="135" t="s">
        <v>13</v>
      </c>
      <c r="B486" s="45">
        <f>POWER('Data Sheet'!K29/'Data Sheet'!B29,1/9)-1</f>
        <v>0.22191217530137086</v>
      </c>
      <c r="C486" s="45">
        <f>POWER('Data Sheet'!K29/'Data Sheet'!G29,1/4)-1</f>
        <v>0.15394210059794977</v>
      </c>
      <c r="D486" s="45">
        <f>POWER('Data Sheet'!K29/'Data Sheet'!I29,1/2)-1</f>
        <v>0.15666337736453761</v>
      </c>
      <c r="E486" s="45">
        <f>('Data Sheet'!K29-'Data Sheet'!J29)/'Data Sheet'!K29</f>
        <v>0.12013193450961687</v>
      </c>
      <c r="F486" s="46"/>
      <c r="G486" s="46"/>
      <c r="H486" s="46"/>
      <c r="I486" s="46"/>
      <c r="J486" s="46"/>
      <c r="K486" s="46"/>
      <c r="L486" s="46"/>
      <c r="M486" s="136">
        <f t="shared" si="174"/>
        <v>2.7679531187415451E-2</v>
      </c>
      <c r="N486" s="32">
        <f t="shared" si="175"/>
        <v>5.5359062374830906E-3</v>
      </c>
      <c r="O486" s="32">
        <f t="shared" si="176"/>
        <v>0</v>
      </c>
    </row>
    <row r="487" spans="1:15" s="18" customFormat="1" hidden="1">
      <c r="A487" s="135" t="s">
        <v>14</v>
      </c>
      <c r="B487" s="45">
        <f>POWER('Data Sheet'!K30/'Data Sheet'!B30,1/9)-1</f>
        <v>0.15292976686870952</v>
      </c>
      <c r="C487" s="45">
        <f>POWER('Data Sheet'!K30/'Data Sheet'!G30,1/4)-1</f>
        <v>6.5991251861137856E-2</v>
      </c>
      <c r="D487" s="45">
        <f>POWER('Data Sheet'!K30/'Data Sheet'!I30,1/2)-1</f>
        <v>3.3377080494000122E-2</v>
      </c>
      <c r="E487" s="45">
        <f>('Data Sheet'!K30-'Data Sheet'!J30)/'Data Sheet'!K30</f>
        <v>3.0407104820384681E-2</v>
      </c>
      <c r="F487" s="46"/>
      <c r="G487" s="46"/>
      <c r="H487" s="46"/>
      <c r="I487" s="46"/>
      <c r="J487" s="46"/>
      <c r="K487" s="46"/>
      <c r="L487" s="46"/>
      <c r="M487" s="136">
        <f t="shared" si="174"/>
        <v>6.3784185314384803E-3</v>
      </c>
      <c r="N487" s="32">
        <f t="shared" si="175"/>
        <v>1.275683706287696E-3</v>
      </c>
      <c r="O487" s="32">
        <f t="shared" si="176"/>
        <v>0</v>
      </c>
    </row>
    <row r="488" spans="1:15" s="18" customFormat="1" hidden="1">
      <c r="A488" s="135" t="s">
        <v>61</v>
      </c>
      <c r="B488" s="45">
        <f>POWER('Data Sheet'!K31/'Data Sheet'!B31,1/9)-1</f>
        <v>8.6228411742705235E-2</v>
      </c>
      <c r="C488" s="45">
        <f>POWER('Data Sheet'!K31/'Data Sheet'!G31,1/4)-1</f>
        <v>-5.4253175246345764E-2</v>
      </c>
      <c r="D488" s="45">
        <f>POWER('Data Sheet'!K31/'Data Sheet'!I31,1/2)-1</f>
        <v>-0.1393294162713965</v>
      </c>
      <c r="E488" s="45">
        <f>('Data Sheet'!K31-'Data Sheet'!J31)/'Data Sheet'!K31</f>
        <v>-0.19997058715393942</v>
      </c>
      <c r="F488" s="46"/>
      <c r="G488" s="46"/>
      <c r="H488" s="46"/>
      <c r="I488" s="46"/>
      <c r="J488" s="46"/>
      <c r="K488" s="46"/>
      <c r="L488" s="46"/>
      <c r="M488" s="136">
        <f t="shared" si="174"/>
        <v>-3.3930000342533594E-2</v>
      </c>
      <c r="N488" s="32">
        <f t="shared" si="175"/>
        <v>-6.7860000685067189E-3</v>
      </c>
      <c r="O488" s="32">
        <f t="shared" si="176"/>
        <v>0</v>
      </c>
    </row>
    <row r="489" spans="1:15" s="18" customFormat="1" hidden="1">
      <c r="A489" s="57" t="s">
        <v>88</v>
      </c>
      <c r="B489" s="45">
        <f>POWER(K110/B110,1/9)-1</f>
        <v>4.0024022060686004E-2</v>
      </c>
      <c r="C489" s="45">
        <f>POWER(K110/G110,1/4)-1</f>
        <v>-0.12994316066425915</v>
      </c>
      <c r="D489" s="45">
        <f>POWER(K110/I110,1/2)-1</f>
        <v>-0.15726197271719644</v>
      </c>
      <c r="E489" s="45">
        <f>(K110-J110)/J110</f>
        <v>-0.22502939599395941</v>
      </c>
      <c r="F489" s="46"/>
      <c r="G489" s="46"/>
      <c r="H489" s="46"/>
      <c r="I489" s="46"/>
      <c r="J489" s="46"/>
      <c r="K489" s="46"/>
      <c r="L489" s="46"/>
      <c r="M489" s="136">
        <f t="shared" si="174"/>
        <v>-3.8229136871115586E-2</v>
      </c>
      <c r="N489" s="32">
        <f t="shared" si="175"/>
        <v>-7.6458273742231169E-3</v>
      </c>
      <c r="O489" s="32">
        <f t="shared" si="176"/>
        <v>0</v>
      </c>
    </row>
    <row r="490" spans="1:15" s="18" customFormat="1" hidden="1">
      <c r="A490" s="57" t="s">
        <v>89</v>
      </c>
      <c r="B490" s="45">
        <f>POWER(K112/B112,1/9)-1</f>
        <v>-2.7208679225869115E-2</v>
      </c>
      <c r="C490" s="45">
        <f>POWER(K112/G112,1/4)-1</f>
        <v>-0.14813611782518299</v>
      </c>
      <c r="D490" s="45">
        <f>POWER(K112/I112,1/2)-1</f>
        <v>-0.17142353641525554</v>
      </c>
      <c r="E490" s="45">
        <f>(K112-J112)/J112</f>
        <v>-0.23991971058497474</v>
      </c>
      <c r="F490" s="46"/>
      <c r="G490" s="46"/>
      <c r="H490" s="46"/>
      <c r="I490" s="46"/>
      <c r="J490" s="46"/>
      <c r="K490" s="46"/>
      <c r="L490" s="46"/>
      <c r="M490" s="136">
        <f t="shared" si="174"/>
        <v>-4.1134324700023026E-2</v>
      </c>
      <c r="N490" s="32">
        <f t="shared" si="175"/>
        <v>-8.2268649400046058E-3</v>
      </c>
      <c r="O490" s="32">
        <f t="shared" si="176"/>
        <v>0</v>
      </c>
    </row>
    <row r="491" spans="1:15" s="18" customFormat="1" hidden="1">
      <c r="A491" s="57" t="s">
        <v>90</v>
      </c>
      <c r="B491" s="45">
        <f>POWER(K130/B130,1/9)-1</f>
        <v>0.21571077418624229</v>
      </c>
      <c r="C491" s="45">
        <f>POWER(K130/G130,1/4)-1</f>
        <v>4.5607274805620213E-2</v>
      </c>
      <c r="D491" s="45">
        <f>POWER(K130/I130,1/2)-1</f>
        <v>5.5631918612990772E-2</v>
      </c>
      <c r="E491" s="45">
        <f>(K130-J130)/J130</f>
        <v>-3.6548602529987491E-2</v>
      </c>
      <c r="F491" s="46"/>
      <c r="G491" s="46"/>
      <c r="H491" s="46"/>
      <c r="I491" s="46"/>
      <c r="J491" s="46"/>
      <c r="K491" s="46"/>
      <c r="L491" s="46"/>
      <c r="M491" s="136">
        <f t="shared" si="174"/>
        <v>1.9083316083003282E-3</v>
      </c>
      <c r="N491" s="32">
        <f t="shared" si="175"/>
        <v>3.8166632166006562E-4</v>
      </c>
      <c r="O491" s="32">
        <f t="shared" si="176"/>
        <v>0</v>
      </c>
    </row>
    <row r="492" spans="1:15" s="18" customFormat="1" hidden="1">
      <c r="A492" s="57" t="s">
        <v>91</v>
      </c>
      <c r="B492" s="45">
        <f>POWER(K132/B132,1/9)-1</f>
        <v>0.19052439348927175</v>
      </c>
      <c r="C492" s="45">
        <f>POWER(K132/G132,1/4)-1</f>
        <v>4.3706198045500244E-2</v>
      </c>
      <c r="D492" s="45">
        <f>POWER(K132/I132,1/2)-1</f>
        <v>5.3980103585974826E-2</v>
      </c>
      <c r="E492" s="45">
        <f>(K132-J132)/J132</f>
        <v>-3.806268205835675E-2</v>
      </c>
      <c r="F492" s="46"/>
      <c r="G492" s="46"/>
      <c r="H492" s="46"/>
      <c r="I492" s="46"/>
      <c r="J492" s="46"/>
      <c r="K492" s="46"/>
      <c r="L492" s="46"/>
      <c r="M492" s="136">
        <f t="shared" si="174"/>
        <v>1.5917421527618075E-3</v>
      </c>
      <c r="N492" s="32">
        <f t="shared" si="175"/>
        <v>3.1834843055236149E-4</v>
      </c>
      <c r="O492" s="32">
        <f t="shared" si="176"/>
        <v>0</v>
      </c>
    </row>
    <row r="493" spans="1:15" s="18" customFormat="1" hidden="1">
      <c r="A493" s="57" t="s">
        <v>92</v>
      </c>
      <c r="B493" s="45">
        <f>POWER(K134/B134,1/9)-1</f>
        <v>6.7812982839030367E-2</v>
      </c>
      <c r="C493" s="45">
        <f>POWER(K134/G134,1/4)-1</f>
        <v>-6.2213723220045258E-2</v>
      </c>
      <c r="D493" s="45">
        <f>POWER(K134/I134,1/2)-1</f>
        <v>-2.1151078662111411E-2</v>
      </c>
      <c r="E493" s="45">
        <f>(K134-J134)/J134</f>
        <v>-7.8294482690600214E-2</v>
      </c>
      <c r="F493" s="46"/>
      <c r="G493" s="46"/>
      <c r="H493" s="46"/>
      <c r="I493" s="46"/>
      <c r="J493" s="46"/>
      <c r="K493" s="46"/>
      <c r="L493" s="46"/>
      <c r="M493" s="136">
        <f t="shared" si="174"/>
        <v>-9.9445561352711626E-3</v>
      </c>
      <c r="N493" s="32">
        <f t="shared" si="175"/>
        <v>-1.9889112270542325E-3</v>
      </c>
      <c r="O493" s="32">
        <f t="shared" si="176"/>
        <v>0</v>
      </c>
    </row>
    <row r="494" spans="1:15" s="18" customFormat="1" hidden="1">
      <c r="A494" s="57" t="s">
        <v>93</v>
      </c>
      <c r="B494" s="45">
        <f>POWER(K136/B136,1/9)-1</f>
        <v>4.5690661584656622E-2</v>
      </c>
      <c r="C494" s="45">
        <f>POWER(K136/G136,1/4)-1</f>
        <v>-6.3918764624885549E-2</v>
      </c>
      <c r="D494" s="45">
        <f>POWER(K136/I136,1/2)-1</f>
        <v>-2.2682746404375953E-2</v>
      </c>
      <c r="E494" s="45">
        <f>(K136-J136)/J136</f>
        <v>-7.9742957889876245E-2</v>
      </c>
      <c r="F494" s="46"/>
      <c r="G494" s="46"/>
      <c r="H494" s="46"/>
      <c r="I494" s="46"/>
      <c r="J494" s="46"/>
      <c r="K494" s="46"/>
      <c r="L494" s="46"/>
      <c r="M494" s="136">
        <f t="shared" si="174"/>
        <v>-1.0242570429425221E-2</v>
      </c>
      <c r="N494" s="32">
        <f t="shared" si="175"/>
        <v>-2.0485140858850443E-3</v>
      </c>
      <c r="O494" s="32">
        <f t="shared" si="176"/>
        <v>0</v>
      </c>
    </row>
    <row r="495" spans="1:15" s="18" customFormat="1" hidden="1">
      <c r="A495" s="135" t="s">
        <v>94</v>
      </c>
      <c r="B495" s="45" t="e">
        <f>POWER(#REF!/#REF!,1/9)-1</f>
        <v>#REF!</v>
      </c>
      <c r="C495" s="45" t="e">
        <f>POWER(#REF!/#REF!,1/4)-1</f>
        <v>#REF!</v>
      </c>
      <c r="D495" s="45" t="e">
        <f>POWER(#REF!/#REF!,1/2)-1</f>
        <v>#REF!</v>
      </c>
      <c r="E495" s="45" t="e">
        <f>(#REF!-#REF!)/#REF!</f>
        <v>#REF!</v>
      </c>
      <c r="F495" s="46"/>
      <c r="G495" s="46"/>
      <c r="H495" s="46"/>
      <c r="I495" s="46"/>
      <c r="J495" s="46"/>
      <c r="K495" s="46"/>
      <c r="L495" s="46"/>
      <c r="M495" s="136" t="e">
        <f t="shared" si="174"/>
        <v>#REF!</v>
      </c>
      <c r="N495" s="32" t="e">
        <f t="shared" si="175"/>
        <v>#REF!</v>
      </c>
      <c r="O495" s="32">
        <f t="shared" si="176"/>
        <v>0</v>
      </c>
    </row>
    <row r="496" spans="1:15" s="18" customFormat="1" hidden="1">
      <c r="A496" s="135" t="s">
        <v>95</v>
      </c>
      <c r="B496" s="45">
        <f>POWER(K156/B156,1/9)-1</f>
        <v>-2.5062500284067535E-2</v>
      </c>
      <c r="C496" s="45">
        <f>POWER(K156/G156,1/4)-1</f>
        <v>-0.17062738089989371</v>
      </c>
      <c r="D496" s="45">
        <f>POWER(K156/I156,1/2)-1</f>
        <v>-0.23584368870313821</v>
      </c>
      <c r="E496" s="45">
        <f>(K156-J156)/J156</f>
        <v>-0.33641338244019076</v>
      </c>
      <c r="F496" s="46"/>
      <c r="G496" s="46"/>
      <c r="H496" s="46"/>
      <c r="I496" s="46"/>
      <c r="J496" s="46"/>
      <c r="K496" s="46"/>
      <c r="L496" s="46"/>
      <c r="M496" s="136">
        <f t="shared" si="174"/>
        <v>-5.7225707114332905E-2</v>
      </c>
      <c r="N496" s="32">
        <f t="shared" si="175"/>
        <v>-1.1445141422866581E-2</v>
      </c>
      <c r="O496" s="32">
        <f t="shared" si="176"/>
        <v>0</v>
      </c>
    </row>
    <row r="497" spans="1:15" s="18" customFormat="1" hidden="1">
      <c r="A497" s="135"/>
      <c r="B497" s="45"/>
      <c r="C497" s="45"/>
      <c r="D497" s="45"/>
      <c r="E497" s="45"/>
      <c r="F497" s="46"/>
      <c r="G497" s="46"/>
      <c r="H497" s="46"/>
      <c r="I497" s="46"/>
      <c r="J497" s="46"/>
      <c r="K497" s="46"/>
      <c r="L497" s="46"/>
      <c r="M497" s="136">
        <f t="shared" si="174"/>
        <v>0</v>
      </c>
      <c r="N497" s="32">
        <f t="shared" si="175"/>
        <v>0</v>
      </c>
      <c r="O497" s="32">
        <f t="shared" si="176"/>
        <v>0</v>
      </c>
    </row>
    <row r="498" spans="1:15" s="18" customFormat="1" hidden="1">
      <c r="A498" s="138" t="s">
        <v>40</v>
      </c>
      <c r="B498" s="164" t="s">
        <v>81</v>
      </c>
      <c r="C498" s="164" t="s">
        <v>82</v>
      </c>
      <c r="D498" s="138" t="s">
        <v>83</v>
      </c>
      <c r="E498" s="138" t="s">
        <v>84</v>
      </c>
      <c r="F498" s="46"/>
      <c r="G498" s="46"/>
      <c r="H498" s="46"/>
      <c r="I498" s="46"/>
      <c r="J498" s="46"/>
      <c r="K498" s="46"/>
      <c r="L498" s="46"/>
      <c r="M498" s="136">
        <f t="shared" si="174"/>
        <v>0</v>
      </c>
      <c r="N498" s="32">
        <f t="shared" si="175"/>
        <v>0</v>
      </c>
      <c r="O498" s="32">
        <f t="shared" si="176"/>
        <v>0</v>
      </c>
    </row>
    <row r="499" spans="1:15" s="18" customFormat="1" hidden="1">
      <c r="A499" s="163" t="s">
        <v>38</v>
      </c>
      <c r="B499" s="45">
        <f>POWER('Data Sheet'!K56/'Data Sheet'!B56,1/9)-1</f>
        <v>8.9958045949416476E-3</v>
      </c>
      <c r="C499" s="45">
        <f>POWER('Data Sheet'!K56/'Data Sheet'!G56,1/4)-1</f>
        <v>8.7921206565997334E-3</v>
      </c>
      <c r="D499" s="45">
        <f>POWER('Data Sheet'!K56/'Data Sheet'!I56,1/2)-1</f>
        <v>8.7208699046044114E-3</v>
      </c>
      <c r="E499" s="45">
        <f>('Data Sheet'!K56-'Data Sheet'!J56)/'Data Sheet'!K56</f>
        <v>8.6198775317946306E-3</v>
      </c>
      <c r="F499" s="46"/>
      <c r="G499" s="46"/>
      <c r="H499" s="46"/>
      <c r="I499" s="46"/>
      <c r="J499" s="46"/>
      <c r="K499" s="46"/>
      <c r="L499" s="46"/>
      <c r="M499" s="136">
        <f t="shared" si="174"/>
        <v>1.7340747436399042E-3</v>
      </c>
      <c r="N499" s="32">
        <f t="shared" si="175"/>
        <v>3.4681494872798081E-4</v>
      </c>
      <c r="O499" s="32">
        <f t="shared" si="176"/>
        <v>0</v>
      </c>
    </row>
    <row r="500" spans="1:15" s="18" customFormat="1" hidden="1">
      <c r="A500" s="135" t="s">
        <v>24</v>
      </c>
      <c r="B500" s="45">
        <f>POWER('Data Sheet'!K57/'Data Sheet'!B57,1/9)-1</f>
        <v>-0.16374213665425641</v>
      </c>
      <c r="C500" s="45">
        <f>POWER('Data Sheet'!K57/'Data Sheet'!G57,1/4)-1</f>
        <v>0.18920711500272103</v>
      </c>
      <c r="D500" s="45">
        <f>POWER('Data Sheet'!K57/'Data Sheet'!I57,1/2)-1</f>
        <v>0.41421356237309515</v>
      </c>
      <c r="E500" s="45">
        <f>('Data Sheet'!K57-'Data Sheet'!J57)/'Data Sheet'!K57</f>
        <v>0.5</v>
      </c>
      <c r="F500" s="46"/>
      <c r="G500" s="46"/>
      <c r="H500" s="46"/>
      <c r="I500" s="46"/>
      <c r="J500" s="46"/>
      <c r="K500" s="46"/>
      <c r="L500" s="46"/>
      <c r="M500" s="136">
        <f t="shared" si="174"/>
        <v>9.1421356237309515E-2</v>
      </c>
      <c r="N500" s="32">
        <f t="shared" si="175"/>
        <v>1.8284271247461903E-2</v>
      </c>
      <c r="O500" s="32">
        <f t="shared" si="176"/>
        <v>0</v>
      </c>
    </row>
    <row r="501" spans="1:15" s="18" customFormat="1" hidden="1">
      <c r="A501" s="135" t="s">
        <v>25</v>
      </c>
      <c r="B501" s="45">
        <f>POWER('Data Sheet'!K58/'Data Sheet'!B58,1/9)-1</f>
        <v>0.23869259067036208</v>
      </c>
      <c r="C501" s="45">
        <f>POWER('Data Sheet'!K58/'Data Sheet'!G58,1/4)-1</f>
        <v>0.23846402458577098</v>
      </c>
      <c r="D501" s="45">
        <f>POWER('Data Sheet'!K58/'Data Sheet'!I58,1/2)-1</f>
        <v>0.30095534878801722</v>
      </c>
      <c r="E501" s="45">
        <f>('Data Sheet'!K58-'Data Sheet'!J58)/'Data Sheet'!K58</f>
        <v>0.2373849859413264</v>
      </c>
      <c r="F501" s="46"/>
      <c r="G501" s="46"/>
      <c r="H501" s="46"/>
      <c r="I501" s="46"/>
      <c r="J501" s="46"/>
      <c r="K501" s="46"/>
      <c r="L501" s="46"/>
      <c r="M501" s="136">
        <f t="shared" si="174"/>
        <v>5.3834033472934362E-2</v>
      </c>
      <c r="N501" s="32">
        <f t="shared" si="175"/>
        <v>1.0766806694586873E-2</v>
      </c>
      <c r="O501" s="32">
        <f t="shared" si="176"/>
        <v>0</v>
      </c>
    </row>
    <row r="502" spans="1:15" s="18" customFormat="1" hidden="1">
      <c r="A502" s="135" t="s">
        <v>62</v>
      </c>
      <c r="B502" s="45">
        <f>POWER('Data Sheet'!K59/'Data Sheet'!B59,1/9)-1</f>
        <v>-1</v>
      </c>
      <c r="C502" s="45">
        <f>POWER('Data Sheet'!K59/'Data Sheet'!G59,1/4)-1</f>
        <v>-1</v>
      </c>
      <c r="D502" s="45" t="e">
        <f>POWER('Data Sheet'!K59/'Data Sheet'!I59,1/2)-1</f>
        <v>#DIV/0!</v>
      </c>
      <c r="E502" s="45" t="e">
        <f>('Data Sheet'!K59-'Data Sheet'!J59)/'Data Sheet'!K59</f>
        <v>#DIV/0!</v>
      </c>
      <c r="F502" s="46"/>
      <c r="G502" s="46"/>
      <c r="H502" s="46"/>
      <c r="I502" s="46"/>
      <c r="J502" s="46"/>
      <c r="K502" s="46"/>
      <c r="L502" s="46"/>
      <c r="M502" s="136" t="e">
        <f t="shared" si="174"/>
        <v>#DIV/0!</v>
      </c>
      <c r="N502" s="32" t="e">
        <f t="shared" si="175"/>
        <v>#DIV/0!</v>
      </c>
      <c r="O502" s="32">
        <f t="shared" si="176"/>
        <v>0</v>
      </c>
    </row>
    <row r="503" spans="1:15" s="18" customFormat="1" hidden="1">
      <c r="A503" s="135" t="s">
        <v>63</v>
      </c>
      <c r="B503" s="45">
        <f>POWER('Data Sheet'!K60/'Data Sheet'!B60,1/9)-1</f>
        <v>9.120321823689137E-2</v>
      </c>
      <c r="C503" s="45">
        <f>POWER('Data Sheet'!K60/'Data Sheet'!G60,1/4)-1</f>
        <v>7.6141399227372508E-2</v>
      </c>
      <c r="D503" s="45">
        <f>POWER('Data Sheet'!K60/'Data Sheet'!I60,1/2)-1</f>
        <v>1.9192544910510589E-2</v>
      </c>
      <c r="E503" s="45">
        <f>('Data Sheet'!K60-'Data Sheet'!J60)/'Data Sheet'!K60</f>
        <v>-8.9940878024235057E-3</v>
      </c>
      <c r="F503" s="46"/>
      <c r="G503" s="46"/>
      <c r="H503" s="46"/>
      <c r="I503" s="46"/>
      <c r="J503" s="46"/>
      <c r="K503" s="46"/>
      <c r="L503" s="46"/>
      <c r="M503" s="136">
        <f t="shared" si="174"/>
        <v>1.0198457108087085E-3</v>
      </c>
      <c r="N503" s="32">
        <f t="shared" si="175"/>
        <v>2.0396914216174169E-4</v>
      </c>
      <c r="O503" s="32">
        <f t="shared" si="176"/>
        <v>0</v>
      </c>
    </row>
    <row r="504" spans="1:15" s="18" customFormat="1" hidden="1">
      <c r="A504" s="138" t="s">
        <v>26</v>
      </c>
      <c r="B504" s="45">
        <f>POWER('Data Sheet'!K61/'Data Sheet'!B61,1/9)-1</f>
        <v>0.11860083647815522</v>
      </c>
      <c r="C504" s="45">
        <f>POWER('Data Sheet'!K61/'Data Sheet'!G61,1/4)-1</f>
        <v>0.14535256064584368</v>
      </c>
      <c r="D504" s="45">
        <f>POWER('Data Sheet'!K61/'Data Sheet'!I61,1/2)-1</f>
        <v>0.14009021456590065</v>
      </c>
      <c r="E504" s="45">
        <f>('Data Sheet'!K61-'Data Sheet'!J61)/'Data Sheet'!K61</f>
        <v>0.12190450129976749</v>
      </c>
      <c r="F504" s="46"/>
      <c r="G504" s="46"/>
      <c r="H504" s="46"/>
      <c r="I504" s="46"/>
      <c r="J504" s="46"/>
      <c r="K504" s="46"/>
      <c r="L504" s="46"/>
      <c r="M504" s="136">
        <f t="shared" si="174"/>
        <v>2.6199471586566814E-2</v>
      </c>
      <c r="N504" s="32">
        <f t="shared" si="175"/>
        <v>5.2398943173133632E-3</v>
      </c>
      <c r="O504" s="32">
        <f t="shared" si="176"/>
        <v>0</v>
      </c>
    </row>
    <row r="505" spans="1:15" s="18" customFormat="1" hidden="1">
      <c r="A505" s="135" t="s">
        <v>27</v>
      </c>
      <c r="B505" s="45">
        <f>POWER('Data Sheet'!K62/'Data Sheet'!B62,1/9)-1</f>
        <v>0.22055421763941108</v>
      </c>
      <c r="C505" s="45">
        <f>POWER('Data Sheet'!K62/'Data Sheet'!G62,1/4)-1</f>
        <v>0.41088754484143575</v>
      </c>
      <c r="D505" s="45">
        <f>POWER('Data Sheet'!K62/'Data Sheet'!I62,1/2)-1</f>
        <v>0.34666068116517557</v>
      </c>
      <c r="E505" s="45">
        <f>('Data Sheet'!K62-'Data Sheet'!J62)/'Data Sheet'!K62</f>
        <v>0.22473069216577057</v>
      </c>
      <c r="F505" s="46"/>
      <c r="G505" s="46"/>
      <c r="H505" s="46"/>
      <c r="I505" s="46"/>
      <c r="J505" s="46"/>
      <c r="K505" s="46"/>
      <c r="L505" s="46"/>
      <c r="M505" s="136">
        <f t="shared" si="174"/>
        <v>5.7139137333094614E-2</v>
      </c>
      <c r="N505" s="32">
        <f t="shared" si="175"/>
        <v>1.1427827466618922E-2</v>
      </c>
      <c r="O505" s="32">
        <f t="shared" si="176"/>
        <v>0</v>
      </c>
    </row>
    <row r="506" spans="1:15" s="18" customFormat="1" hidden="1">
      <c r="A506" s="135" t="s">
        <v>28</v>
      </c>
      <c r="B506" s="45">
        <f>POWER('Data Sheet'!K63/'Data Sheet'!B63,1/9)-1</f>
        <v>0.13874235612542574</v>
      </c>
      <c r="C506" s="45">
        <f>POWER('Data Sheet'!K63/'Data Sheet'!G63,1/4)-1</f>
        <v>3.0929311749597677E-2</v>
      </c>
      <c r="D506" s="45">
        <f>POWER('Data Sheet'!K63/'Data Sheet'!I63,1/2)-1</f>
        <v>-0.25581423594853614</v>
      </c>
      <c r="E506" s="45">
        <f>('Data Sheet'!K63-'Data Sheet'!J63)/'Data Sheet'!K63</f>
        <v>-0.80145463825443408</v>
      </c>
      <c r="F506" s="46"/>
      <c r="G506" s="46"/>
      <c r="H506" s="46"/>
      <c r="I506" s="46"/>
      <c r="J506" s="46"/>
      <c r="K506" s="46"/>
      <c r="L506" s="46"/>
      <c r="M506" s="136">
        <f t="shared" si="174"/>
        <v>-0.10572688742029701</v>
      </c>
      <c r="N506" s="32">
        <f t="shared" si="175"/>
        <v>-2.1145377484059404E-2</v>
      </c>
      <c r="O506" s="32">
        <f t="shared" si="176"/>
        <v>0</v>
      </c>
    </row>
    <row r="507" spans="1:15" s="18" customFormat="1" hidden="1">
      <c r="A507" s="135" t="s">
        <v>29</v>
      </c>
      <c r="B507" s="45">
        <f>POWER('Data Sheet'!K64/'Data Sheet'!B64,1/9)-1</f>
        <v>-0.15233057219543511</v>
      </c>
      <c r="C507" s="45">
        <f>POWER('Data Sheet'!K64/'Data Sheet'!G64,1/4)-1</f>
        <v>-0.10577159203804798</v>
      </c>
      <c r="D507" s="45">
        <f>POWER('Data Sheet'!K64/'Data Sheet'!I64,1/2)-1</f>
        <v>-9.9181926101434503E-2</v>
      </c>
      <c r="E507" s="45">
        <f>('Data Sheet'!K64-'Data Sheet'!J64)/'Data Sheet'!K64</f>
        <v>-0.23232658479920357</v>
      </c>
      <c r="F507" s="46"/>
      <c r="G507" s="46"/>
      <c r="H507" s="46"/>
      <c r="I507" s="46"/>
      <c r="J507" s="46"/>
      <c r="K507" s="46"/>
      <c r="L507" s="46"/>
      <c r="M507" s="136">
        <f t="shared" si="174"/>
        <v>-3.3150851090063806E-2</v>
      </c>
      <c r="N507" s="32">
        <f t="shared" si="175"/>
        <v>-6.630170218012761E-3</v>
      </c>
      <c r="O507" s="32">
        <f t="shared" si="176"/>
        <v>0</v>
      </c>
    </row>
    <row r="508" spans="1:15" s="18" customFormat="1" hidden="1">
      <c r="A508" s="135" t="s">
        <v>64</v>
      </c>
      <c r="B508" s="45">
        <f>POWER('Data Sheet'!K65/'Data Sheet'!B65,1/9)-1</f>
        <v>9.0052178236440517E-2</v>
      </c>
      <c r="C508" s="45">
        <f>POWER('Data Sheet'!K65/'Data Sheet'!G65,1/4)-1</f>
        <v>2.512861042452541E-2</v>
      </c>
      <c r="D508" s="45">
        <f>POWER('Data Sheet'!K65/'Data Sheet'!I65,1/2)-1</f>
        <v>4.5592046682034759E-2</v>
      </c>
      <c r="E508" s="45">
        <f>('Data Sheet'!K65-'Data Sheet'!J65)/'Data Sheet'!K65</f>
        <v>9.7830273462575362E-2</v>
      </c>
      <c r="F508" s="46"/>
      <c r="G508" s="46"/>
      <c r="H508" s="46"/>
      <c r="I508" s="46"/>
      <c r="J508" s="46"/>
      <c r="K508" s="46"/>
      <c r="L508" s="46"/>
      <c r="M508" s="136">
        <f t="shared" si="174"/>
        <v>1.4342232014461012E-2</v>
      </c>
      <c r="N508" s="32">
        <f t="shared" si="175"/>
        <v>2.8684464028922024E-3</v>
      </c>
      <c r="O508" s="32">
        <f t="shared" si="176"/>
        <v>0</v>
      </c>
    </row>
    <row r="509" spans="1:15" s="18" customFormat="1" hidden="1">
      <c r="A509" s="138" t="s">
        <v>26</v>
      </c>
      <c r="B509" s="45">
        <f>POWER('Data Sheet'!K66/'Data Sheet'!B66,1/9)-1</f>
        <v>0.11860083647815522</v>
      </c>
      <c r="C509" s="45">
        <f>POWER('Data Sheet'!K66/'Data Sheet'!G66,1/4)-1</f>
        <v>0.14535256064584368</v>
      </c>
      <c r="D509" s="45">
        <f>POWER('Data Sheet'!K66/'Data Sheet'!I66,1/2)-1</f>
        <v>0.14009021456590065</v>
      </c>
      <c r="E509" s="45">
        <f>('Data Sheet'!K66-'Data Sheet'!J66)/'Data Sheet'!K66</f>
        <v>0.12190450129976749</v>
      </c>
      <c r="F509" s="46"/>
      <c r="G509" s="46"/>
      <c r="H509" s="46"/>
      <c r="I509" s="46"/>
      <c r="J509" s="46"/>
      <c r="K509" s="46"/>
      <c r="L509" s="46"/>
      <c r="M509" s="136">
        <f t="shared" si="174"/>
        <v>2.6199471586566814E-2</v>
      </c>
      <c r="N509" s="32">
        <f t="shared" si="175"/>
        <v>5.2398943173133632E-3</v>
      </c>
      <c r="O509" s="32">
        <f t="shared" si="176"/>
        <v>0</v>
      </c>
    </row>
    <row r="510" spans="1:15" s="18" customFormat="1" hidden="1">
      <c r="A510" s="135" t="s">
        <v>69</v>
      </c>
      <c r="B510" s="45">
        <f>POWER('Data Sheet'!K67/'Data Sheet'!B67,1/9)-1</f>
        <v>0.30375220894033772</v>
      </c>
      <c r="C510" s="45">
        <f>POWER('Data Sheet'!K67/'Data Sheet'!G67,1/4)-1</f>
        <v>3.8587391117259839E-2</v>
      </c>
      <c r="D510" s="45">
        <f>POWER('Data Sheet'!K67/'Data Sheet'!I67,1/2)-1</f>
        <v>0.36209015983088699</v>
      </c>
      <c r="E510" s="45">
        <f>('Data Sheet'!K67-'Data Sheet'!J67)/'Data Sheet'!K67</f>
        <v>0.31416190663777827</v>
      </c>
      <c r="F510" s="46"/>
      <c r="G510" s="46"/>
      <c r="H510" s="46"/>
      <c r="I510" s="46"/>
      <c r="J510" s="46"/>
      <c r="K510" s="46"/>
      <c r="L510" s="46"/>
      <c r="M510" s="136">
        <f t="shared" si="174"/>
        <v>6.7625206646866526E-2</v>
      </c>
      <c r="N510" s="32">
        <f t="shared" si="175"/>
        <v>1.3525041329373304E-2</v>
      </c>
      <c r="O510" s="32">
        <f t="shared" si="176"/>
        <v>0</v>
      </c>
    </row>
    <row r="511" spans="1:15" s="18" customFormat="1" hidden="1">
      <c r="A511" s="135" t="s">
        <v>45</v>
      </c>
      <c r="B511" s="45">
        <f>POWER('Data Sheet'!K68/'Data Sheet'!B68,1/9)-1</f>
        <v>0.15448232694239517</v>
      </c>
      <c r="C511" s="45">
        <f>POWER('Data Sheet'!K68/'Data Sheet'!G68,1/4)-1</f>
        <v>7.680288355473186E-2</v>
      </c>
      <c r="D511" s="45">
        <f>POWER('Data Sheet'!K68/'Data Sheet'!I68,1/2)-1</f>
        <v>0.13861637094669721</v>
      </c>
      <c r="E511" s="45">
        <f>('Data Sheet'!K68-'Data Sheet'!J68)/'Data Sheet'!K68</f>
        <v>0.13814665482129446</v>
      </c>
      <c r="F511" s="46"/>
      <c r="G511" s="46"/>
      <c r="H511" s="46"/>
      <c r="I511" s="46"/>
      <c r="J511" s="46"/>
      <c r="K511" s="46"/>
      <c r="L511" s="46"/>
      <c r="M511" s="136">
        <f t="shared" si="174"/>
        <v>2.7676302576799167E-2</v>
      </c>
      <c r="N511" s="32">
        <f t="shared" si="175"/>
        <v>5.5352605153598331E-3</v>
      </c>
      <c r="O511" s="32">
        <f t="shared" si="176"/>
        <v>0</v>
      </c>
    </row>
    <row r="512" spans="1:15" s="18" customFormat="1" hidden="1">
      <c r="A512" s="57" t="s">
        <v>78</v>
      </c>
      <c r="B512" s="45">
        <f>POWER('Data Sheet'!K69/'Data Sheet'!B69,1/9)-1</f>
        <v>0.111081632816592</v>
      </c>
      <c r="C512" s="45">
        <f>POWER('Data Sheet'!K69/'Data Sheet'!G69,1/4)-1</f>
        <v>-1.7820631343778426E-2</v>
      </c>
      <c r="D512" s="45">
        <f>POWER('Data Sheet'!K69/'Data Sheet'!I69,1/2)-1</f>
        <v>5.1029655744458946E-3</v>
      </c>
      <c r="E512" s="45">
        <f>('Data Sheet'!K69-'Data Sheet'!J69)/'Data Sheet'!K69</f>
        <v>0.11741241762053424</v>
      </c>
      <c r="F512" s="46"/>
      <c r="G512" s="46"/>
      <c r="H512" s="46"/>
      <c r="I512" s="46"/>
      <c r="J512" s="46"/>
      <c r="K512" s="46"/>
      <c r="L512" s="46"/>
      <c r="M512" s="136">
        <f t="shared" si="174"/>
        <v>1.2251538319498014E-2</v>
      </c>
      <c r="N512" s="32">
        <f t="shared" si="175"/>
        <v>2.4503076638996029E-3</v>
      </c>
      <c r="O512" s="32">
        <f t="shared" si="176"/>
        <v>0</v>
      </c>
    </row>
    <row r="513" spans="1:15" s="18" customFormat="1" hidden="1">
      <c r="A513" s="57" t="s">
        <v>65</v>
      </c>
      <c r="B513" s="45">
        <f>POWER('Data Sheet'!K70/'Data Sheet'!B70,1/9)-1</f>
        <v>8.0059738892306109E-2</v>
      </c>
      <c r="C513" s="45">
        <f>POWER('Data Sheet'!K70/'Data Sheet'!G70,1/4)-1</f>
        <v>0.18920711500272103</v>
      </c>
      <c r="D513" s="45">
        <f>POWER('Data Sheet'!K70/'Data Sheet'!I70,1/2)-1</f>
        <v>0.41421356237309515</v>
      </c>
      <c r="E513" s="45">
        <f>('Data Sheet'!K70-'Data Sheet'!J70)/'Data Sheet'!K70</f>
        <v>0.5</v>
      </c>
      <c r="F513" s="46"/>
      <c r="G513" s="46"/>
      <c r="H513" s="46"/>
      <c r="I513" s="46"/>
      <c r="J513" s="46"/>
      <c r="K513" s="46"/>
      <c r="L513" s="46"/>
      <c r="M513" s="136">
        <f t="shared" si="174"/>
        <v>9.1421356237309515E-2</v>
      </c>
      <c r="N513" s="32">
        <f t="shared" si="175"/>
        <v>1.8284271247461903E-2</v>
      </c>
      <c r="O513" s="32">
        <f t="shared" si="176"/>
        <v>0</v>
      </c>
    </row>
    <row r="514" spans="1:15" s="18" customFormat="1" hidden="1">
      <c r="A514" s="57" t="s">
        <v>66</v>
      </c>
      <c r="B514" s="45" t="e">
        <f>POWER('Data Sheet'!K71/'Data Sheet'!B71,1/9)-1</f>
        <v>#DIV/0!</v>
      </c>
      <c r="C514" s="45" t="e">
        <f>POWER('Data Sheet'!K71/'Data Sheet'!G71,1/4)-1</f>
        <v>#DIV/0!</v>
      </c>
      <c r="D514" s="45" t="e">
        <f>POWER('Data Sheet'!K71/'Data Sheet'!I71,1/2)-1</f>
        <v>#DIV/0!</v>
      </c>
      <c r="E514" s="45">
        <f>('Data Sheet'!K71-'Data Sheet'!J71)/'Data Sheet'!K71</f>
        <v>1</v>
      </c>
      <c r="F514" s="46"/>
      <c r="G514" s="46"/>
      <c r="H514" s="46"/>
      <c r="I514" s="46"/>
      <c r="J514" s="46"/>
      <c r="K514" s="46"/>
      <c r="L514" s="46"/>
      <c r="M514" s="136" t="e">
        <f t="shared" si="174"/>
        <v>#DIV/0!</v>
      </c>
      <c r="N514" s="32" t="e">
        <f t="shared" si="175"/>
        <v>#DIV/0!</v>
      </c>
      <c r="O514" s="32">
        <f t="shared" si="176"/>
        <v>0</v>
      </c>
    </row>
    <row r="515" spans="1:15" s="18" customFormat="1" hidden="1">
      <c r="A515" s="57" t="s">
        <v>79</v>
      </c>
      <c r="B515" s="45">
        <f>POWER('Data Sheet'!K72/'Data Sheet'!B72,1/9)-1</f>
        <v>-0.22573631731887289</v>
      </c>
      <c r="C515" s="45">
        <f>POWER('Data Sheet'!K72/'Data Sheet'!G72,1/4)-1</f>
        <v>0</v>
      </c>
      <c r="D515" s="45">
        <f>POWER('Data Sheet'!K72/'Data Sheet'!I72,1/2)-1</f>
        <v>0</v>
      </c>
      <c r="E515" s="45">
        <f>('Data Sheet'!K72-'Data Sheet'!J72)/'Data Sheet'!K72</f>
        <v>0</v>
      </c>
      <c r="F515" s="46"/>
      <c r="G515" s="46"/>
      <c r="H515" s="46"/>
      <c r="I515" s="46"/>
      <c r="J515" s="46"/>
      <c r="K515" s="46"/>
      <c r="L515" s="46"/>
      <c r="M515" s="136">
        <f t="shared" si="174"/>
        <v>0</v>
      </c>
      <c r="N515" s="32">
        <f t="shared" si="175"/>
        <v>0</v>
      </c>
      <c r="O515" s="32">
        <f t="shared" si="176"/>
        <v>0</v>
      </c>
    </row>
    <row r="516" spans="1:15" s="18" customFormat="1" hidden="1">
      <c r="A516" s="57"/>
      <c r="B516" s="46"/>
      <c r="C516" s="45"/>
      <c r="D516" s="45"/>
      <c r="E516" s="45"/>
      <c r="F516" s="46"/>
      <c r="G516" s="46"/>
      <c r="H516" s="46"/>
      <c r="I516" s="46"/>
      <c r="J516" s="46"/>
      <c r="K516" s="46"/>
      <c r="L516" s="46"/>
      <c r="M516" s="136">
        <f t="shared" si="174"/>
        <v>0</v>
      </c>
      <c r="N516" s="32">
        <f t="shared" si="175"/>
        <v>0</v>
      </c>
      <c r="O516" s="32">
        <f t="shared" si="176"/>
        <v>0</v>
      </c>
    </row>
    <row r="517" spans="1:15" s="18" customFormat="1" hidden="1">
      <c r="A517" s="138" t="s">
        <v>41</v>
      </c>
      <c r="B517" s="164" t="s">
        <v>81</v>
      </c>
      <c r="C517" s="164" t="s">
        <v>82</v>
      </c>
      <c r="D517" s="138" t="s">
        <v>83</v>
      </c>
      <c r="E517" s="138" t="s">
        <v>84</v>
      </c>
      <c r="F517" s="46"/>
      <c r="G517" s="46"/>
      <c r="H517" s="46"/>
      <c r="I517" s="46"/>
      <c r="J517" s="46"/>
      <c r="K517" s="46"/>
      <c r="L517" s="46"/>
      <c r="M517" s="136">
        <f t="shared" ref="M517:M580" si="193">SUM(D517:K517)/10</f>
        <v>0</v>
      </c>
      <c r="N517" s="32">
        <f t="shared" ref="N517:N580" si="194">SUM(G517:M517)/5</f>
        <v>0</v>
      </c>
      <c r="O517" s="32">
        <f t="shared" ref="O517:O580" si="195">SUM(I517:K517)/3</f>
        <v>0</v>
      </c>
    </row>
    <row r="518" spans="1:15" s="18" customFormat="1" hidden="1">
      <c r="A518" s="163" t="s">
        <v>38</v>
      </c>
      <c r="B518" s="46"/>
      <c r="C518" s="45">
        <f>POWER('Data Sheet'!K81/'Data Sheet'!G81,1/4)-1</f>
        <v>8.7921206565997334E-3</v>
      </c>
      <c r="D518" s="45">
        <f>POWER('Data Sheet'!K81/'Data Sheet'!I81,1/2)-1</f>
        <v>8.7208699046044114E-3</v>
      </c>
      <c r="E518" s="45">
        <f>('Data Sheet'!K81-'Data Sheet'!J81)/'Data Sheet'!K81</f>
        <v>8.6198775317946306E-3</v>
      </c>
      <c r="F518" s="46"/>
      <c r="G518" s="46"/>
      <c r="H518" s="46"/>
      <c r="I518" s="46"/>
      <c r="J518" s="46"/>
      <c r="K518" s="46"/>
      <c r="L518" s="46"/>
      <c r="M518" s="136">
        <f t="shared" si="193"/>
        <v>1.7340747436399042E-3</v>
      </c>
      <c r="N518" s="32">
        <f t="shared" si="194"/>
        <v>3.4681494872798081E-4</v>
      </c>
      <c r="O518" s="32">
        <f t="shared" si="195"/>
        <v>0</v>
      </c>
    </row>
    <row r="519" spans="1:15" s="18" customFormat="1" hidden="1">
      <c r="A519" s="135" t="s">
        <v>32</v>
      </c>
      <c r="B519" s="46"/>
      <c r="C519" s="45">
        <f>POWER('Data Sheet'!K82/'Data Sheet'!G82,1/4)-1</f>
        <v>0.1368661239987925</v>
      </c>
      <c r="D519" s="45">
        <f>POWER('Data Sheet'!K82/'Data Sheet'!I82,1/2)-1</f>
        <v>0.21295966671993449</v>
      </c>
      <c r="E519" s="45">
        <f>('Data Sheet'!K82-'Data Sheet'!J82)/'Data Sheet'!K82</f>
        <v>5.1684424828734005E-2</v>
      </c>
      <c r="F519" s="46"/>
      <c r="G519" s="46"/>
      <c r="H519" s="46"/>
      <c r="I519" s="46"/>
      <c r="J519" s="46"/>
      <c r="K519" s="46"/>
      <c r="L519" s="46"/>
      <c r="M519" s="136">
        <f t="shared" si="193"/>
        <v>2.6464409154866853E-2</v>
      </c>
      <c r="N519" s="32">
        <f t="shared" si="194"/>
        <v>5.292881830973371E-3</v>
      </c>
      <c r="O519" s="32">
        <f t="shared" si="195"/>
        <v>0</v>
      </c>
    </row>
    <row r="520" spans="1:15" s="18" customFormat="1" hidden="1">
      <c r="A520" s="135" t="s">
        <v>33</v>
      </c>
      <c r="B520" s="46"/>
      <c r="C520" s="45">
        <f>POWER('Data Sheet'!K83/'Data Sheet'!G83,1/4)-1</f>
        <v>1.1924912728573669</v>
      </c>
      <c r="D520" s="45">
        <f>POWER('Data Sheet'!K83/'Data Sheet'!I83,1/2)-1</f>
        <v>0.14536411528789972</v>
      </c>
      <c r="E520" s="45">
        <f>('Data Sheet'!K83-'Data Sheet'!J83)/'Data Sheet'!K83</f>
        <v>-0.1479587524300566</v>
      </c>
      <c r="F520" s="46"/>
      <c r="G520" s="46"/>
      <c r="H520" s="46"/>
      <c r="I520" s="46"/>
      <c r="J520" s="46"/>
      <c r="K520" s="46"/>
      <c r="L520" s="46"/>
      <c r="M520" s="136">
        <f t="shared" si="193"/>
        <v>-2.5946371421568803E-4</v>
      </c>
      <c r="N520" s="32">
        <f t="shared" si="194"/>
        <v>-5.1892742843137606E-5</v>
      </c>
      <c r="O520" s="32">
        <f t="shared" si="195"/>
        <v>0</v>
      </c>
    </row>
    <row r="521" spans="1:15" s="18" customFormat="1" hidden="1">
      <c r="A521" s="135" t="s">
        <v>34</v>
      </c>
      <c r="B521" s="46"/>
      <c r="C521" s="45">
        <f>POWER('Data Sheet'!K84/'Data Sheet'!G84,1/4)-1</f>
        <v>-1.4290349586587148E-2</v>
      </c>
      <c r="D521" s="45">
        <f>POWER('Data Sheet'!K84/'Data Sheet'!I84,1/2)-1</f>
        <v>-5.6428990907218757E-2</v>
      </c>
      <c r="E521" s="45">
        <f>('Data Sheet'!K84-'Data Sheet'!J84)/'Data Sheet'!K84</f>
        <v>-2.3976794933205727E-2</v>
      </c>
      <c r="F521" s="46"/>
      <c r="G521" s="46"/>
      <c r="H521" s="46"/>
      <c r="I521" s="46"/>
      <c r="J521" s="46"/>
      <c r="K521" s="46"/>
      <c r="L521" s="46"/>
      <c r="M521" s="136">
        <f t="shared" si="193"/>
        <v>-8.0405785840424494E-3</v>
      </c>
      <c r="N521" s="32">
        <f t="shared" si="194"/>
        <v>-1.60811571680849E-3</v>
      </c>
      <c r="O521" s="32">
        <f t="shared" si="195"/>
        <v>0</v>
      </c>
    </row>
    <row r="522" spans="1:15" s="18" customFormat="1" hidden="1">
      <c r="A522" s="135" t="s">
        <v>35</v>
      </c>
      <c r="B522" s="46"/>
      <c r="C522" s="45" t="e">
        <f>POWER('Data Sheet'!K85/'Data Sheet'!G85,1/4)-1</f>
        <v>#NUM!</v>
      </c>
      <c r="D522" s="45" t="e">
        <f>POWER('Data Sheet'!K85/'Data Sheet'!I85,1/2)-1</f>
        <v>#NUM!</v>
      </c>
      <c r="E522" s="45">
        <f>('Data Sheet'!K85-'Data Sheet'!J85)/'Data Sheet'!K85</f>
        <v>1.3018338014207831</v>
      </c>
      <c r="F522" s="46"/>
      <c r="G522" s="46"/>
      <c r="H522" s="46"/>
      <c r="I522" s="46"/>
      <c r="J522" s="46"/>
      <c r="K522" s="46"/>
      <c r="L522" s="46"/>
      <c r="M522" s="136" t="e">
        <f t="shared" si="193"/>
        <v>#NUM!</v>
      </c>
      <c r="N522" s="32" t="e">
        <f t="shared" si="194"/>
        <v>#NUM!</v>
      </c>
      <c r="O522" s="32">
        <f t="shared" si="195"/>
        <v>0</v>
      </c>
    </row>
    <row r="523" spans="1:15" s="18" customFormat="1" hidden="1">
      <c r="A523" s="135"/>
      <c r="B523" s="46"/>
      <c r="C523" s="45"/>
      <c r="D523" s="45"/>
      <c r="E523" s="45"/>
      <c r="F523" s="46"/>
      <c r="G523" s="46"/>
      <c r="H523" s="46"/>
      <c r="I523" s="46"/>
      <c r="J523" s="46"/>
      <c r="K523" s="46"/>
      <c r="L523" s="46"/>
      <c r="M523" s="136">
        <f t="shared" si="193"/>
        <v>0</v>
      </c>
      <c r="N523" s="32">
        <f t="shared" si="194"/>
        <v>0</v>
      </c>
      <c r="O523" s="32">
        <f t="shared" si="195"/>
        <v>0</v>
      </c>
    </row>
    <row r="524" spans="1:15" s="32" customFormat="1" hidden="1">
      <c r="A524" s="45" t="s">
        <v>209</v>
      </c>
      <c r="B524" s="45">
        <f>'Data Sheet'!B26/'Data Sheet'!B62</f>
        <v>9.1001252310811617E-2</v>
      </c>
      <c r="C524" s="45">
        <f>'Data Sheet'!C26*2/('Data Sheet'!C62+'Data Sheet'!B62)</f>
        <v>0.11050154557353309</v>
      </c>
      <c r="D524" s="45">
        <f>'Data Sheet'!D26*2/('Data Sheet'!D62+'Data Sheet'!C62)</f>
        <v>0.12563983248022334</v>
      </c>
      <c r="E524" s="45">
        <f>'Data Sheet'!E26*2/('Data Sheet'!E62+'Data Sheet'!D62)</f>
        <v>0.17853069758601026</v>
      </c>
      <c r="F524" s="45">
        <f>'Data Sheet'!F26*2/('Data Sheet'!F62+'Data Sheet'!E62)</f>
        <v>0.13645418326693226</v>
      </c>
      <c r="G524" s="45">
        <f>'Data Sheet'!G26*2/('Data Sheet'!G62+'Data Sheet'!F62)</f>
        <v>0.15431723163287339</v>
      </c>
      <c r="H524" s="45">
        <f>'Data Sheet'!H26*2/('Data Sheet'!H62+'Data Sheet'!G62)</f>
        <v>0.16334006129924497</v>
      </c>
      <c r="I524" s="45">
        <f>'Data Sheet'!I26*2/('Data Sheet'!I62+'Data Sheet'!H62)</f>
        <v>0.12132875909965694</v>
      </c>
      <c r="J524" s="45">
        <f>'Data Sheet'!J26*2/('Data Sheet'!J62+'Data Sheet'!I62)</f>
        <v>0.11218027798338678</v>
      </c>
      <c r="K524" s="45">
        <f>'Data Sheet'!K26*2/('Data Sheet'!K62+'Data Sheet'!J62)</f>
        <v>0.12449992177547325</v>
      </c>
      <c r="L524" s="45"/>
      <c r="M524" s="136">
        <f t="shared" si="193"/>
        <v>0.11162909651238011</v>
      </c>
      <c r="N524" s="32">
        <f t="shared" si="194"/>
        <v>0.15745906966060308</v>
      </c>
      <c r="O524" s="32">
        <f t="shared" si="195"/>
        <v>0.11933631961950565</v>
      </c>
    </row>
    <row r="525" spans="1:15" s="50" customFormat="1" hidden="1">
      <c r="A525" s="58" t="s">
        <v>236</v>
      </c>
      <c r="B525" s="58">
        <f t="shared" ref="B525:K525" si="196">B224</f>
        <v>7.7234182121772328</v>
      </c>
      <c r="C525" s="58">
        <f t="shared" si="196"/>
        <v>8.2061878637667434</v>
      </c>
      <c r="D525" s="58">
        <f t="shared" si="196"/>
        <v>9.2782415897955257</v>
      </c>
      <c r="E525" s="58">
        <f t="shared" si="196"/>
        <v>9.3255084584679722</v>
      </c>
      <c r="F525" s="58">
        <f t="shared" si="196"/>
        <v>9.1080478087649404</v>
      </c>
      <c r="G525" s="58">
        <f t="shared" si="196"/>
        <v>10.572673562722043</v>
      </c>
      <c r="H525" s="58">
        <f t="shared" si="196"/>
        <v>11.825558794946549</v>
      </c>
      <c r="I525" s="58">
        <f t="shared" si="196"/>
        <v>8.5559128345506057</v>
      </c>
      <c r="J525" s="58">
        <f t="shared" si="196"/>
        <v>5.9543473222229704</v>
      </c>
      <c r="K525" s="58">
        <f t="shared" si="196"/>
        <v>4.6513309344478468</v>
      </c>
      <c r="L525" s="58"/>
      <c r="M525" s="136">
        <f t="shared" si="193"/>
        <v>6.927162130591844</v>
      </c>
      <c r="N525" s="32">
        <f t="shared" si="194"/>
        <v>9.6973971158963721</v>
      </c>
      <c r="O525" s="32">
        <f t="shared" si="195"/>
        <v>6.3871970304071413</v>
      </c>
    </row>
    <row r="526" spans="1:15" s="32" customFormat="1" hidden="1">
      <c r="A526" s="45" t="s">
        <v>132</v>
      </c>
      <c r="B526" s="45">
        <f t="shared" ref="B526:K526" si="197">B330</f>
        <v>0.12367002795064624</v>
      </c>
      <c r="C526" s="45">
        <f t="shared" si="197"/>
        <v>0.15726424954865684</v>
      </c>
      <c r="D526" s="45">
        <f t="shared" si="197"/>
        <v>0.17124043403095335</v>
      </c>
      <c r="E526" s="45">
        <f t="shared" si="197"/>
        <v>0.21567828134076616</v>
      </c>
      <c r="F526" s="45">
        <f t="shared" si="197"/>
        <v>0.17609749269504663</v>
      </c>
      <c r="G526" s="45">
        <f t="shared" si="197"/>
        <v>0.16577492453299569</v>
      </c>
      <c r="H526" s="45">
        <f t="shared" si="197"/>
        <v>0.15701006065471695</v>
      </c>
      <c r="I526" s="45">
        <f t="shared" si="197"/>
        <v>0.15085181945954101</v>
      </c>
      <c r="J526" s="45">
        <f t="shared" si="197"/>
        <v>0.14037881032863378</v>
      </c>
      <c r="K526" s="45">
        <f t="shared" si="197"/>
        <v>0.13850788868627606</v>
      </c>
      <c r="L526" s="45"/>
      <c r="M526" s="136">
        <f t="shared" si="193"/>
        <v>0.13155397117289297</v>
      </c>
      <c r="N526" s="32">
        <f t="shared" si="194"/>
        <v>0.17681549496701127</v>
      </c>
      <c r="O526" s="32">
        <f t="shared" si="195"/>
        <v>0.14324617282481697</v>
      </c>
    </row>
    <row r="527" spans="1:15" s="32" customFormat="1" hidden="1">
      <c r="A527" s="45" t="s">
        <v>210</v>
      </c>
      <c r="B527" s="45">
        <f>'Data Sheet'!B31/'Data Sheet'!B30</f>
        <v>0.80664294187425856</v>
      </c>
      <c r="C527" s="45">
        <f>'Data Sheet'!C31/'Data Sheet'!C30</f>
        <v>0.7629795865521557</v>
      </c>
      <c r="D527" s="45">
        <f>'Data Sheet'!D31/'Data Sheet'!D30</f>
        <v>0.70288057335814202</v>
      </c>
      <c r="E527" s="45">
        <f>'Data Sheet'!E31/'Data Sheet'!E30</f>
        <v>0.64258375466616269</v>
      </c>
      <c r="F527" s="45">
        <f>'Data Sheet'!F31/'Data Sheet'!F30</f>
        <v>0.74315663967410206</v>
      </c>
      <c r="G527" s="45">
        <f>'Data Sheet'!G31/'Data Sheet'!G30</f>
        <v>0.761484534235223</v>
      </c>
      <c r="H527" s="45">
        <f>'Data Sheet'!H31/'Data Sheet'!H30</f>
        <v>0.76654252642174125</v>
      </c>
      <c r="I527" s="45">
        <f>'Data Sheet'!I31/'Data Sheet'!I30</f>
        <v>0.68012669716783669</v>
      </c>
      <c r="J527" s="45">
        <f>'Data Sheet'!J31/'Data Sheet'!J30</f>
        <v>0.58388493327131563</v>
      </c>
      <c r="K527" s="45">
        <f>'Data Sheet'!K31/'Data Sheet'!K30</f>
        <v>0.47178713292050445</v>
      </c>
      <c r="L527" s="45"/>
      <c r="M527" s="136">
        <f t="shared" si="193"/>
        <v>0.53524467917150287</v>
      </c>
      <c r="N527" s="32">
        <f t="shared" si="194"/>
        <v>0.75981410063762467</v>
      </c>
      <c r="O527" s="32">
        <f t="shared" si="195"/>
        <v>0.57859958778655229</v>
      </c>
    </row>
    <row r="528" spans="1:15" s="32" customFormat="1" hidden="1">
      <c r="A528" s="45" t="s">
        <v>211</v>
      </c>
      <c r="B528" s="45"/>
      <c r="C528" s="136"/>
      <c r="D528" s="45">
        <f>SUM(B524:D524)/3</f>
        <v>0.10904754345485601</v>
      </c>
      <c r="E528" s="45">
        <f t="shared" ref="E528:K528" si="198">SUM(C524:E524)/3</f>
        <v>0.13822402521325558</v>
      </c>
      <c r="F528" s="45">
        <f t="shared" si="198"/>
        <v>0.14687490444438864</v>
      </c>
      <c r="G528" s="45">
        <f t="shared" si="198"/>
        <v>0.15643403749527196</v>
      </c>
      <c r="H528" s="45">
        <f t="shared" si="198"/>
        <v>0.1513704920663502</v>
      </c>
      <c r="I528" s="45">
        <f t="shared" si="198"/>
        <v>0.14632868401059176</v>
      </c>
      <c r="J528" s="45">
        <f t="shared" si="198"/>
        <v>0.13228303279409623</v>
      </c>
      <c r="K528" s="45">
        <f t="shared" si="198"/>
        <v>0.11933631961950565</v>
      </c>
      <c r="L528" s="45"/>
      <c r="M528" s="136">
        <f t="shared" si="193"/>
        <v>0.10998990390983161</v>
      </c>
      <c r="N528" s="32">
        <f t="shared" si="194"/>
        <v>0.16314849397912951</v>
      </c>
      <c r="O528" s="32">
        <f t="shared" si="195"/>
        <v>0.1326493454747312</v>
      </c>
    </row>
    <row r="529" spans="1:15" s="32" customFormat="1" hidden="1">
      <c r="A529" s="45" t="s">
        <v>212</v>
      </c>
      <c r="B529" s="45"/>
      <c r="C529" s="136"/>
      <c r="D529" s="45">
        <f>SUM(B525:D525)/3</f>
        <v>8.4026158885798328</v>
      </c>
      <c r="E529" s="45">
        <f t="shared" ref="E529:K529" si="199">SUM(C525:E525)/3</f>
        <v>8.9366459706767483</v>
      </c>
      <c r="F529" s="45">
        <f t="shared" si="199"/>
        <v>9.2372659523428133</v>
      </c>
      <c r="G529" s="45">
        <f t="shared" si="199"/>
        <v>9.6687432766516519</v>
      </c>
      <c r="H529" s="45">
        <f t="shared" si="199"/>
        <v>10.502093388811177</v>
      </c>
      <c r="I529" s="45">
        <f t="shared" si="199"/>
        <v>10.318048397406399</v>
      </c>
      <c r="J529" s="45">
        <f t="shared" si="199"/>
        <v>8.7786063172400421</v>
      </c>
      <c r="K529" s="45">
        <f t="shared" si="199"/>
        <v>6.3871970304071413</v>
      </c>
      <c r="L529" s="45"/>
      <c r="M529" s="136">
        <f t="shared" si="193"/>
        <v>7.2231216222115808</v>
      </c>
      <c r="N529" s="32">
        <f t="shared" si="194"/>
        <v>10.575562006545599</v>
      </c>
      <c r="O529" s="32">
        <f t="shared" si="195"/>
        <v>8.4946172483511937</v>
      </c>
    </row>
    <row r="530" spans="1:15" s="32" customFormat="1" hidden="1">
      <c r="A530" s="45" t="s">
        <v>213</v>
      </c>
      <c r="B530" s="45"/>
      <c r="C530" s="136"/>
      <c r="D530" s="45">
        <f>SUM(B526:D526)/3</f>
        <v>0.15072490384341883</v>
      </c>
      <c r="E530" s="45">
        <f t="shared" ref="E530:K530" si="200">SUM(C526:E526)/3</f>
        <v>0.18139432164012545</v>
      </c>
      <c r="F530" s="45">
        <f t="shared" si="200"/>
        <v>0.18767206935558869</v>
      </c>
      <c r="G530" s="45">
        <f t="shared" si="200"/>
        <v>0.18585023285626948</v>
      </c>
      <c r="H530" s="45">
        <f t="shared" si="200"/>
        <v>0.16629415929425309</v>
      </c>
      <c r="I530" s="45">
        <f t="shared" si="200"/>
        <v>0.15787893488241789</v>
      </c>
      <c r="J530" s="45">
        <f t="shared" si="200"/>
        <v>0.14941356348096391</v>
      </c>
      <c r="K530" s="45">
        <f t="shared" si="200"/>
        <v>0.14324617282481697</v>
      </c>
      <c r="L530" s="45"/>
      <c r="M530" s="136">
        <f t="shared" si="193"/>
        <v>0.13224743581778542</v>
      </c>
      <c r="N530" s="32">
        <f t="shared" si="194"/>
        <v>0.18698609983130135</v>
      </c>
      <c r="O530" s="32">
        <f t="shared" si="195"/>
        <v>0.15017955706273292</v>
      </c>
    </row>
    <row r="531" spans="1:15" s="32" customFormat="1" hidden="1">
      <c r="A531" s="45" t="s">
        <v>214</v>
      </c>
      <c r="B531" s="45"/>
      <c r="C531" s="136"/>
      <c r="D531" s="45">
        <f>SUM(B527:D527)/3</f>
        <v>0.75750103392818546</v>
      </c>
      <c r="E531" s="45">
        <f t="shared" ref="E531:K531" si="201">SUM(C527:E527)/3</f>
        <v>0.7028146381921534</v>
      </c>
      <c r="F531" s="45">
        <f t="shared" si="201"/>
        <v>0.69620698923280233</v>
      </c>
      <c r="G531" s="45">
        <f t="shared" si="201"/>
        <v>0.71574164285849584</v>
      </c>
      <c r="H531" s="45">
        <f t="shared" si="201"/>
        <v>0.7570612334436887</v>
      </c>
      <c r="I531" s="45">
        <f t="shared" si="201"/>
        <v>0.73605125260826698</v>
      </c>
      <c r="J531" s="45">
        <f t="shared" si="201"/>
        <v>0.6768513856202979</v>
      </c>
      <c r="K531" s="45">
        <f t="shared" si="201"/>
        <v>0.57859958778655229</v>
      </c>
      <c r="L531" s="45"/>
      <c r="M531" s="136">
        <f t="shared" si="193"/>
        <v>0.56208277636704429</v>
      </c>
      <c r="N531" s="32">
        <f t="shared" si="194"/>
        <v>0.80527757573686931</v>
      </c>
      <c r="O531" s="32">
        <f t="shared" si="195"/>
        <v>0.66383407533837246</v>
      </c>
    </row>
    <row r="532" spans="1:15" s="18" customFormat="1" hidden="1">
      <c r="A532" s="46"/>
      <c r="B532" s="46"/>
      <c r="C532" s="69"/>
      <c r="D532" s="46"/>
      <c r="E532" s="46"/>
      <c r="F532" s="46"/>
      <c r="G532" s="46"/>
      <c r="H532" s="46"/>
      <c r="I532" s="46"/>
      <c r="J532" s="46"/>
      <c r="K532" s="46"/>
      <c r="L532" s="46"/>
      <c r="M532" s="136">
        <f t="shared" si="193"/>
        <v>0</v>
      </c>
      <c r="N532" s="32">
        <f t="shared" si="194"/>
        <v>0</v>
      </c>
      <c r="O532" s="32">
        <f t="shared" si="195"/>
        <v>0</v>
      </c>
    </row>
    <row r="533" spans="1:15" s="32" customFormat="1" hidden="1">
      <c r="A533" s="140" t="s">
        <v>197</v>
      </c>
      <c r="B533" s="45"/>
      <c r="C533" s="136"/>
      <c r="D533" s="45">
        <f>((1-D524)+D525*D526*(1-D527))-1</f>
        <v>0.34642651849013228</v>
      </c>
      <c r="E533" s="45">
        <f t="shared" ref="E533:K533" si="202">((1-E524)+E525*E526*(1-E527))-1</f>
        <v>0.5403440410568332</v>
      </c>
      <c r="F533" s="45">
        <f t="shared" si="202"/>
        <v>0.27549800796812751</v>
      </c>
      <c r="G533" s="45">
        <f t="shared" si="202"/>
        <v>0.2637250475984847</v>
      </c>
      <c r="H533" s="45">
        <f t="shared" si="202"/>
        <v>0.27012783135232121</v>
      </c>
      <c r="I533" s="45">
        <f t="shared" si="202"/>
        <v>0.29152372186427922</v>
      </c>
      <c r="J533" s="45">
        <f t="shared" si="202"/>
        <v>0.23563540661986249</v>
      </c>
      <c r="K533" s="45">
        <f t="shared" si="202"/>
        <v>0.21579911941532748</v>
      </c>
      <c r="L533" s="45"/>
      <c r="M533" s="136">
        <f t="shared" si="193"/>
        <v>0.24390796943653678</v>
      </c>
      <c r="N533" s="32">
        <f t="shared" si="194"/>
        <v>0.30414381925736234</v>
      </c>
      <c r="O533" s="32">
        <f t="shared" si="195"/>
        <v>0.24765274929982306</v>
      </c>
    </row>
    <row r="534" spans="1:15" s="18" customFormat="1" hidden="1">
      <c r="A534" s="46" t="s">
        <v>215</v>
      </c>
      <c r="B534" s="46"/>
      <c r="C534" s="69"/>
      <c r="D534" s="45">
        <f>((1-D528)+D529*D530*(1-D531))-1</f>
        <v>0.19807338901323535</v>
      </c>
      <c r="E534" s="45">
        <f t="shared" ref="E534:K534" si="203">((1-E528)+E529*E530*(1-E531))-1</f>
        <v>0.34353033638793473</v>
      </c>
      <c r="F534" s="45">
        <f t="shared" si="203"/>
        <v>0.37977361602545345</v>
      </c>
      <c r="G534" s="45">
        <f t="shared" si="203"/>
        <v>0.35436066010646794</v>
      </c>
      <c r="H534" s="45">
        <f t="shared" si="203"/>
        <v>0.27290670778882431</v>
      </c>
      <c r="I534" s="45">
        <f t="shared" si="203"/>
        <v>0.28364448299947753</v>
      </c>
      <c r="J534" s="45">
        <f t="shared" si="203"/>
        <v>0.29157253747325584</v>
      </c>
      <c r="K534" s="45">
        <f t="shared" si="203"/>
        <v>0.26622041814047503</v>
      </c>
      <c r="L534" s="45"/>
      <c r="M534" s="136">
        <f t="shared" si="193"/>
        <v>0.23900821479351242</v>
      </c>
      <c r="N534" s="32">
        <f t="shared" si="194"/>
        <v>0.34154260426040262</v>
      </c>
      <c r="O534" s="32">
        <f t="shared" si="195"/>
        <v>0.28047914620440278</v>
      </c>
    </row>
    <row r="535" spans="1:15" s="32" customFormat="1" hidden="1">
      <c r="A535" s="46" t="s">
        <v>233</v>
      </c>
      <c r="B535" s="45"/>
      <c r="C535" s="136"/>
      <c r="D535" s="45"/>
      <c r="E535" s="45"/>
      <c r="F535" s="45">
        <f>SUM(D533:F533)/3</f>
        <v>0.38742285583836433</v>
      </c>
      <c r="G535" s="45">
        <f t="shared" ref="G535:K535" si="204">SUM(E533:G533)/3</f>
        <v>0.35985569887448182</v>
      </c>
      <c r="H535" s="45">
        <f t="shared" si="204"/>
        <v>0.26978362897297781</v>
      </c>
      <c r="I535" s="45">
        <f t="shared" si="204"/>
        <v>0.27512553360502839</v>
      </c>
      <c r="J535" s="45">
        <f t="shared" si="204"/>
        <v>0.26576231994548766</v>
      </c>
      <c r="K535" s="45">
        <f t="shared" si="204"/>
        <v>0.24765274929982306</v>
      </c>
      <c r="L535" s="45"/>
      <c r="M535" s="136">
        <f t="shared" si="193"/>
        <v>0.18056027865361632</v>
      </c>
      <c r="N535" s="32">
        <f t="shared" si="194"/>
        <v>0.31974804187028305</v>
      </c>
      <c r="O535" s="32">
        <f t="shared" si="195"/>
        <v>0.26284686761677972</v>
      </c>
    </row>
    <row r="536" spans="1:15" s="18" customFormat="1" ht="18" hidden="1">
      <c r="A536" s="177" t="s">
        <v>316</v>
      </c>
      <c r="C536" s="112"/>
      <c r="M536" s="136">
        <f t="shared" si="193"/>
        <v>0</v>
      </c>
      <c r="N536" s="32">
        <f t="shared" si="194"/>
        <v>0</v>
      </c>
      <c r="O536" s="32">
        <f t="shared" si="195"/>
        <v>0</v>
      </c>
    </row>
    <row r="537" spans="1:15" s="18" customFormat="1" hidden="1">
      <c r="A537" s="155" t="s">
        <v>194</v>
      </c>
      <c r="C537" s="178">
        <f>(C394-B394)/B394</f>
        <v>0.13762218756273453</v>
      </c>
      <c r="D537" s="178">
        <f t="shared" ref="D537:K537" si="205">(D394-C394)/C394</f>
        <v>0.15028709497889195</v>
      </c>
      <c r="E537" s="178">
        <f t="shared" si="205"/>
        <v>0.15792330703736707</v>
      </c>
      <c r="F537" s="178">
        <f t="shared" si="205"/>
        <v>0.16492565453563376</v>
      </c>
      <c r="G537" s="178">
        <f t="shared" si="205"/>
        <v>0.17807901597466455</v>
      </c>
      <c r="H537" s="178">
        <f t="shared" si="205"/>
        <v>0.17472700066462943</v>
      </c>
      <c r="I537" s="178">
        <f t="shared" si="205"/>
        <v>0.13117096159377459</v>
      </c>
      <c r="J537" s="178">
        <f t="shared" si="205"/>
        <v>0.11264358823184246</v>
      </c>
      <c r="K537" s="178">
        <f t="shared" si="205"/>
        <v>4.5291993349975114E-2</v>
      </c>
      <c r="L537" s="178"/>
      <c r="M537" s="136">
        <f t="shared" si="193"/>
        <v>0.1115048616366779</v>
      </c>
      <c r="N537" s="32">
        <f t="shared" si="194"/>
        <v>0.15068348429031284</v>
      </c>
      <c r="O537" s="32">
        <f t="shared" si="195"/>
        <v>9.6368847725197396E-2</v>
      </c>
    </row>
    <row r="538" spans="1:15" s="18" customFormat="1" hidden="1">
      <c r="A538" s="155" t="s">
        <v>312</v>
      </c>
      <c r="C538" s="178">
        <f>C32</f>
        <v>-1.5005359056806063E-2</v>
      </c>
      <c r="D538" s="178">
        <f t="shared" ref="D538:K538" si="206">D32</f>
        <v>0.21218715995647455</v>
      </c>
      <c r="E538" s="178">
        <f t="shared" si="206"/>
        <v>-0.12298025134649919</v>
      </c>
      <c r="F538" s="178">
        <f t="shared" si="206"/>
        <v>6.7072671443193457</v>
      </c>
      <c r="G538" s="178">
        <f t="shared" si="206"/>
        <v>0.15896414342629481</v>
      </c>
      <c r="H538" s="178">
        <f t="shared" si="206"/>
        <v>-6.9439669989687203E-2</v>
      </c>
      <c r="I538" s="178">
        <f t="shared" si="206"/>
        <v>-0.32606821819972909</v>
      </c>
      <c r="J538" s="178">
        <f t="shared" si="206"/>
        <v>0.27242828430476895</v>
      </c>
      <c r="K538" s="178">
        <f t="shared" si="206"/>
        <v>0.4580700746697301</v>
      </c>
      <c r="L538" s="178"/>
      <c r="M538" s="136">
        <f t="shared" si="193"/>
        <v>0.72904286671406993</v>
      </c>
      <c r="N538" s="32">
        <f t="shared" si="194"/>
        <v>0.24459949618508947</v>
      </c>
      <c r="O538" s="32">
        <f t="shared" si="195"/>
        <v>0.13481004692492332</v>
      </c>
    </row>
    <row r="539" spans="1:15" s="18" customFormat="1" hidden="1">
      <c r="A539" s="155" t="s">
        <v>313</v>
      </c>
      <c r="C539" s="178">
        <f>C33</f>
        <v>-5.838416531806296E-2</v>
      </c>
      <c r="D539" s="178">
        <f t="shared" ref="D539:K539" si="207">D33</f>
        <v>8.9635113696456922E-2</v>
      </c>
      <c r="E539" s="178">
        <f t="shared" si="207"/>
        <v>0.34130065518078129</v>
      </c>
      <c r="F539" s="178">
        <f t="shared" si="207"/>
        <v>0.39032112166440519</v>
      </c>
      <c r="G539" s="178">
        <f t="shared" si="207"/>
        <v>0.41626545217957073</v>
      </c>
      <c r="H539" s="178">
        <f t="shared" si="207"/>
        <v>-0.14875045938993015</v>
      </c>
      <c r="I539" s="178">
        <f t="shared" si="207"/>
        <v>0.21824069077172151</v>
      </c>
      <c r="J539" s="178">
        <f t="shared" si="207"/>
        <v>0.11734739080357925</v>
      </c>
      <c r="K539" s="178">
        <f t="shared" si="207"/>
        <v>0.16029021131506974</v>
      </c>
      <c r="L539" s="178"/>
      <c r="M539" s="136">
        <f t="shared" si="193"/>
        <v>0.15846501762216544</v>
      </c>
      <c r="N539" s="32">
        <f t="shared" si="194"/>
        <v>0.18437166066043531</v>
      </c>
      <c r="O539" s="32">
        <f t="shared" si="195"/>
        <v>0.16529276429679016</v>
      </c>
    </row>
    <row r="540" spans="1:15" s="18" customFormat="1" hidden="1">
      <c r="A540" s="155" t="s">
        <v>195</v>
      </c>
      <c r="C540" s="178">
        <f t="shared" ref="C540:K545" si="208">(C395-B395)/B395</f>
        <v>0.53927280772918362</v>
      </c>
      <c r="D540" s="178">
        <f t="shared" si="208"/>
        <v>0.14345263763116298</v>
      </c>
      <c r="E540" s="178">
        <f t="shared" si="208"/>
        <v>0.62514142049025756</v>
      </c>
      <c r="F540" s="178">
        <f t="shared" si="208"/>
        <v>0.23842306105610567</v>
      </c>
      <c r="G540" s="178">
        <f t="shared" si="208"/>
        <v>0.12262913535008634</v>
      </c>
      <c r="H540" s="178">
        <f t="shared" si="208"/>
        <v>0.1370523543702824</v>
      </c>
      <c r="I540" s="178">
        <f t="shared" si="208"/>
        <v>2.4465430346916095E-4</v>
      </c>
      <c r="J540" s="178">
        <f t="shared" si="208"/>
        <v>0.21843916120405707</v>
      </c>
      <c r="K540" s="178">
        <f t="shared" si="208"/>
        <v>5.5298305719868227E-2</v>
      </c>
      <c r="L540" s="178"/>
      <c r="M540" s="136">
        <f t="shared" si="193"/>
        <v>0.15406807301252895</v>
      </c>
      <c r="N540" s="32">
        <f t="shared" si="194"/>
        <v>0.13754633679205847</v>
      </c>
      <c r="O540" s="32">
        <f t="shared" si="195"/>
        <v>9.1327373742464815E-2</v>
      </c>
    </row>
    <row r="541" spans="1:15" s="18" customFormat="1" hidden="1">
      <c r="A541" s="155" t="s">
        <v>311</v>
      </c>
      <c r="C541" s="178">
        <f t="shared" si="208"/>
        <v>0.51508120649651989</v>
      </c>
      <c r="D541" s="178">
        <f t="shared" si="208"/>
        <v>0.14460730693502521</v>
      </c>
      <c r="E541" s="178">
        <f t="shared" si="208"/>
        <v>0.62618501529051984</v>
      </c>
      <c r="F541" s="178">
        <f t="shared" si="208"/>
        <v>0.20956253966761484</v>
      </c>
      <c r="G541" s="178">
        <f t="shared" si="208"/>
        <v>0.12430037313432819</v>
      </c>
      <c r="H541" s="178">
        <f t="shared" si="208"/>
        <v>0.13532807854525356</v>
      </c>
      <c r="I541" s="178">
        <f t="shared" si="208"/>
        <v>1.0962074268053061E-2</v>
      </c>
      <c r="J541" s="178">
        <f t="shared" si="208"/>
        <v>0.23829460399692778</v>
      </c>
      <c r="K541" s="178">
        <f t="shared" si="208"/>
        <v>9.451011870013612E-2</v>
      </c>
      <c r="L541" s="178"/>
      <c r="M541" s="136">
        <f t="shared" si="193"/>
        <v>0.15837501105378585</v>
      </c>
      <c r="N541" s="32">
        <f t="shared" si="194"/>
        <v>0.15235405193969692</v>
      </c>
      <c r="O541" s="32">
        <f t="shared" si="195"/>
        <v>0.11458893232170565</v>
      </c>
    </row>
    <row r="542" spans="1:15" s="18" customFormat="1" hidden="1">
      <c r="A542" s="155" t="s">
        <v>204</v>
      </c>
      <c r="C542" s="178">
        <f t="shared" si="208"/>
        <v>0.53721303345239568</v>
      </c>
      <c r="D542" s="178">
        <f t="shared" si="208"/>
        <v>0.21129185317641699</v>
      </c>
      <c r="E542" s="178">
        <f t="shared" si="208"/>
        <v>0.68817550158781293</v>
      </c>
      <c r="F542" s="178">
        <f t="shared" si="208"/>
        <v>9.8306059793089956E-2</v>
      </c>
      <c r="G542" s="178">
        <f t="shared" si="208"/>
        <v>0.10018151248715401</v>
      </c>
      <c r="H542" s="178">
        <f t="shared" si="208"/>
        <v>0.12270821804437004</v>
      </c>
      <c r="I542" s="178">
        <f t="shared" si="208"/>
        <v>-9.9104461059008903E-3</v>
      </c>
      <c r="J542" s="178">
        <f t="shared" si="208"/>
        <v>0.17681106749046566</v>
      </c>
      <c r="K542" s="178">
        <f t="shared" si="208"/>
        <v>2.5624781475280817E-2</v>
      </c>
      <c r="L542" s="178"/>
      <c r="M542" s="136">
        <f t="shared" si="193"/>
        <v>0.14131885479486891</v>
      </c>
      <c r="N542" s="32">
        <f t="shared" si="194"/>
        <v>0.11134679763724771</v>
      </c>
      <c r="O542" s="32">
        <f t="shared" si="195"/>
        <v>6.4175134286615199E-2</v>
      </c>
    </row>
    <row r="543" spans="1:15" s="18" customFormat="1" hidden="1">
      <c r="A543" s="155" t="s">
        <v>308</v>
      </c>
      <c r="C543" s="178">
        <f t="shared" si="208"/>
        <v>0.10773535878472944</v>
      </c>
      <c r="D543" s="178">
        <f t="shared" ref="D543:K545" si="209">(D398-C398)/C398</f>
        <v>0.1562473974960441</v>
      </c>
      <c r="E543" s="178">
        <f t="shared" si="209"/>
        <v>7.6575873617996768E-2</v>
      </c>
      <c r="F543" s="178">
        <f t="shared" si="209"/>
        <v>0.21048816930933784</v>
      </c>
      <c r="G543" s="178">
        <f t="shared" si="209"/>
        <v>0.2174025184461903</v>
      </c>
      <c r="H543" s="178">
        <f t="shared" si="209"/>
        <v>0.12757263922518153</v>
      </c>
      <c r="I543" s="178">
        <f t="shared" si="209"/>
        <v>0.19963763253254599</v>
      </c>
      <c r="J543" s="178">
        <f t="shared" si="209"/>
        <v>5.9752754936510701E-2</v>
      </c>
      <c r="K543" s="178">
        <f t="shared" si="209"/>
        <v>2.8033486054514955E-2</v>
      </c>
      <c r="L543" s="178"/>
      <c r="M543" s="136">
        <f t="shared" si="193"/>
        <v>0.10757104716183222</v>
      </c>
      <c r="N543" s="32">
        <f t="shared" si="194"/>
        <v>0.14799401567135512</v>
      </c>
      <c r="O543" s="32">
        <f t="shared" si="195"/>
        <v>9.5807957841190547E-2</v>
      </c>
    </row>
    <row r="544" spans="1:15" s="18" customFormat="1" hidden="1">
      <c r="A544" s="155" t="s">
        <v>309</v>
      </c>
      <c r="C544" s="178">
        <f t="shared" si="208"/>
        <v>8.3603867147087368E-2</v>
      </c>
      <c r="D544" s="178">
        <f t="shared" si="209"/>
        <v>0.13308861051210702</v>
      </c>
      <c r="E544" s="178">
        <f t="shared" si="209"/>
        <v>0.10948077984716857</v>
      </c>
      <c r="F544" s="178">
        <f t="shared" si="209"/>
        <v>0.17701977216184372</v>
      </c>
      <c r="G544" s="178">
        <f t="shared" si="209"/>
        <v>0.18204674654295838</v>
      </c>
      <c r="H544" s="178">
        <f t="shared" si="209"/>
        <v>0.11278740364977945</v>
      </c>
      <c r="I544" s="178">
        <f t="shared" si="209"/>
        <v>0.20053790268697605</v>
      </c>
      <c r="J544" s="178">
        <f t="shared" si="209"/>
        <v>0.12316482092033697</v>
      </c>
      <c r="K544" s="178">
        <f t="shared" si="209"/>
        <v>5.7667580332557693E-2</v>
      </c>
      <c r="L544" s="178"/>
      <c r="M544" s="136">
        <f t="shared" si="193"/>
        <v>0.10957936166537278</v>
      </c>
      <c r="N544" s="32">
        <f t="shared" si="194"/>
        <v>0.15715676315959626</v>
      </c>
      <c r="O544" s="32">
        <f t="shared" si="195"/>
        <v>0.12712343464662357</v>
      </c>
    </row>
    <row r="545" spans="1:15" s="18" customFormat="1" hidden="1">
      <c r="A545" s="155" t="s">
        <v>310</v>
      </c>
      <c r="C545" s="178">
        <f t="shared" si="208"/>
        <v>0.44665043391396658</v>
      </c>
      <c r="D545" s="178">
        <f t="shared" si="209"/>
        <v>0.25251391825989389</v>
      </c>
      <c r="E545" s="178">
        <f t="shared" si="209"/>
        <v>0.45841086072634535</v>
      </c>
      <c r="F545" s="178">
        <f t="shared" si="209"/>
        <v>-4.8858857439871492E-2</v>
      </c>
      <c r="G545" s="178">
        <f t="shared" si="209"/>
        <v>0.10902180932982275</v>
      </c>
      <c r="H545" s="178">
        <f t="shared" si="209"/>
        <v>0.11261674916567736</v>
      </c>
      <c r="I545" s="178">
        <f t="shared" si="209"/>
        <v>8.6804227478610982E-2</v>
      </c>
      <c r="J545" s="178">
        <f t="shared" si="209"/>
        <v>3.5397410487710029E-2</v>
      </c>
      <c r="K545" s="178">
        <f t="shared" si="209"/>
        <v>3.1360692690257201E-2</v>
      </c>
      <c r="L545" s="178"/>
      <c r="M545" s="136">
        <f t="shared" si="193"/>
        <v>0.10372668106984459</v>
      </c>
      <c r="N545" s="32">
        <f t="shared" si="194"/>
        <v>9.5785514044384595E-2</v>
      </c>
      <c r="O545" s="32">
        <f t="shared" si="195"/>
        <v>5.1187443552192735E-2</v>
      </c>
    </row>
    <row r="546" spans="1:15" s="18" customFormat="1" hidden="1">
      <c r="A546" s="155"/>
      <c r="C546" s="112"/>
      <c r="M546" s="136">
        <f t="shared" si="193"/>
        <v>0</v>
      </c>
      <c r="N546" s="32">
        <f t="shared" si="194"/>
        <v>0</v>
      </c>
      <c r="O546" s="32">
        <f t="shared" si="195"/>
        <v>0</v>
      </c>
    </row>
    <row r="547" spans="1:15" s="18" customFormat="1" hidden="1">
      <c r="A547" s="155" t="s">
        <v>371</v>
      </c>
      <c r="C547" s="179">
        <f>SUM('Data Sheet'!B30:K30)</f>
        <v>4126.5199999999995</v>
      </c>
      <c r="M547" s="136">
        <f t="shared" si="193"/>
        <v>0</v>
      </c>
      <c r="N547" s="32">
        <f t="shared" si="194"/>
        <v>0</v>
      </c>
      <c r="O547" s="32">
        <f t="shared" si="195"/>
        <v>0</v>
      </c>
    </row>
    <row r="548" spans="1:15" s="18" customFormat="1" hidden="1">
      <c r="A548" s="155" t="s">
        <v>373</v>
      </c>
      <c r="C548" s="179">
        <f>SUM('Data Sheet'!B82:K82)</f>
        <v>4296.4800000000005</v>
      </c>
      <c r="M548" s="136">
        <f t="shared" si="193"/>
        <v>0</v>
      </c>
      <c r="N548" s="32">
        <f t="shared" si="194"/>
        <v>0</v>
      </c>
      <c r="O548" s="32">
        <f t="shared" si="195"/>
        <v>0</v>
      </c>
    </row>
    <row r="549" spans="1:15" s="18" customFormat="1" hidden="1">
      <c r="A549" s="155" t="s">
        <v>374</v>
      </c>
      <c r="C549" s="179">
        <f>SUM('Data Sheet'!B85:K85)</f>
        <v>386.46000000000004</v>
      </c>
      <c r="M549" s="136">
        <f t="shared" si="193"/>
        <v>0</v>
      </c>
      <c r="N549" s="32">
        <f t="shared" si="194"/>
        <v>0</v>
      </c>
      <c r="O549" s="32">
        <f t="shared" si="195"/>
        <v>0</v>
      </c>
    </row>
    <row r="550" spans="1:15" s="18" customFormat="1" hidden="1">
      <c r="A550" s="155" t="s">
        <v>375</v>
      </c>
      <c r="C550" s="179">
        <f>SUM(B312:K312)</f>
        <v>1329.2800000000002</v>
      </c>
      <c r="M550" s="136">
        <f t="shared" si="193"/>
        <v>0</v>
      </c>
      <c r="N550" s="32">
        <f t="shared" si="194"/>
        <v>0</v>
      </c>
      <c r="O550" s="32">
        <f t="shared" si="195"/>
        <v>0</v>
      </c>
    </row>
    <row r="551" spans="1:15" s="18" customFormat="1" hidden="1">
      <c r="A551" s="155" t="s">
        <v>376</v>
      </c>
      <c r="C551" s="180">
        <f>SUM('Data Sheet'!B31:K31)</f>
        <v>2767.45</v>
      </c>
      <c r="M551" s="136">
        <f t="shared" si="193"/>
        <v>0</v>
      </c>
      <c r="N551" s="32">
        <f t="shared" si="194"/>
        <v>0</v>
      </c>
      <c r="O551" s="32">
        <f t="shared" si="195"/>
        <v>0</v>
      </c>
    </row>
    <row r="552" spans="1:15" s="18" customFormat="1" hidden="1">
      <c r="A552" s="155" t="s">
        <v>377</v>
      </c>
      <c r="C552" s="179">
        <f>SUM(B550:C551)</f>
        <v>4096.7299999999996</v>
      </c>
      <c r="M552" s="136">
        <f t="shared" si="193"/>
        <v>0</v>
      </c>
      <c r="N552" s="32">
        <f t="shared" si="194"/>
        <v>0</v>
      </c>
      <c r="O552" s="32">
        <f t="shared" si="195"/>
        <v>0</v>
      </c>
    </row>
    <row r="553" spans="1:15" s="18" customFormat="1" hidden="1">
      <c r="A553" s="155" t="s">
        <v>379</v>
      </c>
      <c r="C553" s="179">
        <f>C567</f>
        <v>8.14</v>
      </c>
      <c r="M553" s="136">
        <f t="shared" si="193"/>
        <v>0</v>
      </c>
      <c r="N553" s="32">
        <f t="shared" si="194"/>
        <v>0</v>
      </c>
      <c r="O553" s="32">
        <f t="shared" si="195"/>
        <v>0</v>
      </c>
    </row>
    <row r="554" spans="1:15" s="18" customFormat="1" hidden="1">
      <c r="A554" s="155"/>
      <c r="C554" s="179"/>
      <c r="M554" s="136">
        <f t="shared" si="193"/>
        <v>0</v>
      </c>
      <c r="N554" s="32">
        <f t="shared" si="194"/>
        <v>0</v>
      </c>
      <c r="O554" s="32">
        <f t="shared" si="195"/>
        <v>0</v>
      </c>
    </row>
    <row r="555" spans="1:15" s="18" customFormat="1" hidden="1">
      <c r="A555" s="155" t="s">
        <v>373</v>
      </c>
      <c r="C555" s="179">
        <f>C548</f>
        <v>4296.4800000000005</v>
      </c>
      <c r="M555" s="136">
        <f t="shared" si="193"/>
        <v>0</v>
      </c>
      <c r="N555" s="32">
        <f t="shared" si="194"/>
        <v>0</v>
      </c>
      <c r="O555" s="32">
        <f t="shared" si="195"/>
        <v>0</v>
      </c>
    </row>
    <row r="556" spans="1:15" s="18" customFormat="1" hidden="1">
      <c r="A556" s="155" t="s">
        <v>377</v>
      </c>
      <c r="C556" s="179">
        <f>C552</f>
        <v>4096.7299999999996</v>
      </c>
      <c r="M556" s="136">
        <f t="shared" si="193"/>
        <v>0</v>
      </c>
      <c r="N556" s="32">
        <f t="shared" si="194"/>
        <v>0</v>
      </c>
      <c r="O556" s="32">
        <f t="shared" si="195"/>
        <v>0</v>
      </c>
    </row>
    <row r="557" spans="1:15" s="18" customFormat="1" hidden="1">
      <c r="A557" s="155" t="s">
        <v>400</v>
      </c>
      <c r="C557" s="179">
        <f>C555-C556</f>
        <v>199.75000000000091</v>
      </c>
      <c r="M557" s="136">
        <f t="shared" si="193"/>
        <v>0</v>
      </c>
      <c r="N557" s="32">
        <f t="shared" si="194"/>
        <v>0</v>
      </c>
      <c r="O557" s="32">
        <f t="shared" si="195"/>
        <v>0</v>
      </c>
    </row>
    <row r="558" spans="1:15" s="18" customFormat="1" hidden="1">
      <c r="A558" s="155" t="s">
        <v>379</v>
      </c>
      <c r="C558" s="179">
        <f>C553</f>
        <v>8.14</v>
      </c>
      <c r="M558" s="136">
        <f t="shared" si="193"/>
        <v>0</v>
      </c>
      <c r="N558" s="32">
        <f t="shared" si="194"/>
        <v>0</v>
      </c>
      <c r="O558" s="32">
        <f t="shared" si="195"/>
        <v>0</v>
      </c>
    </row>
    <row r="559" spans="1:15" s="18" customFormat="1" hidden="1">
      <c r="A559" s="155" t="s">
        <v>401</v>
      </c>
      <c r="C559" s="179">
        <f>C557-C558</f>
        <v>191.61000000000092</v>
      </c>
      <c r="M559" s="136">
        <f t="shared" si="193"/>
        <v>0</v>
      </c>
      <c r="N559" s="32">
        <f t="shared" si="194"/>
        <v>0</v>
      </c>
      <c r="O559" s="32">
        <f t="shared" si="195"/>
        <v>0</v>
      </c>
    </row>
    <row r="560" spans="1:15" s="18" customFormat="1" hidden="1">
      <c r="A560" s="155"/>
      <c r="C560" s="179"/>
      <c r="M560" s="136">
        <f t="shared" si="193"/>
        <v>0</v>
      </c>
      <c r="N560" s="32">
        <f t="shared" si="194"/>
        <v>0</v>
      </c>
      <c r="O560" s="32">
        <f t="shared" si="195"/>
        <v>0</v>
      </c>
    </row>
    <row r="561" spans="1:15" s="18" customFormat="1" hidden="1">
      <c r="A561" s="155" t="s">
        <v>402</v>
      </c>
      <c r="C561" s="179"/>
      <c r="M561" s="136">
        <f t="shared" si="193"/>
        <v>0</v>
      </c>
      <c r="N561" s="32">
        <f t="shared" si="194"/>
        <v>0</v>
      </c>
      <c r="O561" s="32">
        <f t="shared" si="195"/>
        <v>0</v>
      </c>
    </row>
    <row r="562" spans="1:15" s="18" customFormat="1" hidden="1">
      <c r="A562" s="155" t="s">
        <v>403</v>
      </c>
      <c r="C562" s="179">
        <f>('Data Sheet'!K57)-('Data Sheet'!B57)</f>
        <v>-108.79</v>
      </c>
      <c r="M562" s="136">
        <f t="shared" si="193"/>
        <v>0</v>
      </c>
      <c r="N562" s="32">
        <f t="shared" si="194"/>
        <v>0</v>
      </c>
      <c r="O562" s="32">
        <f t="shared" si="195"/>
        <v>0</v>
      </c>
    </row>
    <row r="563" spans="1:15" s="18" customFormat="1" hidden="1">
      <c r="A563" s="155" t="s">
        <v>404</v>
      </c>
      <c r="C563" s="179">
        <f>'Data Sheet'!K59-'Data Sheet'!B59</f>
        <v>-4.28</v>
      </c>
      <c r="M563" s="136">
        <f t="shared" si="193"/>
        <v>0</v>
      </c>
      <c r="N563" s="32">
        <f t="shared" si="194"/>
        <v>0</v>
      </c>
      <c r="O563" s="32">
        <f t="shared" si="195"/>
        <v>0</v>
      </c>
    </row>
    <row r="564" spans="1:15" s="18" customFormat="1" hidden="1">
      <c r="A564" s="155"/>
      <c r="C564" s="179">
        <f>SUM(C562:C563)</f>
        <v>-113.07000000000001</v>
      </c>
      <c r="M564" s="136">
        <f t="shared" si="193"/>
        <v>0</v>
      </c>
      <c r="N564" s="32">
        <f t="shared" si="194"/>
        <v>0</v>
      </c>
      <c r="O564" s="32">
        <f t="shared" si="195"/>
        <v>0</v>
      </c>
    </row>
    <row r="565" spans="1:15" s="18" customFormat="1" hidden="1">
      <c r="A565" s="155"/>
      <c r="C565" s="179"/>
      <c r="M565" s="136">
        <f t="shared" si="193"/>
        <v>0</v>
      </c>
      <c r="N565" s="32">
        <f t="shared" si="194"/>
        <v>0</v>
      </c>
      <c r="O565" s="32">
        <f t="shared" si="195"/>
        <v>0</v>
      </c>
    </row>
    <row r="566" spans="1:15" s="18" customFormat="1" hidden="1">
      <c r="A566" s="155" t="s">
        <v>378</v>
      </c>
      <c r="C566" s="179">
        <f>SUM('Data Sheet'!B26:K26)</f>
        <v>450.05999999999995</v>
      </c>
      <c r="M566" s="136">
        <f t="shared" si="193"/>
        <v>0</v>
      </c>
      <c r="N566" s="32">
        <f t="shared" si="194"/>
        <v>0</v>
      </c>
      <c r="O566" s="32">
        <f t="shared" si="195"/>
        <v>0</v>
      </c>
    </row>
    <row r="567" spans="1:15" s="18" customFormat="1" hidden="1">
      <c r="A567" s="155" t="s">
        <v>379</v>
      </c>
      <c r="C567" s="179">
        <f>SUM('Data Sheet'!B27:K27)</f>
        <v>8.14</v>
      </c>
      <c r="M567" s="136">
        <f t="shared" si="193"/>
        <v>0</v>
      </c>
      <c r="N567" s="32">
        <f t="shared" si="194"/>
        <v>0</v>
      </c>
      <c r="O567" s="32">
        <f t="shared" si="195"/>
        <v>0</v>
      </c>
    </row>
    <row r="568" spans="1:15" s="18" customFormat="1" hidden="1">
      <c r="A568" s="155"/>
      <c r="C568" s="179">
        <f>SUM(C566:C567)</f>
        <v>458.19999999999993</v>
      </c>
      <c r="M568" s="136">
        <f t="shared" si="193"/>
        <v>0</v>
      </c>
      <c r="N568" s="32">
        <f t="shared" si="194"/>
        <v>0</v>
      </c>
      <c r="O568" s="32">
        <f t="shared" si="195"/>
        <v>0</v>
      </c>
    </row>
    <row r="569" spans="1:15" s="18" customFormat="1" hidden="1">
      <c r="A569" s="155"/>
      <c r="C569" s="179"/>
      <c r="M569" s="136">
        <f t="shared" si="193"/>
        <v>0</v>
      </c>
      <c r="N569" s="32">
        <f t="shared" si="194"/>
        <v>0</v>
      </c>
      <c r="O569" s="32">
        <f t="shared" si="195"/>
        <v>0</v>
      </c>
    </row>
    <row r="570" spans="1:15" s="18" customFormat="1" hidden="1">
      <c r="A570" s="155" t="s">
        <v>394</v>
      </c>
      <c r="C570" s="179">
        <f>'Data Sheet'!K67-'Data Sheet'!B67</f>
        <v>92.210000000000008</v>
      </c>
      <c r="M570" s="136">
        <f t="shared" si="193"/>
        <v>0</v>
      </c>
      <c r="N570" s="32">
        <f t="shared" si="194"/>
        <v>0</v>
      </c>
      <c r="O570" s="32">
        <f t="shared" si="195"/>
        <v>0</v>
      </c>
    </row>
    <row r="571" spans="1:15" s="18" customFormat="1" hidden="1">
      <c r="A571" s="155" t="s">
        <v>395</v>
      </c>
      <c r="C571" s="179">
        <f>'Data Sheet'!K68-'Data Sheet'!B68</f>
        <v>212.33000000000004</v>
      </c>
      <c r="M571" s="136">
        <f t="shared" si="193"/>
        <v>0</v>
      </c>
      <c r="N571" s="32">
        <f t="shared" si="194"/>
        <v>0</v>
      </c>
      <c r="O571" s="32">
        <f t="shared" si="195"/>
        <v>0</v>
      </c>
    </row>
    <row r="572" spans="1:15" s="18" customFormat="1" hidden="1">
      <c r="A572" s="155"/>
      <c r="C572" s="179">
        <f>SUM(C570:C571)</f>
        <v>304.54000000000008</v>
      </c>
      <c r="M572" s="136">
        <f t="shared" si="193"/>
        <v>0</v>
      </c>
      <c r="N572" s="32">
        <f t="shared" si="194"/>
        <v>0</v>
      </c>
      <c r="O572" s="32">
        <f t="shared" si="195"/>
        <v>0</v>
      </c>
    </row>
    <row r="573" spans="1:15" s="18" customFormat="1" hidden="1">
      <c r="A573" s="155"/>
      <c r="C573" s="179"/>
      <c r="M573" s="136">
        <f t="shared" si="193"/>
        <v>0</v>
      </c>
      <c r="N573" s="32">
        <f t="shared" si="194"/>
        <v>0</v>
      </c>
      <c r="O573" s="32">
        <f t="shared" si="195"/>
        <v>0</v>
      </c>
    </row>
    <row r="574" spans="1:15" s="18" customFormat="1" hidden="1">
      <c r="A574" s="155" t="s">
        <v>371</v>
      </c>
      <c r="C574" s="179">
        <f>C547</f>
        <v>4126.5199999999995</v>
      </c>
      <c r="M574" s="136">
        <f t="shared" si="193"/>
        <v>0</v>
      </c>
      <c r="N574" s="32">
        <f t="shared" si="194"/>
        <v>0</v>
      </c>
      <c r="O574" s="32">
        <f t="shared" si="195"/>
        <v>0</v>
      </c>
    </row>
    <row r="575" spans="1:15" s="18" customFormat="1" hidden="1">
      <c r="A575" s="155" t="s">
        <v>380</v>
      </c>
      <c r="C575" s="179">
        <f>C568</f>
        <v>458.19999999999993</v>
      </c>
      <c r="M575" s="136">
        <f t="shared" si="193"/>
        <v>0</v>
      </c>
      <c r="N575" s="32">
        <f t="shared" si="194"/>
        <v>0</v>
      </c>
      <c r="O575" s="32">
        <f t="shared" si="195"/>
        <v>0</v>
      </c>
    </row>
    <row r="576" spans="1:15" s="18" customFormat="1" hidden="1">
      <c r="A576" s="155" t="s">
        <v>381</v>
      </c>
      <c r="C576" s="179">
        <f>C572</f>
        <v>304.54000000000008</v>
      </c>
      <c r="M576" s="136">
        <f t="shared" si="193"/>
        <v>0</v>
      </c>
      <c r="N576" s="32">
        <f t="shared" si="194"/>
        <v>0</v>
      </c>
      <c r="O576" s="32">
        <f t="shared" si="195"/>
        <v>0</v>
      </c>
    </row>
    <row r="577" spans="1:15" s="18" customFormat="1" hidden="1">
      <c r="A577" s="155" t="s">
        <v>372</v>
      </c>
      <c r="C577" s="179">
        <f>C574+C575-C576</f>
        <v>4280.1799999999994</v>
      </c>
      <c r="D577" s="18">
        <f>C548</f>
        <v>4296.4800000000005</v>
      </c>
      <c r="M577" s="136">
        <f t="shared" si="193"/>
        <v>429.64800000000002</v>
      </c>
      <c r="N577" s="32">
        <f t="shared" si="194"/>
        <v>85.929600000000008</v>
      </c>
      <c r="O577" s="32">
        <f t="shared" si="195"/>
        <v>0</v>
      </c>
    </row>
    <row r="578" spans="1:15" s="18" customFormat="1" hidden="1">
      <c r="A578" s="155"/>
      <c r="C578" s="179"/>
      <c r="M578" s="136">
        <f t="shared" si="193"/>
        <v>0</v>
      </c>
      <c r="N578" s="32">
        <f t="shared" si="194"/>
        <v>0</v>
      </c>
      <c r="O578" s="32">
        <f t="shared" si="195"/>
        <v>0</v>
      </c>
    </row>
    <row r="579" spans="1:15" s="18" customFormat="1" hidden="1">
      <c r="A579" s="155" t="s">
        <v>346</v>
      </c>
      <c r="C579" s="179">
        <f>SUM('Data Sheet'!G30:K30)</f>
        <v>2618.58</v>
      </c>
      <c r="M579" s="136">
        <f t="shared" si="193"/>
        <v>0</v>
      </c>
      <c r="N579" s="32">
        <f t="shared" si="194"/>
        <v>0</v>
      </c>
      <c r="O579" s="32">
        <f t="shared" si="195"/>
        <v>0</v>
      </c>
    </row>
    <row r="580" spans="1:15" s="18" customFormat="1" hidden="1">
      <c r="A580" s="155" t="s">
        <v>347</v>
      </c>
      <c r="C580" s="179">
        <f>SUM('Data Sheet'!G82:K82)</f>
        <v>2786.2</v>
      </c>
      <c r="M580" s="136">
        <f t="shared" si="193"/>
        <v>0</v>
      </c>
      <c r="N580" s="32">
        <f t="shared" si="194"/>
        <v>0</v>
      </c>
      <c r="O580" s="32">
        <f t="shared" si="195"/>
        <v>0</v>
      </c>
    </row>
    <row r="581" spans="1:15" s="18" customFormat="1" hidden="1">
      <c r="A581" s="155" t="s">
        <v>356</v>
      </c>
      <c r="C581" s="179">
        <f>SUM('Data Sheet'!G85:K85)</f>
        <v>31.800000000000022</v>
      </c>
      <c r="M581" s="136">
        <f t="shared" ref="M581:M644" si="210">SUM(D581:K581)/10</f>
        <v>0</v>
      </c>
      <c r="N581" s="32">
        <f t="shared" ref="N581:N644" si="211">SUM(G581:M581)/5</f>
        <v>0</v>
      </c>
      <c r="O581" s="32">
        <f t="shared" ref="O581:O644" si="212">SUM(I581:K581)/3</f>
        <v>0</v>
      </c>
    </row>
    <row r="582" spans="1:15" s="18" customFormat="1" hidden="1">
      <c r="A582" s="155" t="s">
        <v>348</v>
      </c>
      <c r="C582" s="179">
        <f>SUM(G312:K312)</f>
        <v>1143.44</v>
      </c>
      <c r="M582" s="136">
        <f t="shared" si="210"/>
        <v>0</v>
      </c>
      <c r="N582" s="32">
        <f t="shared" si="211"/>
        <v>0</v>
      </c>
      <c r="O582" s="32">
        <f t="shared" si="212"/>
        <v>0</v>
      </c>
    </row>
    <row r="583" spans="1:15" s="18" customFormat="1" hidden="1">
      <c r="A583" s="155" t="s">
        <v>349</v>
      </c>
      <c r="C583" s="179">
        <f>SUM('Data Sheet'!G31:K31)</f>
        <v>1686.3100000000002</v>
      </c>
      <c r="M583" s="136">
        <f t="shared" si="210"/>
        <v>0</v>
      </c>
      <c r="N583" s="32">
        <f t="shared" si="211"/>
        <v>0</v>
      </c>
      <c r="O583" s="32">
        <f t="shared" si="212"/>
        <v>0</v>
      </c>
    </row>
    <row r="584" spans="1:15" s="18" customFormat="1" hidden="1">
      <c r="A584" s="155" t="s">
        <v>355</v>
      </c>
      <c r="C584" s="179">
        <f>SUM(C582:C583)</f>
        <v>2829.75</v>
      </c>
      <c r="M584" s="136">
        <f t="shared" si="210"/>
        <v>0</v>
      </c>
      <c r="N584" s="32">
        <f t="shared" si="211"/>
        <v>0</v>
      </c>
      <c r="O584" s="32">
        <f t="shared" si="212"/>
        <v>0</v>
      </c>
    </row>
    <row r="585" spans="1:15" s="18" customFormat="1" hidden="1">
      <c r="A585" s="155" t="s">
        <v>405</v>
      </c>
      <c r="C585" s="179">
        <f>C599</f>
        <v>1.51</v>
      </c>
      <c r="M585" s="136">
        <f t="shared" si="210"/>
        <v>0</v>
      </c>
      <c r="N585" s="32">
        <f t="shared" si="211"/>
        <v>0</v>
      </c>
      <c r="O585" s="32">
        <f t="shared" si="212"/>
        <v>0</v>
      </c>
    </row>
    <row r="586" spans="1:15" s="18" customFormat="1" hidden="1">
      <c r="A586" s="155"/>
      <c r="C586" s="179"/>
      <c r="M586" s="136">
        <f t="shared" si="210"/>
        <v>0</v>
      </c>
      <c r="N586" s="32">
        <f t="shared" si="211"/>
        <v>0</v>
      </c>
      <c r="O586" s="32">
        <f t="shared" si="212"/>
        <v>0</v>
      </c>
    </row>
    <row r="587" spans="1:15" s="18" customFormat="1" hidden="1">
      <c r="A587" s="155" t="s">
        <v>347</v>
      </c>
      <c r="C587" s="179">
        <f>C580</f>
        <v>2786.2</v>
      </c>
      <c r="M587" s="136">
        <f t="shared" si="210"/>
        <v>0</v>
      </c>
      <c r="N587" s="32">
        <f t="shared" si="211"/>
        <v>0</v>
      </c>
      <c r="O587" s="32">
        <f t="shared" si="212"/>
        <v>0</v>
      </c>
    </row>
    <row r="588" spans="1:15" s="18" customFormat="1" hidden="1">
      <c r="A588" s="155" t="s">
        <v>355</v>
      </c>
      <c r="C588" s="179">
        <f>C584</f>
        <v>2829.75</v>
      </c>
      <c r="M588" s="136">
        <f t="shared" si="210"/>
        <v>0</v>
      </c>
      <c r="N588" s="32">
        <f t="shared" si="211"/>
        <v>0</v>
      </c>
      <c r="O588" s="32">
        <f t="shared" si="212"/>
        <v>0</v>
      </c>
    </row>
    <row r="589" spans="1:15" s="18" customFormat="1" hidden="1">
      <c r="A589" s="155" t="s">
        <v>400</v>
      </c>
      <c r="C589" s="179">
        <f>C587-C588</f>
        <v>-43.550000000000182</v>
      </c>
      <c r="M589" s="136">
        <f t="shared" si="210"/>
        <v>0</v>
      </c>
      <c r="N589" s="32">
        <f t="shared" si="211"/>
        <v>0</v>
      </c>
      <c r="O589" s="32">
        <f t="shared" si="212"/>
        <v>0</v>
      </c>
    </row>
    <row r="590" spans="1:15" s="18" customFormat="1" hidden="1">
      <c r="A590" s="155" t="s">
        <v>405</v>
      </c>
      <c r="C590" s="179">
        <f>C599</f>
        <v>1.51</v>
      </c>
      <c r="M590" s="136">
        <f t="shared" si="210"/>
        <v>0</v>
      </c>
      <c r="N590" s="32">
        <f t="shared" si="211"/>
        <v>0</v>
      </c>
      <c r="O590" s="32">
        <f t="shared" si="212"/>
        <v>0</v>
      </c>
    </row>
    <row r="591" spans="1:15" s="18" customFormat="1" hidden="1">
      <c r="A591" s="155" t="s">
        <v>401</v>
      </c>
      <c r="C591" s="179">
        <f>C589-C590</f>
        <v>-45.06000000000018</v>
      </c>
      <c r="M591" s="136">
        <f t="shared" si="210"/>
        <v>0</v>
      </c>
      <c r="N591" s="32">
        <f t="shared" si="211"/>
        <v>0</v>
      </c>
      <c r="O591" s="32">
        <f t="shared" si="212"/>
        <v>0</v>
      </c>
    </row>
    <row r="592" spans="1:15" s="18" customFormat="1" hidden="1">
      <c r="A592" s="155"/>
      <c r="C592" s="179"/>
      <c r="M592" s="136">
        <f t="shared" si="210"/>
        <v>0</v>
      </c>
      <c r="N592" s="32">
        <f t="shared" si="211"/>
        <v>0</v>
      </c>
      <c r="O592" s="32">
        <f t="shared" si="212"/>
        <v>0</v>
      </c>
    </row>
    <row r="593" spans="1:15" s="18" customFormat="1" hidden="1">
      <c r="A593" s="155" t="s">
        <v>402</v>
      </c>
      <c r="C593" s="179"/>
      <c r="M593" s="136">
        <f t="shared" si="210"/>
        <v>0</v>
      </c>
      <c r="N593" s="32">
        <f t="shared" si="211"/>
        <v>0</v>
      </c>
      <c r="O593" s="32">
        <f t="shared" si="212"/>
        <v>0</v>
      </c>
    </row>
    <row r="594" spans="1:15" s="18" customFormat="1" hidden="1">
      <c r="A594" s="155" t="s">
        <v>406</v>
      </c>
      <c r="C594" s="179">
        <f>'Data Sheet'!K57-'Data Sheet'!G57</f>
        <v>13.6</v>
      </c>
      <c r="M594" s="136">
        <f t="shared" si="210"/>
        <v>0</v>
      </c>
      <c r="N594" s="32">
        <f t="shared" si="211"/>
        <v>0</v>
      </c>
      <c r="O594" s="32">
        <f t="shared" si="212"/>
        <v>0</v>
      </c>
    </row>
    <row r="595" spans="1:15" s="18" customFormat="1" hidden="1">
      <c r="A595" s="155" t="s">
        <v>407</v>
      </c>
      <c r="C595" s="179">
        <f>'Data Sheet'!K59-'Data Sheet'!G59</f>
        <v>-0.05</v>
      </c>
      <c r="M595" s="136">
        <f t="shared" si="210"/>
        <v>0</v>
      </c>
      <c r="N595" s="32">
        <f t="shared" si="211"/>
        <v>0</v>
      </c>
      <c r="O595" s="32">
        <f t="shared" si="212"/>
        <v>0</v>
      </c>
    </row>
    <row r="596" spans="1:15" s="18" customFormat="1" hidden="1">
      <c r="A596" s="155"/>
      <c r="C596" s="179">
        <f>SUM(C594:C595)</f>
        <v>13.549999999999999</v>
      </c>
      <c r="M596" s="136">
        <f t="shared" si="210"/>
        <v>0</v>
      </c>
      <c r="N596" s="32">
        <f t="shared" si="211"/>
        <v>0</v>
      </c>
      <c r="O596" s="32">
        <f t="shared" si="212"/>
        <v>0</v>
      </c>
    </row>
    <row r="597" spans="1:15" s="18" customFormat="1" hidden="1">
      <c r="A597" s="155"/>
      <c r="C597" s="179"/>
      <c r="M597" s="136">
        <f t="shared" si="210"/>
        <v>0</v>
      </c>
      <c r="N597" s="32">
        <f t="shared" si="211"/>
        <v>0</v>
      </c>
      <c r="O597" s="32">
        <f t="shared" si="212"/>
        <v>0</v>
      </c>
    </row>
    <row r="598" spans="1:15" s="18" customFormat="1" hidden="1">
      <c r="A598" s="155" t="s">
        <v>382</v>
      </c>
      <c r="C598" s="179">
        <f>SUM('Data Sheet'!G26:K26)</f>
        <v>320.18999999999994</v>
      </c>
      <c r="M598" s="136">
        <f t="shared" si="210"/>
        <v>0</v>
      </c>
      <c r="N598" s="32">
        <f t="shared" si="211"/>
        <v>0</v>
      </c>
      <c r="O598" s="32">
        <f t="shared" si="212"/>
        <v>0</v>
      </c>
    </row>
    <row r="599" spans="1:15" s="18" customFormat="1" hidden="1">
      <c r="A599" s="155" t="s">
        <v>383</v>
      </c>
      <c r="C599" s="179">
        <f>SUM('Data Sheet'!G27:K27)</f>
        <v>1.51</v>
      </c>
      <c r="M599" s="136">
        <f t="shared" si="210"/>
        <v>0</v>
      </c>
      <c r="N599" s="32">
        <f t="shared" si="211"/>
        <v>0</v>
      </c>
      <c r="O599" s="32">
        <f t="shared" si="212"/>
        <v>0</v>
      </c>
    </row>
    <row r="600" spans="1:15" s="18" customFormat="1" hidden="1">
      <c r="A600" s="155"/>
      <c r="C600" s="179">
        <f>SUM(C598:C599)</f>
        <v>321.69999999999993</v>
      </c>
      <c r="M600" s="136">
        <f t="shared" si="210"/>
        <v>0</v>
      </c>
      <c r="N600" s="32">
        <f t="shared" si="211"/>
        <v>0</v>
      </c>
      <c r="O600" s="32">
        <f t="shared" si="212"/>
        <v>0</v>
      </c>
    </row>
    <row r="601" spans="1:15" s="18" customFormat="1" hidden="1">
      <c r="A601" s="155"/>
      <c r="C601" s="179"/>
      <c r="M601" s="136">
        <f t="shared" si="210"/>
        <v>0</v>
      </c>
      <c r="N601" s="32">
        <f t="shared" si="211"/>
        <v>0</v>
      </c>
      <c r="O601" s="32">
        <f t="shared" si="212"/>
        <v>0</v>
      </c>
    </row>
    <row r="602" spans="1:15" s="18" customFormat="1" hidden="1">
      <c r="A602" s="155" t="s">
        <v>396</v>
      </c>
      <c r="C602" s="179">
        <f>'Data Sheet'!K67-'Data Sheet'!G67</f>
        <v>14.27000000000001</v>
      </c>
      <c r="M602" s="136">
        <f t="shared" si="210"/>
        <v>0</v>
      </c>
      <c r="N602" s="32">
        <f t="shared" si="211"/>
        <v>0</v>
      </c>
      <c r="O602" s="32">
        <f t="shared" si="212"/>
        <v>0</v>
      </c>
    </row>
    <row r="603" spans="1:15" s="18" customFormat="1" hidden="1">
      <c r="A603" s="155" t="s">
        <v>397</v>
      </c>
      <c r="C603" s="179">
        <f>'Data Sheet'!K68-'Data Sheet'!G68</f>
        <v>74.980000000000018</v>
      </c>
      <c r="M603" s="136">
        <f t="shared" si="210"/>
        <v>0</v>
      </c>
      <c r="N603" s="32">
        <f t="shared" si="211"/>
        <v>0</v>
      </c>
      <c r="O603" s="32">
        <f t="shared" si="212"/>
        <v>0</v>
      </c>
    </row>
    <row r="604" spans="1:15" s="18" customFormat="1" hidden="1">
      <c r="A604" s="155"/>
      <c r="C604" s="179">
        <f>SUM(C602:C603)</f>
        <v>89.250000000000028</v>
      </c>
      <c r="M604" s="136">
        <f t="shared" si="210"/>
        <v>0</v>
      </c>
      <c r="N604" s="32">
        <f t="shared" si="211"/>
        <v>0</v>
      </c>
      <c r="O604" s="32">
        <f t="shared" si="212"/>
        <v>0</v>
      </c>
    </row>
    <row r="605" spans="1:15" s="18" customFormat="1" hidden="1">
      <c r="A605" s="155"/>
      <c r="C605" s="179"/>
      <c r="M605" s="136">
        <f t="shared" si="210"/>
        <v>0</v>
      </c>
      <c r="N605" s="32">
        <f t="shared" si="211"/>
        <v>0</v>
      </c>
      <c r="O605" s="32">
        <f t="shared" si="212"/>
        <v>0</v>
      </c>
    </row>
    <row r="606" spans="1:15" s="18" customFormat="1" hidden="1">
      <c r="A606" s="155" t="s">
        <v>384</v>
      </c>
      <c r="C606" s="179">
        <f>C579</f>
        <v>2618.58</v>
      </c>
      <c r="M606" s="136">
        <f t="shared" si="210"/>
        <v>0</v>
      </c>
      <c r="N606" s="32">
        <f t="shared" si="211"/>
        <v>0</v>
      </c>
      <c r="O606" s="32">
        <f t="shared" si="212"/>
        <v>0</v>
      </c>
    </row>
    <row r="607" spans="1:15" s="18" customFormat="1" hidden="1">
      <c r="A607" s="155" t="s">
        <v>385</v>
      </c>
      <c r="C607" s="179">
        <f>C600</f>
        <v>321.69999999999993</v>
      </c>
      <c r="M607" s="136">
        <f t="shared" si="210"/>
        <v>0</v>
      </c>
      <c r="N607" s="32">
        <f t="shared" si="211"/>
        <v>0</v>
      </c>
      <c r="O607" s="32">
        <f t="shared" si="212"/>
        <v>0</v>
      </c>
    </row>
    <row r="608" spans="1:15" s="18" customFormat="1" hidden="1">
      <c r="A608" s="155" t="s">
        <v>386</v>
      </c>
      <c r="C608" s="179">
        <f>C604</f>
        <v>89.250000000000028</v>
      </c>
      <c r="M608" s="136">
        <f t="shared" si="210"/>
        <v>0</v>
      </c>
      <c r="N608" s="32">
        <f t="shared" si="211"/>
        <v>0</v>
      </c>
      <c r="O608" s="32">
        <f t="shared" si="212"/>
        <v>0</v>
      </c>
    </row>
    <row r="609" spans="1:15" s="18" customFormat="1" hidden="1">
      <c r="A609" s="155" t="s">
        <v>387</v>
      </c>
      <c r="C609" s="179">
        <f>C606+C607-C608</f>
        <v>2851.0299999999997</v>
      </c>
      <c r="D609" s="18">
        <f>C580</f>
        <v>2786.2</v>
      </c>
      <c r="M609" s="136">
        <f t="shared" si="210"/>
        <v>278.62</v>
      </c>
      <c r="N609" s="32">
        <f t="shared" si="211"/>
        <v>55.724000000000004</v>
      </c>
      <c r="O609" s="32">
        <f t="shared" si="212"/>
        <v>0</v>
      </c>
    </row>
    <row r="610" spans="1:15" s="18" customFormat="1" hidden="1">
      <c r="A610" s="155"/>
      <c r="C610" s="179"/>
      <c r="M610" s="136">
        <f t="shared" si="210"/>
        <v>0</v>
      </c>
      <c r="N610" s="32">
        <f t="shared" si="211"/>
        <v>0</v>
      </c>
      <c r="O610" s="32">
        <f t="shared" si="212"/>
        <v>0</v>
      </c>
    </row>
    <row r="611" spans="1:15" s="18" customFormat="1" hidden="1">
      <c r="A611" s="155" t="s">
        <v>350</v>
      </c>
      <c r="C611" s="179">
        <f>SUM('Data Sheet'!I30:K30)</f>
        <v>1675.36</v>
      </c>
      <c r="M611" s="136">
        <f t="shared" si="210"/>
        <v>0</v>
      </c>
      <c r="N611" s="32">
        <f t="shared" si="211"/>
        <v>0</v>
      </c>
      <c r="O611" s="32">
        <f t="shared" si="212"/>
        <v>0</v>
      </c>
    </row>
    <row r="612" spans="1:15" s="18" customFormat="1" hidden="1">
      <c r="A612" s="155" t="s">
        <v>351</v>
      </c>
      <c r="C612" s="180">
        <f>SUM('Data Sheet'!I82:K82)</f>
        <v>1768.46</v>
      </c>
      <c r="M612" s="136">
        <f t="shared" si="210"/>
        <v>0</v>
      </c>
      <c r="N612" s="32">
        <f t="shared" si="211"/>
        <v>0</v>
      </c>
      <c r="O612" s="32">
        <f t="shared" si="212"/>
        <v>0</v>
      </c>
    </row>
    <row r="613" spans="1:15" s="18" customFormat="1" hidden="1">
      <c r="A613" s="155" t="s">
        <v>357</v>
      </c>
      <c r="C613" s="180">
        <f>SUM('Data Sheet'!I85:K85)</f>
        <v>-102.80000000000001</v>
      </c>
      <c r="M613" s="136">
        <f t="shared" si="210"/>
        <v>0</v>
      </c>
      <c r="N613" s="32">
        <f t="shared" si="211"/>
        <v>0</v>
      </c>
      <c r="O613" s="32">
        <f t="shared" si="212"/>
        <v>0</v>
      </c>
    </row>
    <row r="614" spans="1:15" s="18" customFormat="1" hidden="1">
      <c r="A614" s="155" t="s">
        <v>352</v>
      </c>
      <c r="C614" s="181">
        <f>SUM(I312:K312)</f>
        <v>941.07</v>
      </c>
      <c r="M614" s="136">
        <f t="shared" si="210"/>
        <v>0</v>
      </c>
      <c r="N614" s="32">
        <f t="shared" si="211"/>
        <v>0</v>
      </c>
      <c r="O614" s="32">
        <f t="shared" si="212"/>
        <v>0</v>
      </c>
    </row>
    <row r="615" spans="1:15" s="18" customFormat="1" hidden="1">
      <c r="A615" s="155" t="s">
        <v>353</v>
      </c>
      <c r="C615" s="180">
        <f>SUM('Data Sheet'!I31:K31)</f>
        <v>965.55</v>
      </c>
      <c r="D615" s="53"/>
      <c r="M615" s="136">
        <f t="shared" si="210"/>
        <v>0</v>
      </c>
      <c r="N615" s="32">
        <f t="shared" si="211"/>
        <v>0</v>
      </c>
      <c r="O615" s="32">
        <f t="shared" si="212"/>
        <v>0</v>
      </c>
    </row>
    <row r="616" spans="1:15" s="18" customFormat="1" hidden="1">
      <c r="A616" s="155" t="s">
        <v>354</v>
      </c>
      <c r="C616" s="182">
        <f>SUM(C614:C615)</f>
        <v>1906.62</v>
      </c>
      <c r="M616" s="136">
        <f t="shared" si="210"/>
        <v>0</v>
      </c>
      <c r="N616" s="32">
        <f t="shared" si="211"/>
        <v>0</v>
      </c>
      <c r="O616" s="32">
        <f t="shared" si="212"/>
        <v>0</v>
      </c>
    </row>
    <row r="617" spans="1:15" s="18" customFormat="1" hidden="1">
      <c r="A617" s="155" t="s">
        <v>389</v>
      </c>
      <c r="C617" s="182">
        <f>C631</f>
        <v>0</v>
      </c>
      <c r="M617" s="136">
        <f t="shared" si="210"/>
        <v>0</v>
      </c>
      <c r="N617" s="32">
        <f t="shared" si="211"/>
        <v>0</v>
      </c>
      <c r="O617" s="32">
        <f t="shared" si="212"/>
        <v>0</v>
      </c>
    </row>
    <row r="618" spans="1:15" s="18" customFormat="1" hidden="1">
      <c r="A618" s="155"/>
      <c r="C618" s="182"/>
      <c r="M618" s="136">
        <f t="shared" si="210"/>
        <v>0</v>
      </c>
      <c r="N618" s="32">
        <f t="shared" si="211"/>
        <v>0</v>
      </c>
      <c r="O618" s="32">
        <f t="shared" si="212"/>
        <v>0</v>
      </c>
    </row>
    <row r="619" spans="1:15" s="18" customFormat="1" hidden="1">
      <c r="A619" s="155" t="s">
        <v>408</v>
      </c>
      <c r="C619" s="182">
        <f>C612</f>
        <v>1768.46</v>
      </c>
      <c r="M619" s="136">
        <f t="shared" si="210"/>
        <v>0</v>
      </c>
      <c r="N619" s="32">
        <f t="shared" si="211"/>
        <v>0</v>
      </c>
      <c r="O619" s="32">
        <f t="shared" si="212"/>
        <v>0</v>
      </c>
    </row>
    <row r="620" spans="1:15" s="18" customFormat="1" hidden="1">
      <c r="A620" s="155" t="s">
        <v>354</v>
      </c>
      <c r="C620" s="182">
        <f>C616</f>
        <v>1906.62</v>
      </c>
      <c r="M620" s="136">
        <f t="shared" si="210"/>
        <v>0</v>
      </c>
      <c r="N620" s="32">
        <f t="shared" si="211"/>
        <v>0</v>
      </c>
      <c r="O620" s="32">
        <f t="shared" si="212"/>
        <v>0</v>
      </c>
    </row>
    <row r="621" spans="1:15" s="18" customFormat="1" hidden="1">
      <c r="A621" s="155" t="s">
        <v>400</v>
      </c>
      <c r="C621" s="182">
        <f>C619-C620</f>
        <v>-138.15999999999985</v>
      </c>
      <c r="M621" s="136">
        <f t="shared" si="210"/>
        <v>0</v>
      </c>
      <c r="N621" s="32">
        <f t="shared" si="211"/>
        <v>0</v>
      </c>
      <c r="O621" s="32">
        <f t="shared" si="212"/>
        <v>0</v>
      </c>
    </row>
    <row r="622" spans="1:15" s="18" customFormat="1" hidden="1">
      <c r="A622" s="155" t="s">
        <v>389</v>
      </c>
      <c r="C622" s="182">
        <f>C617</f>
        <v>0</v>
      </c>
      <c r="M622" s="136">
        <f t="shared" si="210"/>
        <v>0</v>
      </c>
      <c r="N622" s="32">
        <f t="shared" si="211"/>
        <v>0</v>
      </c>
      <c r="O622" s="32">
        <f t="shared" si="212"/>
        <v>0</v>
      </c>
    </row>
    <row r="623" spans="1:15" s="18" customFormat="1" hidden="1">
      <c r="A623" s="155" t="s">
        <v>401</v>
      </c>
      <c r="C623" s="182">
        <f>C621-C622</f>
        <v>-138.15999999999985</v>
      </c>
      <c r="M623" s="136">
        <f t="shared" si="210"/>
        <v>0</v>
      </c>
      <c r="N623" s="32">
        <f t="shared" si="211"/>
        <v>0</v>
      </c>
      <c r="O623" s="32">
        <f t="shared" si="212"/>
        <v>0</v>
      </c>
    </row>
    <row r="624" spans="1:15" s="18" customFormat="1" hidden="1">
      <c r="A624" s="155"/>
      <c r="C624" s="182"/>
      <c r="M624" s="136">
        <f t="shared" si="210"/>
        <v>0</v>
      </c>
      <c r="N624" s="32">
        <f t="shared" si="211"/>
        <v>0</v>
      </c>
      <c r="O624" s="32">
        <f t="shared" si="212"/>
        <v>0</v>
      </c>
    </row>
    <row r="625" spans="1:15" s="18" customFormat="1" hidden="1">
      <c r="A625" s="155" t="s">
        <v>402</v>
      </c>
      <c r="C625" s="182"/>
      <c r="M625" s="136">
        <f t="shared" si="210"/>
        <v>0</v>
      </c>
      <c r="N625" s="32">
        <f t="shared" si="211"/>
        <v>0</v>
      </c>
      <c r="O625" s="32">
        <f t="shared" si="212"/>
        <v>0</v>
      </c>
    </row>
    <row r="626" spans="1:15" s="18" customFormat="1" hidden="1">
      <c r="A626" s="155" t="s">
        <v>409</v>
      </c>
      <c r="C626" s="182">
        <f>'Data Sheet'!K57-'Data Sheet'!I57</f>
        <v>13.6</v>
      </c>
      <c r="M626" s="136">
        <f t="shared" si="210"/>
        <v>0</v>
      </c>
      <c r="N626" s="32">
        <f t="shared" si="211"/>
        <v>0</v>
      </c>
      <c r="O626" s="32">
        <f t="shared" si="212"/>
        <v>0</v>
      </c>
    </row>
    <row r="627" spans="1:15" s="18" customFormat="1" hidden="1">
      <c r="A627" s="155" t="s">
        <v>410</v>
      </c>
      <c r="C627" s="182">
        <f>'Data Sheet'!K59-'Data Sheet'!I59</f>
        <v>0</v>
      </c>
      <c r="M627" s="136">
        <f t="shared" si="210"/>
        <v>0</v>
      </c>
      <c r="N627" s="32">
        <f t="shared" si="211"/>
        <v>0</v>
      </c>
      <c r="O627" s="32">
        <f t="shared" si="212"/>
        <v>0</v>
      </c>
    </row>
    <row r="628" spans="1:15" s="18" customFormat="1" hidden="1">
      <c r="A628" s="155"/>
      <c r="C628" s="182">
        <f>C626+C627</f>
        <v>13.6</v>
      </c>
      <c r="M628" s="136">
        <f t="shared" si="210"/>
        <v>0</v>
      </c>
      <c r="N628" s="32">
        <f t="shared" si="211"/>
        <v>0</v>
      </c>
      <c r="O628" s="32">
        <f t="shared" si="212"/>
        <v>0</v>
      </c>
    </row>
    <row r="629" spans="1:15" s="18" customFormat="1" hidden="1">
      <c r="A629" s="155"/>
      <c r="C629" s="182"/>
      <c r="M629" s="136">
        <f t="shared" si="210"/>
        <v>0</v>
      </c>
      <c r="N629" s="32">
        <f t="shared" si="211"/>
        <v>0</v>
      </c>
      <c r="O629" s="32">
        <f t="shared" si="212"/>
        <v>0</v>
      </c>
    </row>
    <row r="630" spans="1:15" s="18" customFormat="1" hidden="1">
      <c r="A630" s="155" t="s">
        <v>388</v>
      </c>
      <c r="C630" s="156">
        <f>SUM('Data Sheet'!I26:K26)</f>
        <v>237.18</v>
      </c>
      <c r="D630" s="156"/>
      <c r="M630" s="136">
        <f t="shared" si="210"/>
        <v>0</v>
      </c>
      <c r="N630" s="32">
        <f t="shared" si="211"/>
        <v>0</v>
      </c>
      <c r="O630" s="32">
        <f t="shared" si="212"/>
        <v>0</v>
      </c>
    </row>
    <row r="631" spans="1:15" s="18" customFormat="1" hidden="1">
      <c r="A631" s="155" t="s">
        <v>389</v>
      </c>
      <c r="C631" s="156">
        <f>SUM('Data Sheet'!I27:K27)</f>
        <v>0</v>
      </c>
      <c r="D631" s="156"/>
      <c r="M631" s="136">
        <f t="shared" si="210"/>
        <v>0</v>
      </c>
      <c r="N631" s="32">
        <f t="shared" si="211"/>
        <v>0</v>
      </c>
      <c r="O631" s="32">
        <f t="shared" si="212"/>
        <v>0</v>
      </c>
    </row>
    <row r="632" spans="1:15" s="18" customFormat="1" hidden="1">
      <c r="A632" s="155"/>
      <c r="C632" s="156">
        <f>SUM(C630:C631)</f>
        <v>237.18</v>
      </c>
      <c r="D632" s="156"/>
      <c r="M632" s="136">
        <f t="shared" si="210"/>
        <v>0</v>
      </c>
      <c r="N632" s="32">
        <f t="shared" si="211"/>
        <v>0</v>
      </c>
      <c r="O632" s="32">
        <f t="shared" si="212"/>
        <v>0</v>
      </c>
    </row>
    <row r="633" spans="1:15" s="18" customFormat="1" hidden="1">
      <c r="A633" s="155"/>
      <c r="C633" s="156"/>
      <c r="D633" s="156"/>
      <c r="M633" s="136">
        <f t="shared" si="210"/>
        <v>0</v>
      </c>
      <c r="N633" s="32">
        <f t="shared" si="211"/>
        <v>0</v>
      </c>
      <c r="O633" s="32">
        <f t="shared" si="212"/>
        <v>0</v>
      </c>
    </row>
    <row r="634" spans="1:15" s="18" customFormat="1" hidden="1">
      <c r="A634" s="155" t="s">
        <v>398</v>
      </c>
      <c r="C634" s="156">
        <f>'Data Sheet'!K67-'Data Sheet'!I67</f>
        <v>46.810000000000009</v>
      </c>
      <c r="D634" s="156"/>
      <c r="M634" s="136">
        <f t="shared" si="210"/>
        <v>0</v>
      </c>
      <c r="N634" s="32">
        <f t="shared" si="211"/>
        <v>0</v>
      </c>
      <c r="O634" s="32">
        <f t="shared" si="212"/>
        <v>0</v>
      </c>
    </row>
    <row r="635" spans="1:15" s="18" customFormat="1" hidden="1">
      <c r="A635" s="155" t="s">
        <v>399</v>
      </c>
      <c r="C635" s="156">
        <f>'Data Sheet'!K68-'Data Sheet'!I68</f>
        <v>66.920000000000016</v>
      </c>
      <c r="D635" s="156"/>
      <c r="M635" s="136">
        <f t="shared" si="210"/>
        <v>0</v>
      </c>
      <c r="N635" s="32">
        <f t="shared" si="211"/>
        <v>0</v>
      </c>
      <c r="O635" s="32">
        <f t="shared" si="212"/>
        <v>0</v>
      </c>
    </row>
    <row r="636" spans="1:15" s="18" customFormat="1" hidden="1">
      <c r="A636" s="155"/>
      <c r="C636" s="156">
        <f>SUM(C634:C635)</f>
        <v>113.73000000000002</v>
      </c>
      <c r="D636" s="156"/>
      <c r="M636" s="136">
        <f t="shared" si="210"/>
        <v>0</v>
      </c>
      <c r="N636" s="32">
        <f t="shared" si="211"/>
        <v>0</v>
      </c>
      <c r="O636" s="32">
        <f t="shared" si="212"/>
        <v>0</v>
      </c>
    </row>
    <row r="637" spans="1:15" s="18" customFormat="1" hidden="1">
      <c r="A637" s="155"/>
      <c r="C637" s="156"/>
      <c r="D637" s="156"/>
      <c r="M637" s="136">
        <f t="shared" si="210"/>
        <v>0</v>
      </c>
      <c r="N637" s="32">
        <f t="shared" si="211"/>
        <v>0</v>
      </c>
      <c r="O637" s="32">
        <f t="shared" si="212"/>
        <v>0</v>
      </c>
    </row>
    <row r="638" spans="1:15" s="18" customFormat="1" hidden="1">
      <c r="A638" s="155" t="s">
        <v>390</v>
      </c>
      <c r="C638" s="156">
        <f>C611</f>
        <v>1675.36</v>
      </c>
      <c r="D638" s="156"/>
      <c r="M638" s="136">
        <f t="shared" si="210"/>
        <v>0</v>
      </c>
      <c r="N638" s="32">
        <f t="shared" si="211"/>
        <v>0</v>
      </c>
      <c r="O638" s="32">
        <f t="shared" si="212"/>
        <v>0</v>
      </c>
    </row>
    <row r="639" spans="1:15" s="18" customFormat="1" hidden="1">
      <c r="A639" s="155" t="s">
        <v>391</v>
      </c>
      <c r="C639" s="156">
        <f>C632</f>
        <v>237.18</v>
      </c>
      <c r="D639" s="156"/>
      <c r="M639" s="136">
        <f t="shared" si="210"/>
        <v>0</v>
      </c>
      <c r="N639" s="32">
        <f t="shared" si="211"/>
        <v>0</v>
      </c>
      <c r="O639" s="32">
        <f t="shared" si="212"/>
        <v>0</v>
      </c>
    </row>
    <row r="640" spans="1:15" s="18" customFormat="1" hidden="1">
      <c r="A640" s="155" t="s">
        <v>392</v>
      </c>
      <c r="C640" s="156">
        <f>C636</f>
        <v>113.73000000000002</v>
      </c>
      <c r="D640" s="156"/>
      <c r="M640" s="136">
        <f t="shared" si="210"/>
        <v>0</v>
      </c>
      <c r="N640" s="32">
        <f t="shared" si="211"/>
        <v>0</v>
      </c>
      <c r="O640" s="32">
        <f t="shared" si="212"/>
        <v>0</v>
      </c>
    </row>
    <row r="641" spans="1:19" s="18" customFormat="1" hidden="1">
      <c r="A641" s="155" t="s">
        <v>393</v>
      </c>
      <c r="C641" s="156">
        <f>C638+C639-C640</f>
        <v>1798.81</v>
      </c>
      <c r="D641" s="157">
        <f>C612</f>
        <v>1768.46</v>
      </c>
      <c r="M641" s="136">
        <f t="shared" si="210"/>
        <v>176.846</v>
      </c>
      <c r="N641" s="32">
        <f t="shared" si="211"/>
        <v>35.369199999999999</v>
      </c>
      <c r="O641" s="32">
        <f t="shared" si="212"/>
        <v>0</v>
      </c>
    </row>
    <row r="642" spans="1:19" s="18" customFormat="1" hidden="1">
      <c r="A642" s="155"/>
      <c r="C642" s="112"/>
      <c r="M642" s="136">
        <f t="shared" si="210"/>
        <v>0</v>
      </c>
      <c r="N642" s="32">
        <f t="shared" si="211"/>
        <v>0</v>
      </c>
      <c r="O642" s="32">
        <f t="shared" si="212"/>
        <v>0</v>
      </c>
    </row>
    <row r="643" spans="1:19" s="18" customFormat="1" hidden="1">
      <c r="A643" s="155"/>
      <c r="C643" s="112"/>
      <c r="M643" s="136">
        <f t="shared" si="210"/>
        <v>0</v>
      </c>
      <c r="N643" s="32">
        <f t="shared" si="211"/>
        <v>0</v>
      </c>
      <c r="O643" s="32">
        <f t="shared" si="212"/>
        <v>0</v>
      </c>
    </row>
    <row r="644" spans="1:19" s="184" customFormat="1" hidden="1">
      <c r="A644" s="183" t="str">
        <f>A1</f>
        <v>COLGATE-PALMOLIVE (INDIA) LTD</v>
      </c>
      <c r="B644" s="183">
        <f t="shared" ref="B644:K644" si="213">B1</f>
        <v>39172</v>
      </c>
      <c r="C644" s="183">
        <f t="shared" si="213"/>
        <v>39538</v>
      </c>
      <c r="D644" s="183">
        <f t="shared" si="213"/>
        <v>39903</v>
      </c>
      <c r="E644" s="183">
        <f t="shared" si="213"/>
        <v>40268</v>
      </c>
      <c r="F644" s="183">
        <f t="shared" si="213"/>
        <v>40633</v>
      </c>
      <c r="G644" s="183">
        <f t="shared" si="213"/>
        <v>40999</v>
      </c>
      <c r="H644" s="183">
        <f t="shared" si="213"/>
        <v>41364</v>
      </c>
      <c r="I644" s="183">
        <f t="shared" si="213"/>
        <v>41729</v>
      </c>
      <c r="J644" s="183">
        <f t="shared" si="213"/>
        <v>42094</v>
      </c>
      <c r="K644" s="183">
        <f t="shared" si="213"/>
        <v>42460</v>
      </c>
      <c r="L644" s="183"/>
      <c r="M644" s="136">
        <f t="shared" si="210"/>
        <v>32945</v>
      </c>
      <c r="N644" s="32">
        <f t="shared" si="211"/>
        <v>48318.2</v>
      </c>
      <c r="O644" s="32">
        <f t="shared" si="212"/>
        <v>42094.333333333336</v>
      </c>
      <c r="P644" s="18" t="s">
        <v>411</v>
      </c>
      <c r="Q644" s="18" t="s">
        <v>412</v>
      </c>
      <c r="R644" s="18" t="s">
        <v>413</v>
      </c>
      <c r="S644" s="18" t="s">
        <v>414</v>
      </c>
    </row>
    <row r="645" spans="1:19" s="18" customFormat="1" hidden="1">
      <c r="A645" s="57" t="s">
        <v>6</v>
      </c>
      <c r="B645" s="143">
        <f>'Profit &amp; Loss'!B4</f>
        <v>1295.1400000000001</v>
      </c>
      <c r="C645" s="143">
        <f>'Profit &amp; Loss'!C4</f>
        <v>1473.38</v>
      </c>
      <c r="D645" s="143">
        <f>'Profit &amp; Loss'!D4</f>
        <v>1694.81</v>
      </c>
      <c r="E645" s="143">
        <f>'Profit &amp; Loss'!E4</f>
        <v>1962.46</v>
      </c>
      <c r="F645" s="143">
        <f>'Profit &amp; Loss'!F4</f>
        <v>2286.12</v>
      </c>
      <c r="G645" s="143">
        <f>'Profit &amp; Loss'!G4</f>
        <v>2693.23</v>
      </c>
      <c r="H645" s="143">
        <f>'Profit &amp; Loss'!H4</f>
        <v>3163.81</v>
      </c>
      <c r="I645" s="143">
        <f>'Profit &amp; Loss'!I4</f>
        <v>3578.81</v>
      </c>
      <c r="J645" s="143">
        <f>'Profit &amp; Loss'!J4</f>
        <v>3981.94</v>
      </c>
      <c r="K645" s="143">
        <f>'Profit &amp; Loss'!K4</f>
        <v>4162.29</v>
      </c>
      <c r="L645" s="143"/>
      <c r="M645" s="136">
        <f t="shared" ref="M645:M708" si="214">SUM(D645:K645)/10</f>
        <v>2352.3469999999998</v>
      </c>
      <c r="N645" s="32">
        <f t="shared" ref="N645:N708" si="215">SUM(G645:M645)/5</f>
        <v>3986.4854000000005</v>
      </c>
      <c r="O645" s="32">
        <f t="shared" ref="O645:O708" si="216">SUM(I645:K645)/3</f>
        <v>3907.6800000000003</v>
      </c>
    </row>
    <row r="646" spans="1:19" ht="18" hidden="1">
      <c r="A646" s="118" t="s">
        <v>133</v>
      </c>
      <c r="B646" s="33"/>
      <c r="C646" s="36"/>
      <c r="D646" s="33"/>
      <c r="E646" s="33"/>
      <c r="F646" s="33"/>
      <c r="G646" s="33"/>
      <c r="H646" s="33"/>
      <c r="I646" s="33"/>
      <c r="J646" s="33"/>
      <c r="K646" s="33"/>
      <c r="L646" s="33"/>
      <c r="M646" s="136">
        <f t="shared" si="214"/>
        <v>0</v>
      </c>
      <c r="N646" s="32">
        <f t="shared" si="215"/>
        <v>0</v>
      </c>
      <c r="O646" s="32">
        <f t="shared" si="216"/>
        <v>0</v>
      </c>
    </row>
    <row r="647" spans="1:19" s="18" customFormat="1" hidden="1">
      <c r="A647" s="46" t="s">
        <v>71</v>
      </c>
      <c r="B647" s="78">
        <f t="shared" ref="B647:K647" si="217">B52</f>
        <v>0.44582825022777456</v>
      </c>
      <c r="C647" s="78">
        <f t="shared" si="217"/>
        <v>0.43043885487789979</v>
      </c>
      <c r="D647" s="78">
        <f t="shared" si="217"/>
        <v>0.43739416217747124</v>
      </c>
      <c r="E647" s="78">
        <f t="shared" si="217"/>
        <v>0.395850106498986</v>
      </c>
      <c r="F647" s="78">
        <f t="shared" si="217"/>
        <v>0.38141917309677537</v>
      </c>
      <c r="G647" s="78">
        <f t="shared" si="217"/>
        <v>0.38995184221176804</v>
      </c>
      <c r="H647" s="78">
        <f t="shared" si="217"/>
        <v>0.3951533119877616</v>
      </c>
      <c r="I647" s="78">
        <f t="shared" si="217"/>
        <v>0.39175591886688593</v>
      </c>
      <c r="J647" s="78">
        <f t="shared" si="217"/>
        <v>0.36859420282575828</v>
      </c>
      <c r="K647" s="78">
        <f t="shared" si="217"/>
        <v>0.3592469529994306</v>
      </c>
      <c r="L647" s="78"/>
      <c r="M647" s="136">
        <f t="shared" si="214"/>
        <v>0.31193656706648371</v>
      </c>
      <c r="N647" s="32">
        <f t="shared" si="215"/>
        <v>0.4433277591916176</v>
      </c>
      <c r="O647" s="32">
        <f t="shared" si="216"/>
        <v>0.37319902489735829</v>
      </c>
    </row>
    <row r="648" spans="1:19" s="18" customFormat="1" hidden="1">
      <c r="A648" s="45" t="str">
        <f>A54</f>
        <v>Power and Fuel</v>
      </c>
      <c r="B648" s="45">
        <f t="shared" ref="B648:K648" si="218">B54</f>
        <v>5.8912549994595172E-3</v>
      </c>
      <c r="C648" s="45">
        <f t="shared" si="218"/>
        <v>5.253227273344283E-3</v>
      </c>
      <c r="D648" s="45">
        <f t="shared" si="218"/>
        <v>6.5494067181571976E-3</v>
      </c>
      <c r="E648" s="45">
        <f t="shared" si="218"/>
        <v>7.1491903019679373E-3</v>
      </c>
      <c r="F648" s="45">
        <f t="shared" si="218"/>
        <v>6.3251272899060426E-3</v>
      </c>
      <c r="G648" s="45">
        <f t="shared" si="218"/>
        <v>6.3381144573616066E-3</v>
      </c>
      <c r="H648" s="45">
        <f t="shared" si="218"/>
        <v>6.1887407903761602E-3</v>
      </c>
      <c r="I648" s="45">
        <f t="shared" si="218"/>
        <v>6.3596558632618106E-3</v>
      </c>
      <c r="J648" s="45">
        <f t="shared" si="218"/>
        <v>8.2070548526597589E-3</v>
      </c>
      <c r="K648" s="45">
        <f t="shared" si="218"/>
        <v>9.0911493432701725E-3</v>
      </c>
      <c r="L648" s="45"/>
      <c r="M648" s="136">
        <f t="shared" si="214"/>
        <v>5.6208439616960686E-3</v>
      </c>
      <c r="N648" s="32">
        <f t="shared" si="215"/>
        <v>8.3611118537251176E-3</v>
      </c>
      <c r="O648" s="32">
        <f t="shared" si="216"/>
        <v>7.8859533530639143E-3</v>
      </c>
    </row>
    <row r="649" spans="1:19" s="18" customFormat="1" hidden="1">
      <c r="A649" s="45" t="str">
        <f t="shared" ref="A649:K653" si="219">A55</f>
        <v>Other Mfr. Exp</v>
      </c>
      <c r="B649" s="45">
        <f t="shared" si="219"/>
        <v>1.1481384251895547E-2</v>
      </c>
      <c r="C649" s="45">
        <f t="shared" si="219"/>
        <v>1.1320908387517136E-2</v>
      </c>
      <c r="D649" s="45">
        <f t="shared" si="219"/>
        <v>9.7474053138699914E-3</v>
      </c>
      <c r="E649" s="45">
        <f t="shared" si="219"/>
        <v>1.0981115538660661E-2</v>
      </c>
      <c r="F649" s="45">
        <f t="shared" si="219"/>
        <v>9.6670341014469946E-3</v>
      </c>
      <c r="G649" s="45">
        <f t="shared" si="219"/>
        <v>9.5424453165901171E-3</v>
      </c>
      <c r="H649" s="45">
        <f t="shared" si="219"/>
        <v>3.1152313192005843E-2</v>
      </c>
      <c r="I649" s="45">
        <f t="shared" si="219"/>
        <v>3.38911537634018E-2</v>
      </c>
      <c r="J649" s="45">
        <f t="shared" si="219"/>
        <v>3.516125305755486E-2</v>
      </c>
      <c r="K649" s="45">
        <f t="shared" si="219"/>
        <v>3.7085354456320926E-2</v>
      </c>
      <c r="L649" s="45"/>
      <c r="M649" s="136">
        <f t="shared" si="214"/>
        <v>1.7722807473985119E-2</v>
      </c>
      <c r="N649" s="32">
        <f t="shared" si="215"/>
        <v>3.2911065451971727E-2</v>
      </c>
      <c r="O649" s="32">
        <f t="shared" si="216"/>
        <v>3.5379253759092531E-2</v>
      </c>
    </row>
    <row r="650" spans="1:19" s="18" customFormat="1" hidden="1">
      <c r="A650" s="45" t="str">
        <f t="shared" si="219"/>
        <v>Employee Cost</v>
      </c>
      <c r="B650" s="45">
        <f t="shared" si="219"/>
        <v>0.12205630279352039</v>
      </c>
      <c r="C650" s="45">
        <f t="shared" si="219"/>
        <v>7.240494644965996E-2</v>
      </c>
      <c r="D650" s="45">
        <f t="shared" si="219"/>
        <v>7.8504375121695072E-2</v>
      </c>
      <c r="E650" s="45">
        <f t="shared" si="219"/>
        <v>7.2205293356297703E-2</v>
      </c>
      <c r="F650" s="45">
        <f t="shared" si="219"/>
        <v>8.45187479222438E-2</v>
      </c>
      <c r="G650" s="45">
        <f t="shared" si="219"/>
        <v>8.0056289288326657E-2</v>
      </c>
      <c r="H650" s="45">
        <f t="shared" si="219"/>
        <v>7.8841649783014778E-2</v>
      </c>
      <c r="I650" s="45">
        <f t="shared" si="219"/>
        <v>5.9176094847169868E-2</v>
      </c>
      <c r="J650" s="45">
        <f t="shared" si="219"/>
        <v>6.5026092809032779E-2</v>
      </c>
      <c r="K650" s="45">
        <f t="shared" si="219"/>
        <v>7.1847468580997484E-2</v>
      </c>
      <c r="L650" s="45"/>
      <c r="M650" s="136">
        <f t="shared" si="214"/>
        <v>5.9017601170877808E-2</v>
      </c>
      <c r="N650" s="32">
        <f t="shared" si="215"/>
        <v>8.2793039295883872E-2</v>
      </c>
      <c r="O650" s="32">
        <f t="shared" si="216"/>
        <v>6.5349885412400041E-2</v>
      </c>
    </row>
    <row r="651" spans="1:19" s="18" customFormat="1" hidden="1">
      <c r="A651" s="45" t="str">
        <f t="shared" si="219"/>
        <v>Selling and admin</v>
      </c>
      <c r="B651" s="45">
        <f t="shared" si="219"/>
        <v>0.24838241425637381</v>
      </c>
      <c r="C651" s="45">
        <f t="shared" si="219"/>
        <v>0.26384232173641559</v>
      </c>
      <c r="D651" s="45">
        <f t="shared" si="219"/>
        <v>0.25140871248104507</v>
      </c>
      <c r="E651" s="45">
        <f t="shared" si="219"/>
        <v>0.2524994140007949</v>
      </c>
      <c r="F651" s="45">
        <f t="shared" si="219"/>
        <v>0.25882280895141113</v>
      </c>
      <c r="G651" s="45">
        <f t="shared" si="219"/>
        <v>0.25980328453195606</v>
      </c>
      <c r="H651" s="45">
        <f t="shared" si="219"/>
        <v>0.2618488468017991</v>
      </c>
      <c r="I651" s="45">
        <f t="shared" si="219"/>
        <v>0.30218703982608747</v>
      </c>
      <c r="J651" s="45">
        <f t="shared" si="219"/>
        <v>0.29555191690482524</v>
      </c>
      <c r="K651" s="45">
        <f t="shared" si="219"/>
        <v>0.2870487159712562</v>
      </c>
      <c r="L651" s="45"/>
      <c r="M651" s="136">
        <f t="shared" si="214"/>
        <v>0.2169170739469175</v>
      </c>
      <c r="N651" s="32">
        <f t="shared" si="215"/>
        <v>0.32467137559656833</v>
      </c>
      <c r="O651" s="32">
        <f t="shared" si="216"/>
        <v>0.29492922423405626</v>
      </c>
    </row>
    <row r="652" spans="1:19" s="18" customFormat="1" hidden="1">
      <c r="A652" s="45" t="str">
        <f t="shared" si="219"/>
        <v>Other Expenses</v>
      </c>
      <c r="B652" s="45">
        <f t="shared" si="219"/>
        <v>4.9886498756891141E-2</v>
      </c>
      <c r="C652" s="45">
        <f t="shared" si="219"/>
        <v>6.1620220174021634E-2</v>
      </c>
      <c r="D652" s="45">
        <f t="shared" si="219"/>
        <v>6.2042352830110753E-2</v>
      </c>
      <c r="E652" s="45">
        <f t="shared" si="219"/>
        <v>4.4541035231291333E-2</v>
      </c>
      <c r="F652" s="45">
        <f t="shared" si="219"/>
        <v>3.4167060346788444E-2</v>
      </c>
      <c r="G652" s="45">
        <f t="shared" si="219"/>
        <v>3.9502753199689593E-2</v>
      </c>
      <c r="H652" s="45">
        <f t="shared" si="219"/>
        <v>1.9214175313941102E-2</v>
      </c>
      <c r="I652" s="45">
        <f t="shared" si="219"/>
        <v>2.1090809514894619E-2</v>
      </c>
      <c r="J652" s="45">
        <f t="shared" si="219"/>
        <v>2.0967166757911972E-2</v>
      </c>
      <c r="K652" s="45">
        <f t="shared" si="219"/>
        <v>1.9462843771097162E-2</v>
      </c>
      <c r="L652" s="45"/>
      <c r="M652" s="136">
        <f t="shared" si="214"/>
        <v>2.6098819696572496E-2</v>
      </c>
      <c r="N652" s="32">
        <f t="shared" si="215"/>
        <v>2.9267313650821386E-2</v>
      </c>
      <c r="O652" s="32">
        <f t="shared" si="216"/>
        <v>2.0506940014634586E-2</v>
      </c>
    </row>
    <row r="653" spans="1:19" s="18" customFormat="1" hidden="1">
      <c r="A653" s="45" t="str">
        <f t="shared" si="219"/>
        <v>Other Income</v>
      </c>
      <c r="B653" s="45">
        <f t="shared" si="219"/>
        <v>5.1731859104035084E-2</v>
      </c>
      <c r="C653" s="45">
        <f t="shared" si="219"/>
        <v>5.7541163854538543E-2</v>
      </c>
      <c r="D653" s="45">
        <f t="shared" si="219"/>
        <v>6.3582348463839616E-2</v>
      </c>
      <c r="E653" s="45">
        <f t="shared" si="219"/>
        <v>5.0171723245314548E-2</v>
      </c>
      <c r="F653" s="45">
        <f t="shared" si="219"/>
        <v>1.8039298024600636E-2</v>
      </c>
      <c r="G653" s="45">
        <f t="shared" si="219"/>
        <v>1.8821266657507899E-2</v>
      </c>
      <c r="H653" s="45">
        <f t="shared" si="219"/>
        <v>1.5778444344002961E-2</v>
      </c>
      <c r="I653" s="45">
        <f t="shared" si="219"/>
        <v>3.20497595569477E-2</v>
      </c>
      <c r="J653" s="45">
        <f t="shared" si="219"/>
        <v>8.3301104486757718E-3</v>
      </c>
      <c r="K653" s="45">
        <f t="shared" si="219"/>
        <v>9.5163960223819104E-3</v>
      </c>
      <c r="L653" s="45"/>
      <c r="M653" s="136">
        <f t="shared" si="214"/>
        <v>2.1628934676327104E-2</v>
      </c>
      <c r="N653" s="32">
        <f t="shared" si="215"/>
        <v>2.1224982341168673E-2</v>
      </c>
      <c r="O653" s="32">
        <f t="shared" si="216"/>
        <v>1.6632088676001796E-2</v>
      </c>
    </row>
    <row r="654" spans="1:19" s="18" customFormat="1" hidden="1">
      <c r="A654" s="45" t="str">
        <f t="shared" ref="A654:K654" si="220">A60</f>
        <v>Depreciation</v>
      </c>
      <c r="B654" s="45">
        <f t="shared" si="220"/>
        <v>1.1782509998919034E-2</v>
      </c>
      <c r="C654" s="45">
        <f t="shared" si="220"/>
        <v>1.3465636835032373E-2</v>
      </c>
      <c r="D654" s="45">
        <f t="shared" si="220"/>
        <v>1.3541340917270963E-2</v>
      </c>
      <c r="E654" s="45">
        <f t="shared" si="220"/>
        <v>1.9144339247678933E-2</v>
      </c>
      <c r="F654" s="45">
        <f t="shared" si="220"/>
        <v>1.4981715745455182E-2</v>
      </c>
      <c r="G654" s="45">
        <f t="shared" si="220"/>
        <v>1.459585701926683E-2</v>
      </c>
      <c r="H654" s="45">
        <f t="shared" si="220"/>
        <v>1.381246029312759E-2</v>
      </c>
      <c r="I654" s="45">
        <f t="shared" si="220"/>
        <v>1.4180691347123764E-2</v>
      </c>
      <c r="J654" s="45">
        <f t="shared" si="220"/>
        <v>1.8840062883920903E-2</v>
      </c>
      <c r="K654" s="45">
        <f t="shared" si="220"/>
        <v>2.6766515547931545E-2</v>
      </c>
      <c r="L654" s="45"/>
      <c r="M654" s="136">
        <f t="shared" si="214"/>
        <v>1.358629830017757E-2</v>
      </c>
      <c r="N654" s="32">
        <f t="shared" si="215"/>
        <v>2.0356377078309638E-2</v>
      </c>
      <c r="O654" s="32">
        <f t="shared" si="216"/>
        <v>1.9929089926325406E-2</v>
      </c>
    </row>
    <row r="655" spans="1:19" s="18" customFormat="1" hidden="1">
      <c r="A655" s="45" t="str">
        <f t="shared" ref="A655:K655" si="221">A61</f>
        <v>Interest</v>
      </c>
      <c r="B655" s="45">
        <f t="shared" si="221"/>
        <v>7.5667495405902063E-4</v>
      </c>
      <c r="C655" s="45">
        <f t="shared" si="221"/>
        <v>9.7734460899428512E-4</v>
      </c>
      <c r="D655" s="45">
        <f t="shared" si="221"/>
        <v>6.4904030540296565E-4</v>
      </c>
      <c r="E655" s="45">
        <f t="shared" si="221"/>
        <v>7.6434678923392068E-4</v>
      </c>
      <c r="F655" s="45">
        <f t="shared" si="221"/>
        <v>7.0424999562577648E-4</v>
      </c>
      <c r="G655" s="45">
        <f t="shared" si="221"/>
        <v>5.6066507502144263E-4</v>
      </c>
      <c r="H655" s="45">
        <f t="shared" si="221"/>
        <v>0</v>
      </c>
      <c r="I655" s="45">
        <f t="shared" si="221"/>
        <v>0</v>
      </c>
      <c r="J655" s="45">
        <f t="shared" si="221"/>
        <v>0</v>
      </c>
      <c r="K655" s="45">
        <f t="shared" si="221"/>
        <v>0</v>
      </c>
      <c r="L655" s="45"/>
      <c r="M655" s="136">
        <f t="shared" si="214"/>
        <v>2.6783021652841053E-4</v>
      </c>
      <c r="N655" s="32">
        <f t="shared" si="215"/>
        <v>1.6569905830997062E-4</v>
      </c>
      <c r="O655" s="32">
        <f t="shared" si="216"/>
        <v>0</v>
      </c>
    </row>
    <row r="656" spans="1:19" s="18" customFormat="1" hidden="1">
      <c r="A656" s="45" t="str">
        <f t="shared" ref="A656:K656" si="222">A62</f>
        <v>Profit before tax</v>
      </c>
      <c r="B656" s="45">
        <f t="shared" si="222"/>
        <v>0.15566656886514199</v>
      </c>
      <c r="C656" s="45">
        <f t="shared" si="222"/>
        <v>0.19821770351165346</v>
      </c>
      <c r="D656" s="45">
        <f t="shared" si="222"/>
        <v>0.20374555259881638</v>
      </c>
      <c r="E656" s="45">
        <f t="shared" si="222"/>
        <v>0.24703688228040316</v>
      </c>
      <c r="F656" s="45">
        <f t="shared" si="222"/>
        <v>0.22743338057494797</v>
      </c>
      <c r="G656" s="45">
        <f t="shared" si="222"/>
        <v>0.21847001555752757</v>
      </c>
      <c r="H656" s="45">
        <f t="shared" si="222"/>
        <v>0.2095669461819768</v>
      </c>
      <c r="I656" s="45">
        <f t="shared" si="222"/>
        <v>0.20340839552812248</v>
      </c>
      <c r="J656" s="45">
        <f t="shared" si="222"/>
        <v>0.19598236035701191</v>
      </c>
      <c r="K656" s="45">
        <f t="shared" si="222"/>
        <v>0.19896499282846702</v>
      </c>
      <c r="L656" s="45"/>
      <c r="M656" s="136">
        <f t="shared" si="214"/>
        <v>0.17046085259072732</v>
      </c>
      <c r="N656" s="32">
        <f t="shared" si="215"/>
        <v>0.23937071260876661</v>
      </c>
      <c r="O656" s="32">
        <f t="shared" si="216"/>
        <v>0.19945191623786715</v>
      </c>
    </row>
    <row r="657" spans="1:15" s="18" customFormat="1" hidden="1">
      <c r="A657" s="145" t="s">
        <v>416</v>
      </c>
      <c r="B657" s="78">
        <f t="shared" ref="B657:K657" si="223">B244</f>
        <v>0.5541717497722255</v>
      </c>
      <c r="C657" s="78">
        <f t="shared" si="223"/>
        <v>0.56956114512210021</v>
      </c>
      <c r="D657" s="78">
        <f t="shared" si="223"/>
        <v>0.56260583782252882</v>
      </c>
      <c r="E657" s="78">
        <f t="shared" si="223"/>
        <v>0.60414989350101411</v>
      </c>
      <c r="F657" s="78">
        <f t="shared" si="223"/>
        <v>0.61858082690322458</v>
      </c>
      <c r="G657" s="78">
        <f t="shared" si="223"/>
        <v>0.61004815778823196</v>
      </c>
      <c r="H657" s="78">
        <f t="shared" si="223"/>
        <v>0.6048466880122384</v>
      </c>
      <c r="I657" s="78">
        <f t="shared" si="223"/>
        <v>0.60824408113311412</v>
      </c>
      <c r="J657" s="78">
        <f t="shared" si="223"/>
        <v>0.63140579717424161</v>
      </c>
      <c r="K657" s="78">
        <f t="shared" si="223"/>
        <v>0.64075304700056945</v>
      </c>
      <c r="L657" s="78"/>
      <c r="M657" s="136">
        <f t="shared" si="214"/>
        <v>0.48806343293351634</v>
      </c>
      <c r="N657" s="32">
        <f t="shared" si="215"/>
        <v>0.71667224080838232</v>
      </c>
      <c r="O657" s="32">
        <f t="shared" si="216"/>
        <v>0.62680097510264166</v>
      </c>
    </row>
    <row r="658" spans="1:15" s="18" customFormat="1" hidden="1">
      <c r="A658" s="46" t="s">
        <v>576</v>
      </c>
      <c r="B658" s="45">
        <f>('Profit &amp; Loss'!B6-'Profit &amp; Loss'!B7)/'Profit &amp; Loss'!B4</f>
        <v>6.4742035610049972E-2</v>
      </c>
      <c r="C658" s="45">
        <f>('Profit &amp; Loss'!C6-'Profit &amp; Loss'!C7)/'Profit &amp; Loss'!C4</f>
        <v>9.7578357246603159E-2</v>
      </c>
      <c r="D658" s="45">
        <f>('Profit &amp; Loss'!D6-'Profit &amp; Loss'!D7)/'Profit &amp; Loss'!D4</f>
        <v>9.0771236893811058E-2</v>
      </c>
      <c r="E658" s="45">
        <f>('Profit &amp; Loss'!E6-'Profit &amp; Loss'!E7)/'Profit &amp; Loss'!E4</f>
        <v>0.16660212182668696</v>
      </c>
      <c r="F658" s="45">
        <f>('Profit &amp; Loss'!F6-'Profit &amp; Loss'!F7)/'Profit &amp; Loss'!F4</f>
        <v>0.20704075026682753</v>
      </c>
      <c r="G658" s="45">
        <f>('Profit &amp; Loss'!G6-'Profit &amp; Loss'!G7)/'Profit &amp; Loss'!G4</f>
        <v>0.19598400433680019</v>
      </c>
      <c r="H658" s="45">
        <f>('Profit &amp; Loss'!H6-'Profit &amp; Loss'!H7)/'Profit &amp; Loss'!H4</f>
        <v>0.19182251778709847</v>
      </c>
      <c r="I658" s="45">
        <f>('Profit &amp; Loss'!I6-'Profit &amp; Loss'!I7)/'Profit &amp; Loss'!I4</f>
        <v>0.15348956776135075</v>
      </c>
      <c r="J658" s="45">
        <f>('Profit &amp; Loss'!J6-'Profit &amp; Loss'!J7)/'Profit &amp; Loss'!J4</f>
        <v>0.19816220234358134</v>
      </c>
      <c r="K658" s="45">
        <f>('Profit &amp; Loss'!K6-'Profit &amp; Loss'!K7)/'Profit &amp; Loss'!K4</f>
        <v>0.20670111885524556</v>
      </c>
      <c r="L658" s="161">
        <f>('Profit &amp; Loss'!L6-'Profit &amp; Loss'!L7)/'Profit &amp; Loss'!L4</f>
        <v>0.22224420744375631</v>
      </c>
      <c r="M658" s="136">
        <f t="shared" si="214"/>
        <v>0.14105735200714017</v>
      </c>
      <c r="N658" s="32">
        <f t="shared" si="215"/>
        <v>0.2618921941069946</v>
      </c>
      <c r="O658" s="32">
        <f t="shared" si="216"/>
        <v>0.18611762965339254</v>
      </c>
    </row>
    <row r="659" spans="1:15" s="18" customFormat="1" hidden="1">
      <c r="A659" s="185" t="str">
        <f>A245</f>
        <v>EBIT/Sales</v>
      </c>
      <c r="B659" s="45">
        <f t="shared" ref="B659:K659" si="224">B245</f>
        <v>0.10469138471516592</v>
      </c>
      <c r="C659" s="45">
        <f t="shared" si="224"/>
        <v>0.14165388426610923</v>
      </c>
      <c r="D659" s="45">
        <f t="shared" si="224"/>
        <v>0.14081224444037976</v>
      </c>
      <c r="E659" s="45">
        <f t="shared" si="224"/>
        <v>0.19762950582432254</v>
      </c>
      <c r="F659" s="45">
        <f t="shared" si="224"/>
        <v>0.21009833254597313</v>
      </c>
      <c r="G659" s="45">
        <f t="shared" si="224"/>
        <v>0.20020941397504113</v>
      </c>
      <c r="H659" s="45">
        <f t="shared" si="224"/>
        <v>0.19378850183797383</v>
      </c>
      <c r="I659" s="45">
        <f t="shared" si="224"/>
        <v>0.17135863597117479</v>
      </c>
      <c r="J659" s="45">
        <f t="shared" si="224"/>
        <v>0.18765224990833615</v>
      </c>
      <c r="K659" s="45">
        <f t="shared" si="224"/>
        <v>0.18944859680608511</v>
      </c>
      <c r="L659" s="45">
        <f>('Profit &amp; Loss'!L10+'Profit &amp; Loss'!L9-'Profit &amp; Loss'!L7)/'Profit &amp; Loss'!L4</f>
        <v>0.20106007241931975</v>
      </c>
      <c r="M659" s="136">
        <f t="shared" si="214"/>
        <v>0.14909974813092863</v>
      </c>
      <c r="N659" s="32">
        <f t="shared" si="215"/>
        <v>0.25852344380977188</v>
      </c>
      <c r="O659" s="32">
        <f t="shared" si="216"/>
        <v>0.18281982756186532</v>
      </c>
    </row>
    <row r="660" spans="1:15" s="18" customFormat="1" hidden="1">
      <c r="A660" s="185" t="str">
        <f>A246</f>
        <v>EBITDA/Sales</v>
      </c>
      <c r="B660" s="45">
        <f t="shared" ref="B660:K660" si="225">B246</f>
        <v>0.11647389471408495</v>
      </c>
      <c r="C660" s="45">
        <f t="shared" si="225"/>
        <v>0.15511952110114158</v>
      </c>
      <c r="D660" s="45">
        <f t="shared" si="225"/>
        <v>0.15435358535765073</v>
      </c>
      <c r="E660" s="45">
        <f t="shared" si="225"/>
        <v>0.21677384507200148</v>
      </c>
      <c r="F660" s="45">
        <f t="shared" si="225"/>
        <v>0.2250800482914283</v>
      </c>
      <c r="G660" s="45">
        <f t="shared" si="225"/>
        <v>0.21480527099430793</v>
      </c>
      <c r="H660" s="45">
        <f t="shared" si="225"/>
        <v>0.20760096213110144</v>
      </c>
      <c r="I660" s="45">
        <f t="shared" si="225"/>
        <v>0.18553932731829853</v>
      </c>
      <c r="J660" s="45">
        <f t="shared" si="225"/>
        <v>0.20649231279225705</v>
      </c>
      <c r="K660" s="45">
        <f t="shared" si="225"/>
        <v>0.21621511235401664</v>
      </c>
      <c r="L660" s="45">
        <f>('Profit &amp; Loss'!L10+'Profit &amp; Loss'!L9+'Profit &amp; Loss'!L8-'Profit &amp; Loss'!L7)/'Profit &amp; Loss'!L4</f>
        <v>0.23292655177189894</v>
      </c>
      <c r="M660" s="136">
        <f t="shared" si="214"/>
        <v>0.16268604643110621</v>
      </c>
      <c r="N660" s="32">
        <f t="shared" si="215"/>
        <v>0.28525311675859732</v>
      </c>
      <c r="O660" s="32">
        <f t="shared" si="216"/>
        <v>0.20274891748819077</v>
      </c>
    </row>
    <row r="661" spans="1:15" s="18" customFormat="1" hidden="1">
      <c r="A661" s="138" t="s">
        <v>18</v>
      </c>
      <c r="B661" s="45">
        <f>'Profit &amp; Loss'!B19</f>
        <v>0.11647389471408506</v>
      </c>
      <c r="C661" s="45">
        <f>'Profit &amp; Loss'!C19</f>
        <v>0.15511952110114172</v>
      </c>
      <c r="D661" s="45">
        <f>'Profit &amp; Loss'!D19</f>
        <v>0.15435358535765067</v>
      </c>
      <c r="E661" s="45">
        <f>'Profit &amp; Loss'!E19</f>
        <v>0.21677384507200151</v>
      </c>
      <c r="F661" s="45">
        <f>'Profit &amp; Loss'!F19</f>
        <v>0.22508004829142816</v>
      </c>
      <c r="G661" s="45">
        <f>'Profit &amp; Loss'!G19</f>
        <v>0.2148052709943081</v>
      </c>
      <c r="H661" s="45">
        <f>'Profit &amp; Loss'!H19</f>
        <v>0.20760096213110141</v>
      </c>
      <c r="I661" s="45">
        <f>'Profit &amp; Loss'!I19</f>
        <v>0.18553932731829847</v>
      </c>
      <c r="J661" s="45">
        <f>'Profit &amp; Loss'!J19</f>
        <v>0.2064923127922571</v>
      </c>
      <c r="K661" s="45">
        <f>'Profit &amp; Loss'!K19</f>
        <v>0.21621751487762747</v>
      </c>
      <c r="L661" s="45">
        <f>'Profit &amp; Loss'!L19</f>
        <v>0.23292655177189892</v>
      </c>
      <c r="M661" s="136">
        <f t="shared" si="214"/>
        <v>0.16268628668346732</v>
      </c>
      <c r="N661" s="32">
        <f t="shared" si="215"/>
        <v>0.28525364531379177</v>
      </c>
      <c r="O661" s="32">
        <f t="shared" si="216"/>
        <v>0.20274971832939434</v>
      </c>
    </row>
    <row r="662" spans="1:15" s="18" customFormat="1" hidden="1">
      <c r="A662" s="138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136">
        <f t="shared" si="214"/>
        <v>0</v>
      </c>
      <c r="N662" s="32">
        <f t="shared" si="215"/>
        <v>0</v>
      </c>
      <c r="O662" s="32">
        <f t="shared" si="216"/>
        <v>0</v>
      </c>
    </row>
    <row r="663" spans="1:15" s="18" customFormat="1" hidden="1">
      <c r="A663" s="57" t="s">
        <v>9</v>
      </c>
      <c r="B663" s="143">
        <f>'Profit &amp; Loss'!B7</f>
        <v>67</v>
      </c>
      <c r="C663" s="143">
        <f>'Profit &amp; Loss'!C7</f>
        <v>84.78</v>
      </c>
      <c r="D663" s="143">
        <f>'Profit &amp; Loss'!D7</f>
        <v>107.76</v>
      </c>
      <c r="E663" s="143">
        <f>'Profit &amp; Loss'!E7</f>
        <v>98.46</v>
      </c>
      <c r="F663" s="143">
        <f>'Profit &amp; Loss'!F7</f>
        <v>41.24</v>
      </c>
      <c r="G663" s="143">
        <f>'Profit &amp; Loss'!G7</f>
        <v>50.69</v>
      </c>
      <c r="H663" s="143">
        <f>'Profit &amp; Loss'!H7</f>
        <v>49.92</v>
      </c>
      <c r="I663" s="143">
        <f>'Profit &amp; Loss'!I7</f>
        <v>114.7</v>
      </c>
      <c r="J663" s="143">
        <f>'Profit &amp; Loss'!J7</f>
        <v>33.17</v>
      </c>
      <c r="K663" s="143">
        <f>'Profit &amp; Loss'!K7</f>
        <v>39.61</v>
      </c>
      <c r="L663" s="143"/>
      <c r="M663" s="136">
        <f t="shared" si="214"/>
        <v>53.554999999999993</v>
      </c>
      <c r="N663" s="32">
        <f t="shared" si="215"/>
        <v>68.329000000000008</v>
      </c>
      <c r="O663" s="32">
        <f t="shared" si="216"/>
        <v>62.493333333333339</v>
      </c>
    </row>
    <row r="664" spans="1:15" s="18" customFormat="1" hidden="1">
      <c r="A664" s="57" t="s">
        <v>11</v>
      </c>
      <c r="B664" s="143">
        <f>'Profit &amp; Loss'!B9</f>
        <v>0.98</v>
      </c>
      <c r="C664" s="143">
        <f>'Profit &amp; Loss'!C9</f>
        <v>1.44</v>
      </c>
      <c r="D664" s="143">
        <f>'Profit &amp; Loss'!D9</f>
        <v>1.1000000000000001</v>
      </c>
      <c r="E664" s="143">
        <f>'Profit &amp; Loss'!E9</f>
        <v>1.5</v>
      </c>
      <c r="F664" s="143">
        <f>'Profit &amp; Loss'!F9</f>
        <v>1.61</v>
      </c>
      <c r="G664" s="143">
        <f>'Profit &amp; Loss'!G9</f>
        <v>1.51</v>
      </c>
      <c r="H664" s="143">
        <f>'Profit &amp; Loss'!H9</f>
        <v>0</v>
      </c>
      <c r="I664" s="143">
        <f>'Profit &amp; Loss'!I9</f>
        <v>0</v>
      </c>
      <c r="J664" s="143">
        <f>'Profit &amp; Loss'!J9</f>
        <v>0</v>
      </c>
      <c r="K664" s="143">
        <f>'Profit &amp; Loss'!K9</f>
        <v>0</v>
      </c>
      <c r="L664" s="143"/>
      <c r="M664" s="136">
        <f t="shared" si="214"/>
        <v>0.57199999999999995</v>
      </c>
      <c r="N664" s="32">
        <f t="shared" si="215"/>
        <v>0.41639999999999999</v>
      </c>
      <c r="O664" s="32">
        <f t="shared" si="216"/>
        <v>0</v>
      </c>
    </row>
    <row r="665" spans="1:15" s="18" customFormat="1" hidden="1">
      <c r="A665" s="57" t="s">
        <v>273</v>
      </c>
      <c r="B665" s="143">
        <f>'Profit &amp; Loss'!B10</f>
        <v>201.61</v>
      </c>
      <c r="C665" s="143">
        <f>'Profit &amp; Loss'!C10</f>
        <v>292.05</v>
      </c>
      <c r="D665" s="143">
        <f>'Profit &amp; Loss'!D10</f>
        <v>345.31</v>
      </c>
      <c r="E665" s="143">
        <f>'Profit &amp; Loss'!E10</f>
        <v>484.8</v>
      </c>
      <c r="F665" s="143">
        <f>'Profit &amp; Loss'!F10</f>
        <v>519.94000000000005</v>
      </c>
      <c r="G665" s="143">
        <f>'Profit &amp; Loss'!G10</f>
        <v>588.39</v>
      </c>
      <c r="H665" s="143">
        <f>'Profit &amp; Loss'!H10</f>
        <v>663.03</v>
      </c>
      <c r="I665" s="143">
        <f>'Profit &amp; Loss'!I10</f>
        <v>727.96</v>
      </c>
      <c r="J665" s="143">
        <f>'Profit &amp; Loss'!J10</f>
        <v>780.39</v>
      </c>
      <c r="K665" s="143">
        <f>'Profit &amp; Loss'!K10</f>
        <v>828.15</v>
      </c>
      <c r="L665" s="143"/>
      <c r="M665" s="136">
        <f t="shared" si="214"/>
        <v>493.79700000000003</v>
      </c>
      <c r="N665" s="32">
        <f t="shared" si="215"/>
        <v>816.34339999999997</v>
      </c>
      <c r="O665" s="32">
        <f t="shared" si="216"/>
        <v>778.83333333333337</v>
      </c>
    </row>
    <row r="666" spans="1:15" s="18" customFormat="1" hidden="1">
      <c r="A666" s="57" t="s">
        <v>415</v>
      </c>
      <c r="B666" s="45">
        <f>'Profit &amp; Loss'!B11/'Profit &amp; Loss'!B10</f>
        <v>0.20554535985318187</v>
      </c>
      <c r="C666" s="45">
        <f>'Profit &amp; Loss'!C11/'Profit &amp; Loss'!C10</f>
        <v>0.20660845745591508</v>
      </c>
      <c r="D666" s="45">
        <f>'Profit &amp; Loss'!D11/'Profit &amp; Loss'!D10</f>
        <v>0.15953780660855463</v>
      </c>
      <c r="E666" s="45">
        <f>'Profit &amp; Loss'!E11/'Profit &amp; Loss'!E10</f>
        <v>0.12693894389438942</v>
      </c>
      <c r="F666" s="45">
        <f>'Profit &amp; Loss'!F11/'Profit &amp; Loss'!F10</f>
        <v>0.22571835211755201</v>
      </c>
      <c r="G666" s="45">
        <f>'Profit &amp; Loss'!G11/'Profit &amp; Loss'!G10</f>
        <v>0.2412005642516018</v>
      </c>
      <c r="H666" s="45">
        <f>'Profit &amp; Loss'!H11/'Profit &amp; Loss'!H10</f>
        <v>0.25077296653243447</v>
      </c>
      <c r="I666" s="45">
        <f>'Profit &amp; Loss'!I11/'Profit &amp; Loss'!I10</f>
        <v>0.25837958129567556</v>
      </c>
      <c r="J666" s="45">
        <f>'Profit &amp; Loss'!J11/'Profit &amp; Loss'!J10</f>
        <v>0.28371711580107384</v>
      </c>
      <c r="K666" s="45">
        <f>'Profit &amp; Loss'!K11/'Profit &amp; Loss'!K10</f>
        <v>0.30385799673972108</v>
      </c>
      <c r="L666" s="45"/>
      <c r="M666" s="136">
        <f t="shared" si="214"/>
        <v>0.18501233272410028</v>
      </c>
      <c r="N666" s="32">
        <f t="shared" si="215"/>
        <v>0.3045881114689214</v>
      </c>
      <c r="O666" s="32">
        <f t="shared" si="216"/>
        <v>0.28198489794549014</v>
      </c>
    </row>
    <row r="667" spans="1:15" s="18" customFormat="1" hidden="1">
      <c r="A667" s="57" t="s">
        <v>151</v>
      </c>
      <c r="B667" s="143">
        <f>'Profit &amp; Loss'!B12</f>
        <v>160.16999999999999</v>
      </c>
      <c r="C667" s="143">
        <f>'Profit &amp; Loss'!C12</f>
        <v>231.71</v>
      </c>
      <c r="D667" s="143">
        <f>'Profit &amp; Loss'!D12</f>
        <v>290.22000000000003</v>
      </c>
      <c r="E667" s="143">
        <f>'Profit &amp; Loss'!E12</f>
        <v>423.26</v>
      </c>
      <c r="F667" s="143">
        <f>'Profit &amp; Loss'!F12</f>
        <v>402.58</v>
      </c>
      <c r="G667" s="143">
        <f>'Profit &amp; Loss'!G12</f>
        <v>446.47</v>
      </c>
      <c r="H667" s="143">
        <f>'Profit &amp; Loss'!H12</f>
        <v>496.75</v>
      </c>
      <c r="I667" s="143">
        <f>'Profit &amp; Loss'!I12</f>
        <v>539.87</v>
      </c>
      <c r="J667" s="143">
        <f>'Profit &amp; Loss'!J12</f>
        <v>558.98</v>
      </c>
      <c r="K667" s="143">
        <f>'Profit &amp; Loss'!K12</f>
        <v>576.51</v>
      </c>
      <c r="L667" s="143"/>
      <c r="M667" s="136">
        <f t="shared" si="214"/>
        <v>373.46399999999994</v>
      </c>
      <c r="N667" s="32">
        <f t="shared" si="215"/>
        <v>598.40879999999993</v>
      </c>
      <c r="O667" s="32">
        <f t="shared" si="216"/>
        <v>558.45333333333326</v>
      </c>
    </row>
    <row r="668" spans="1:15" s="18" customFormat="1" hidden="1">
      <c r="A668" s="138" t="s">
        <v>132</v>
      </c>
      <c r="B668" s="45">
        <f t="shared" ref="B668:K668" si="226">B667/B645</f>
        <v>0.12367002795064624</v>
      </c>
      <c r="C668" s="45">
        <f t="shared" si="226"/>
        <v>0.15726424954865684</v>
      </c>
      <c r="D668" s="45">
        <f t="shared" si="226"/>
        <v>0.17124043403095335</v>
      </c>
      <c r="E668" s="45">
        <f t="shared" si="226"/>
        <v>0.21567828134076616</v>
      </c>
      <c r="F668" s="45">
        <f t="shared" si="226"/>
        <v>0.17609749269504663</v>
      </c>
      <c r="G668" s="45">
        <f t="shared" si="226"/>
        <v>0.16577492453299569</v>
      </c>
      <c r="H668" s="45">
        <f t="shared" si="226"/>
        <v>0.15701006065471695</v>
      </c>
      <c r="I668" s="45">
        <f t="shared" si="226"/>
        <v>0.15085181945954101</v>
      </c>
      <c r="J668" s="45">
        <f t="shared" si="226"/>
        <v>0.14037881032863378</v>
      </c>
      <c r="K668" s="45">
        <f t="shared" si="226"/>
        <v>0.13850788868627606</v>
      </c>
      <c r="L668" s="45">
        <f>'Profit &amp; Loss'!L12/'Profit &amp; Loss'!L4</f>
        <v>0.14363659747917451</v>
      </c>
      <c r="M668" s="136">
        <f t="shared" si="214"/>
        <v>0.13155397117289297</v>
      </c>
      <c r="N668" s="32">
        <f t="shared" si="215"/>
        <v>0.20554281446284622</v>
      </c>
      <c r="O668" s="32">
        <f t="shared" si="216"/>
        <v>0.14324617282481697</v>
      </c>
    </row>
    <row r="669" spans="1:15" s="18" customFormat="1" hidden="1">
      <c r="A669" s="57" t="s">
        <v>417</v>
      </c>
      <c r="B669" s="143">
        <f>'Cash Flow'!B4</f>
        <v>154.24</v>
      </c>
      <c r="C669" s="143">
        <f>'Cash Flow'!C4</f>
        <v>281.39999999999998</v>
      </c>
      <c r="D669" s="143">
        <f>'Cash Flow'!D4</f>
        <v>319.38</v>
      </c>
      <c r="E669" s="143">
        <f>'Cash Flow'!E4</f>
        <v>397.35</v>
      </c>
      <c r="F669" s="143">
        <f>'Cash Flow'!F4</f>
        <v>357.91</v>
      </c>
      <c r="G669" s="143">
        <f>'Cash Flow'!G4</f>
        <v>402.84</v>
      </c>
      <c r="H669" s="143">
        <f>'Cash Flow'!H4</f>
        <v>614.9</v>
      </c>
      <c r="I669" s="143">
        <f>'Cash Flow'!I4</f>
        <v>457.38</v>
      </c>
      <c r="J669" s="143">
        <f>'Cash Flow'!J4</f>
        <v>638.15</v>
      </c>
      <c r="K669" s="143">
        <f>'Cash Flow'!K4</f>
        <v>672.93</v>
      </c>
      <c r="L669" s="143"/>
      <c r="M669" s="136">
        <f t="shared" si="214"/>
        <v>386.084</v>
      </c>
      <c r="N669" s="32">
        <f t="shared" si="215"/>
        <v>634.45679999999993</v>
      </c>
      <c r="O669" s="32">
        <f t="shared" si="216"/>
        <v>589.48666666666668</v>
      </c>
    </row>
    <row r="670" spans="1:15" s="18" customFormat="1" hidden="1">
      <c r="A670" s="57" t="s">
        <v>418</v>
      </c>
      <c r="B670" s="46">
        <f>B312</f>
        <v>0</v>
      </c>
      <c r="C670" s="46">
        <f t="shared" ref="C670:K670" si="227">C312</f>
        <v>26.800000000000008</v>
      </c>
      <c r="D670" s="46">
        <f t="shared" si="227"/>
        <v>2.5599999999999987</v>
      </c>
      <c r="E670" s="46">
        <f t="shared" si="227"/>
        <v>112.10999999999999</v>
      </c>
      <c r="F670" s="46">
        <f t="shared" si="227"/>
        <v>44.370000000000019</v>
      </c>
      <c r="G670" s="46">
        <f t="shared" si="227"/>
        <v>99.849999999999966</v>
      </c>
      <c r="H670" s="46">
        <f t="shared" si="227"/>
        <v>102.52000000000004</v>
      </c>
      <c r="I670" s="46">
        <f t="shared" si="227"/>
        <v>365.54999999999995</v>
      </c>
      <c r="J670" s="46">
        <f t="shared" si="227"/>
        <v>300.36000000000007</v>
      </c>
      <c r="K670" s="46">
        <f t="shared" si="227"/>
        <v>275.15999999999997</v>
      </c>
      <c r="L670" s="46"/>
      <c r="M670" s="136">
        <f t="shared" si="214"/>
        <v>130.24799999999999</v>
      </c>
      <c r="N670" s="32">
        <f t="shared" si="215"/>
        <v>254.73760000000001</v>
      </c>
      <c r="O670" s="32">
        <f t="shared" si="216"/>
        <v>313.69</v>
      </c>
    </row>
    <row r="671" spans="1:15" s="18" customFormat="1" hidden="1">
      <c r="A671" s="57" t="s">
        <v>419</v>
      </c>
      <c r="B671" s="143">
        <f>'Balance Sheet'!B6</f>
        <v>4.28</v>
      </c>
      <c r="C671" s="143">
        <f>'Balance Sheet'!C6</f>
        <v>4.6900000000000004</v>
      </c>
      <c r="D671" s="143">
        <f>'Balance Sheet'!D6</f>
        <v>4.6900000000000004</v>
      </c>
      <c r="E671" s="143">
        <f>'Balance Sheet'!E6</f>
        <v>4.59</v>
      </c>
      <c r="F671" s="143">
        <f>'Balance Sheet'!F6</f>
        <v>0.05</v>
      </c>
      <c r="G671" s="143">
        <f>'Balance Sheet'!G6</f>
        <v>0.05</v>
      </c>
      <c r="H671" s="143">
        <f>'Balance Sheet'!H6</f>
        <v>0</v>
      </c>
      <c r="I671" s="143">
        <f>'Balance Sheet'!I6</f>
        <v>0</v>
      </c>
      <c r="J671" s="143">
        <f>'Balance Sheet'!J6</f>
        <v>0</v>
      </c>
      <c r="K671" s="143">
        <f>'Balance Sheet'!K6</f>
        <v>0</v>
      </c>
      <c r="L671" s="143"/>
      <c r="M671" s="136">
        <f t="shared" si="214"/>
        <v>0.93800000000000028</v>
      </c>
      <c r="N671" s="32">
        <f t="shared" si="215"/>
        <v>0.19760000000000005</v>
      </c>
      <c r="O671" s="32">
        <f t="shared" si="216"/>
        <v>0</v>
      </c>
    </row>
    <row r="672" spans="1:15" s="18" customFormat="1" hidden="1">
      <c r="A672" s="57" t="s">
        <v>420</v>
      </c>
      <c r="B672" s="143">
        <f>'Data Sheet'!B69+'Data Sheet'!B64</f>
        <v>245.06</v>
      </c>
      <c r="C672" s="143">
        <f>'Data Sheet'!C69+'Data Sheet'!C64</f>
        <v>216.85</v>
      </c>
      <c r="D672" s="143">
        <f>'Data Sheet'!D69+'Data Sheet'!D64</f>
        <v>289.46999999999997</v>
      </c>
      <c r="E672" s="143">
        <f>'Data Sheet'!E69+'Data Sheet'!E64</f>
        <v>368.58</v>
      </c>
      <c r="F672" s="143">
        <f>'Data Sheet'!F69+'Data Sheet'!F64</f>
        <v>433.89</v>
      </c>
      <c r="G672" s="143">
        <f>'Data Sheet'!G69+'Data Sheet'!G64</f>
        <v>356.92</v>
      </c>
      <c r="H672" s="143">
        <f>'Data Sheet'!H69+'Data Sheet'!H64</f>
        <v>475.92</v>
      </c>
      <c r="I672" s="143">
        <f>'Data Sheet'!I69+'Data Sheet'!I64</f>
        <v>322.51</v>
      </c>
      <c r="J672" s="143">
        <f>'Data Sheet'!J69+'Data Sheet'!J64</f>
        <v>291.58</v>
      </c>
      <c r="K672" s="143">
        <f>'Data Sheet'!K69+'Data Sheet'!K64</f>
        <v>318.43</v>
      </c>
      <c r="L672" s="143"/>
      <c r="M672" s="136">
        <f t="shared" si="214"/>
        <v>285.72999999999996</v>
      </c>
      <c r="N672" s="32">
        <f t="shared" si="215"/>
        <v>410.21799999999996</v>
      </c>
      <c r="O672" s="32">
        <f t="shared" si="216"/>
        <v>310.83999999999997</v>
      </c>
    </row>
    <row r="673" spans="1:15" s="18" customFormat="1" hidden="1">
      <c r="A673" s="57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36">
        <f t="shared" si="214"/>
        <v>0</v>
      </c>
      <c r="N673" s="32">
        <f t="shared" si="215"/>
        <v>0</v>
      </c>
      <c r="O673" s="32">
        <f t="shared" si="216"/>
        <v>0</v>
      </c>
    </row>
    <row r="674" spans="1:15" s="18" customFormat="1" hidden="1">
      <c r="A674" s="57" t="str">
        <f>A238</f>
        <v>PAT</v>
      </c>
      <c r="B674" s="57">
        <f t="shared" ref="B674:K674" si="228">B238</f>
        <v>160.16999999999999</v>
      </c>
      <c r="C674" s="57">
        <f t="shared" si="228"/>
        <v>231.71</v>
      </c>
      <c r="D674" s="57">
        <f t="shared" si="228"/>
        <v>290.22000000000003</v>
      </c>
      <c r="E674" s="57">
        <f t="shared" si="228"/>
        <v>423.26</v>
      </c>
      <c r="F674" s="57">
        <f t="shared" si="228"/>
        <v>402.58</v>
      </c>
      <c r="G674" s="57">
        <f t="shared" si="228"/>
        <v>446.47</v>
      </c>
      <c r="H674" s="57">
        <f t="shared" si="228"/>
        <v>496.75</v>
      </c>
      <c r="I674" s="57">
        <f t="shared" si="228"/>
        <v>539.87</v>
      </c>
      <c r="J674" s="57">
        <f t="shared" si="228"/>
        <v>558.98</v>
      </c>
      <c r="K674" s="57">
        <f t="shared" si="228"/>
        <v>576.51</v>
      </c>
      <c r="L674" s="57"/>
      <c r="M674" s="136">
        <f t="shared" si="214"/>
        <v>373.46399999999994</v>
      </c>
      <c r="N674" s="32">
        <f t="shared" si="215"/>
        <v>598.40879999999993</v>
      </c>
      <c r="O674" s="32">
        <f t="shared" si="216"/>
        <v>558.45333333333326</v>
      </c>
    </row>
    <row r="675" spans="1:15" s="18" customFormat="1" hidden="1">
      <c r="A675" s="57" t="str">
        <f t="shared" ref="A675:K679" si="229">A239</f>
        <v>Operating CashFlow</v>
      </c>
      <c r="B675" s="57">
        <f t="shared" si="229"/>
        <v>154.24</v>
      </c>
      <c r="C675" s="57">
        <f t="shared" si="229"/>
        <v>281.39999999999998</v>
      </c>
      <c r="D675" s="57">
        <f t="shared" si="229"/>
        <v>319.38</v>
      </c>
      <c r="E675" s="57">
        <f t="shared" si="229"/>
        <v>397.35</v>
      </c>
      <c r="F675" s="57">
        <f t="shared" si="229"/>
        <v>357.91</v>
      </c>
      <c r="G675" s="57">
        <f t="shared" si="229"/>
        <v>402.84</v>
      </c>
      <c r="H675" s="57">
        <f t="shared" si="229"/>
        <v>614.9</v>
      </c>
      <c r="I675" s="57">
        <f t="shared" si="229"/>
        <v>457.38</v>
      </c>
      <c r="J675" s="57">
        <f t="shared" si="229"/>
        <v>638.15</v>
      </c>
      <c r="K675" s="57">
        <f t="shared" si="229"/>
        <v>672.93</v>
      </c>
      <c r="L675" s="57"/>
      <c r="M675" s="136">
        <f t="shared" si="214"/>
        <v>386.084</v>
      </c>
      <c r="N675" s="32">
        <f t="shared" si="215"/>
        <v>634.45679999999993</v>
      </c>
      <c r="O675" s="32">
        <f t="shared" si="216"/>
        <v>589.48666666666668</v>
      </c>
    </row>
    <row r="676" spans="1:15" s="18" customFormat="1" hidden="1">
      <c r="A676" s="57" t="str">
        <f t="shared" si="229"/>
        <v>Sum of PAT - 3 Years</v>
      </c>
      <c r="B676" s="57">
        <f t="shared" si="229"/>
        <v>0</v>
      </c>
      <c r="C676" s="57">
        <f t="shared" si="229"/>
        <v>0</v>
      </c>
      <c r="D676" s="57">
        <f t="shared" si="229"/>
        <v>682.1</v>
      </c>
      <c r="E676" s="57">
        <f t="shared" si="229"/>
        <v>945.19</v>
      </c>
      <c r="F676" s="57">
        <f t="shared" si="229"/>
        <v>1116.06</v>
      </c>
      <c r="G676" s="57">
        <f t="shared" si="229"/>
        <v>1272.31</v>
      </c>
      <c r="H676" s="57">
        <f t="shared" si="229"/>
        <v>1345.8</v>
      </c>
      <c r="I676" s="57">
        <f t="shared" si="229"/>
        <v>1483.0900000000001</v>
      </c>
      <c r="J676" s="57">
        <f t="shared" si="229"/>
        <v>1595.6</v>
      </c>
      <c r="K676" s="57">
        <f t="shared" si="229"/>
        <v>1675.36</v>
      </c>
      <c r="L676" s="57"/>
      <c r="M676" s="136">
        <f t="shared" si="214"/>
        <v>1011.551</v>
      </c>
      <c r="N676" s="32">
        <f t="shared" si="215"/>
        <v>1676.7421999999999</v>
      </c>
      <c r="O676" s="32">
        <f t="shared" si="216"/>
        <v>1584.6833333333334</v>
      </c>
    </row>
    <row r="677" spans="1:15" s="18" customFormat="1" hidden="1">
      <c r="A677" s="57" t="str">
        <f t="shared" si="229"/>
        <v>Sum of Operating cashFlow - 3 Years</v>
      </c>
      <c r="B677" s="57">
        <f t="shared" si="229"/>
        <v>0</v>
      </c>
      <c r="C677" s="57">
        <f t="shared" si="229"/>
        <v>0</v>
      </c>
      <c r="D677" s="57">
        <f t="shared" si="229"/>
        <v>755.02</v>
      </c>
      <c r="E677" s="57">
        <f t="shared" si="229"/>
        <v>998.13</v>
      </c>
      <c r="F677" s="57">
        <f t="shared" si="229"/>
        <v>1074.6400000000001</v>
      </c>
      <c r="G677" s="57">
        <f t="shared" si="229"/>
        <v>1158.0999999999999</v>
      </c>
      <c r="H677" s="57">
        <f t="shared" si="229"/>
        <v>1375.65</v>
      </c>
      <c r="I677" s="57">
        <f t="shared" si="229"/>
        <v>1475.12</v>
      </c>
      <c r="J677" s="57">
        <f t="shared" si="229"/>
        <v>1710.4299999999998</v>
      </c>
      <c r="K677" s="57">
        <f t="shared" si="229"/>
        <v>1768.46</v>
      </c>
      <c r="L677" s="57"/>
      <c r="M677" s="136">
        <f t="shared" si="214"/>
        <v>1031.5549999999998</v>
      </c>
      <c r="N677" s="32">
        <f t="shared" si="215"/>
        <v>1703.8629999999998</v>
      </c>
      <c r="O677" s="32">
        <f t="shared" si="216"/>
        <v>1651.3366666666668</v>
      </c>
    </row>
    <row r="678" spans="1:15" s="18" customFormat="1" hidden="1">
      <c r="A678" s="57" t="str">
        <f t="shared" si="229"/>
        <v>Sum of PAT - 5 Years</v>
      </c>
      <c r="B678" s="57">
        <f t="shared" si="229"/>
        <v>0</v>
      </c>
      <c r="C678" s="57">
        <f t="shared" si="229"/>
        <v>0</v>
      </c>
      <c r="D678" s="57">
        <f t="shared" si="229"/>
        <v>0</v>
      </c>
      <c r="E678" s="57">
        <f t="shared" si="229"/>
        <v>0</v>
      </c>
      <c r="F678" s="57">
        <f t="shared" si="229"/>
        <v>1507.94</v>
      </c>
      <c r="G678" s="57">
        <f t="shared" si="229"/>
        <v>1794.24</v>
      </c>
      <c r="H678" s="57">
        <f t="shared" si="229"/>
        <v>2059.2799999999997</v>
      </c>
      <c r="I678" s="57">
        <f t="shared" si="229"/>
        <v>2308.9299999999998</v>
      </c>
      <c r="J678" s="57">
        <f t="shared" si="229"/>
        <v>2444.65</v>
      </c>
      <c r="K678" s="57">
        <f t="shared" si="229"/>
        <v>2618.58</v>
      </c>
      <c r="L678" s="57"/>
      <c r="M678" s="136">
        <f t="shared" si="214"/>
        <v>1273.3619999999999</v>
      </c>
      <c r="N678" s="32">
        <f t="shared" si="215"/>
        <v>2499.8083999999994</v>
      </c>
      <c r="O678" s="32">
        <f t="shared" si="216"/>
        <v>2457.3866666666668</v>
      </c>
    </row>
    <row r="679" spans="1:15" s="18" customFormat="1" hidden="1">
      <c r="A679" s="57" t="str">
        <f t="shared" si="229"/>
        <v>Sum of Operating cashFlow - 5 Years</v>
      </c>
      <c r="B679" s="57">
        <f t="shared" si="229"/>
        <v>0</v>
      </c>
      <c r="C679" s="57">
        <f t="shared" si="229"/>
        <v>0</v>
      </c>
      <c r="D679" s="57">
        <f t="shared" si="229"/>
        <v>0</v>
      </c>
      <c r="E679" s="57">
        <f t="shared" si="229"/>
        <v>0</v>
      </c>
      <c r="F679" s="57">
        <f t="shared" si="229"/>
        <v>1510.28</v>
      </c>
      <c r="G679" s="57">
        <f t="shared" si="229"/>
        <v>1758.8799999999999</v>
      </c>
      <c r="H679" s="57">
        <f t="shared" si="229"/>
        <v>2092.38</v>
      </c>
      <c r="I679" s="57">
        <f t="shared" si="229"/>
        <v>2230.38</v>
      </c>
      <c r="J679" s="57">
        <f t="shared" si="229"/>
        <v>2471.1800000000003</v>
      </c>
      <c r="K679" s="57">
        <f t="shared" si="229"/>
        <v>2786.2</v>
      </c>
      <c r="L679" s="57"/>
      <c r="M679" s="136">
        <f t="shared" si="214"/>
        <v>1284.9299999999998</v>
      </c>
      <c r="N679" s="32">
        <f t="shared" si="215"/>
        <v>2524.79</v>
      </c>
      <c r="O679" s="32">
        <f t="shared" si="216"/>
        <v>2495.92</v>
      </c>
    </row>
    <row r="680" spans="1:15" s="18" customFormat="1" hidden="1">
      <c r="A680" s="57" t="s">
        <v>442</v>
      </c>
      <c r="B680" s="46"/>
      <c r="C680" s="69"/>
      <c r="D680" s="46"/>
      <c r="E680" s="46"/>
      <c r="F680" s="46"/>
      <c r="G680" s="46"/>
      <c r="H680" s="46"/>
      <c r="I680" s="46"/>
      <c r="J680" s="46"/>
      <c r="K680" s="143">
        <f>SUM(B674:K674)</f>
        <v>4126.5199999999995</v>
      </c>
      <c r="L680" s="143"/>
      <c r="M680" s="136">
        <f t="shared" si="214"/>
        <v>412.65199999999993</v>
      </c>
      <c r="N680" s="32">
        <f t="shared" si="215"/>
        <v>907.83439999999996</v>
      </c>
      <c r="O680" s="32">
        <f t="shared" si="216"/>
        <v>1375.5066666666664</v>
      </c>
    </row>
    <row r="681" spans="1:15" s="18" customFormat="1" hidden="1">
      <c r="A681" s="57" t="s">
        <v>443</v>
      </c>
      <c r="B681" s="46"/>
      <c r="C681" s="69"/>
      <c r="D681" s="46"/>
      <c r="E681" s="46"/>
      <c r="F681" s="46"/>
      <c r="G681" s="46"/>
      <c r="H681" s="46"/>
      <c r="I681" s="46"/>
      <c r="J681" s="46"/>
      <c r="K681" s="143">
        <f>SUM(B675:K675)</f>
        <v>4296.4800000000005</v>
      </c>
      <c r="L681" s="143"/>
      <c r="M681" s="136">
        <f t="shared" si="214"/>
        <v>429.64800000000002</v>
      </c>
      <c r="N681" s="32">
        <f t="shared" si="215"/>
        <v>945.2256000000001</v>
      </c>
      <c r="O681" s="32">
        <f t="shared" si="216"/>
        <v>1432.16</v>
      </c>
    </row>
    <row r="682" spans="1:15" s="18" customFormat="1" hidden="1">
      <c r="A682" s="155"/>
      <c r="C682" s="112"/>
      <c r="M682" s="136">
        <f t="shared" si="214"/>
        <v>0</v>
      </c>
      <c r="N682" s="32">
        <f t="shared" si="215"/>
        <v>0</v>
      </c>
      <c r="O682" s="32">
        <f t="shared" si="216"/>
        <v>0</v>
      </c>
    </row>
    <row r="683" spans="1:15" s="18" customFormat="1" hidden="1">
      <c r="A683" s="57" t="s">
        <v>197</v>
      </c>
      <c r="B683" s="45">
        <f>B534</f>
        <v>0</v>
      </c>
      <c r="C683" s="45">
        <f t="shared" ref="C683:K683" si="230">C534</f>
        <v>0</v>
      </c>
      <c r="D683" s="45">
        <f t="shared" si="230"/>
        <v>0.19807338901323535</v>
      </c>
      <c r="E683" s="45">
        <f t="shared" si="230"/>
        <v>0.34353033638793473</v>
      </c>
      <c r="F683" s="45">
        <f t="shared" si="230"/>
        <v>0.37977361602545345</v>
      </c>
      <c r="G683" s="45">
        <f t="shared" si="230"/>
        <v>0.35436066010646794</v>
      </c>
      <c r="H683" s="45">
        <f t="shared" si="230"/>
        <v>0.27290670778882431</v>
      </c>
      <c r="I683" s="45">
        <f t="shared" si="230"/>
        <v>0.28364448299947753</v>
      </c>
      <c r="J683" s="45">
        <f t="shared" si="230"/>
        <v>0.29157253747325584</v>
      </c>
      <c r="K683" s="45">
        <f t="shared" si="230"/>
        <v>0.26622041814047503</v>
      </c>
      <c r="L683" s="45"/>
      <c r="M683" s="136">
        <f t="shared" si="214"/>
        <v>0.23900821479351242</v>
      </c>
      <c r="N683" s="32">
        <f t="shared" si="215"/>
        <v>0.34154260426040262</v>
      </c>
      <c r="O683" s="32">
        <f t="shared" si="216"/>
        <v>0.28047914620440278</v>
      </c>
    </row>
    <row r="684" spans="1:15" s="51" customFormat="1" hidden="1">
      <c r="A684" s="161" t="s">
        <v>421</v>
      </c>
      <c r="B684" s="161"/>
      <c r="C684" s="45">
        <f>'Profit &amp; Loss'!C10*2/('Balance Sheet'!C10+'Balance Sheet'!B10)</f>
        <v>1.6266117129410453</v>
      </c>
      <c r="D684" s="45">
        <f>'Profit &amp; Loss'!D10*2/('Balance Sheet'!D10+'Balance Sheet'!C10)</f>
        <v>1.8904004598582103</v>
      </c>
      <c r="E684" s="45">
        <f>'Profit &amp; Loss'!E10*2/('Balance Sheet'!E10+'Balance Sheet'!D10)</f>
        <v>2.3037445352594563</v>
      </c>
      <c r="F684" s="45">
        <f>'Profit &amp; Loss'!F10*2/('Balance Sheet'!F10+'Balance Sheet'!E10)</f>
        <v>2.0714741035856576</v>
      </c>
      <c r="G684" s="45">
        <f>'Profit &amp; Loss'!G10*2/('Balance Sheet'!G10+'Balance Sheet'!F10)</f>
        <v>2.3098121577325452</v>
      </c>
      <c r="H684" s="45">
        <f>'Profit &amp; Loss'!H10*2/('Balance Sheet'!H10+'Balance Sheet'!G10)</f>
        <v>2.4782462435523658</v>
      </c>
      <c r="I684" s="45">
        <f>'Profit &amp; Loss'!I10*2/('Balance Sheet'!I10+'Balance Sheet'!H10)</f>
        <v>1.7403445019544093</v>
      </c>
      <c r="J684" s="45">
        <f>'Profit &amp; Loss'!J10*2/('Balance Sheet'!J10+'Balance Sheet'!I10)</f>
        <v>1.166947042594711</v>
      </c>
      <c r="K684" s="45">
        <f>'Profit &amp; Loss'!K10*2/('Balance Sheet'!K10+'Balance Sheet'!J10)</f>
        <v>0.92545202601524257</v>
      </c>
      <c r="L684" s="45"/>
      <c r="M684" s="136">
        <f t="shared" si="214"/>
        <v>1.4886421070552598</v>
      </c>
      <c r="N684" s="32">
        <f t="shared" si="215"/>
        <v>2.0218888157809065</v>
      </c>
      <c r="O684" s="32">
        <f t="shared" si="216"/>
        <v>1.2775811901881209</v>
      </c>
    </row>
    <row r="685" spans="1:15" s="18" customFormat="1" hidden="1">
      <c r="A685" s="57" t="s">
        <v>94</v>
      </c>
      <c r="B685" s="186">
        <f>'Balance Sheet'!B23</f>
        <v>0.57097533152716384</v>
      </c>
      <c r="C685" s="186">
        <f>'Balance Sheet'!C23</f>
        <v>1.4284569385364652</v>
      </c>
      <c r="D685" s="186">
        <f>'Balance Sheet'!D23</f>
        <v>1.3417475728155341</v>
      </c>
      <c r="E685" s="186">
        <f>'Balance Sheet'!E23</f>
        <v>1.2979056146698966</v>
      </c>
      <c r="F685" s="186">
        <f>'Balance Sheet'!F23</f>
        <v>1.0482489259211039</v>
      </c>
      <c r="G685" s="186">
        <f>'Balance Sheet'!G23</f>
        <v>1.0254484485174211</v>
      </c>
      <c r="H685" s="186">
        <f>'Balance Sheet'!H23</f>
        <v>1.0146244817091852</v>
      </c>
      <c r="I685" s="186">
        <f>'Balance Sheet'!I23</f>
        <v>0.89996332599853301</v>
      </c>
      <c r="J685" s="186">
        <f>'Balance Sheet'!J23</f>
        <v>0.72564648457783776</v>
      </c>
      <c r="K685" s="186">
        <f>'Balance Sheet'!K23</f>
        <v>0.56549972044297525</v>
      </c>
      <c r="L685" s="186"/>
      <c r="M685" s="136">
        <f t="shared" si="214"/>
        <v>0.79190845746524863</v>
      </c>
      <c r="N685" s="32">
        <f t="shared" si="215"/>
        <v>1.0046181837422403</v>
      </c>
      <c r="O685" s="32">
        <f t="shared" si="216"/>
        <v>0.7303698436731153</v>
      </c>
    </row>
    <row r="686" spans="1:15" s="18" customFormat="1" hidden="1">
      <c r="A686" s="57" t="s">
        <v>422</v>
      </c>
      <c r="B686" s="186">
        <f>'Balance Sheet'!B24</f>
        <v>0.74063876651982496</v>
      </c>
      <c r="C686" s="186">
        <f>'Balance Sheet'!C24</f>
        <v>1.7109086715867168</v>
      </c>
      <c r="D686" s="186">
        <f>'Balance Sheet'!D24</f>
        <v>1.0312938929153321</v>
      </c>
      <c r="E686" s="186">
        <f>'Balance Sheet'!E24</f>
        <v>1.0750881354815327</v>
      </c>
      <c r="F686" s="186">
        <f>'Balance Sheet'!F24</f>
        <v>1.0765238024618113</v>
      </c>
      <c r="G686" s="186">
        <f>'Balance Sheet'!G24</f>
        <v>1.2456574904370743</v>
      </c>
      <c r="H686" s="186">
        <f>'Balance Sheet'!H24</f>
        <v>1.3122668937769812</v>
      </c>
      <c r="I686" s="186">
        <f>'Balance Sheet'!I24</f>
        <v>1.0093295983287431</v>
      </c>
      <c r="J686" s="186">
        <f>'Balance Sheet'!J24</f>
        <v>0.88817756456816643</v>
      </c>
      <c r="K686" s="186">
        <f>'Balance Sheet'!K24</f>
        <v>0.58938274586429862</v>
      </c>
      <c r="L686" s="186"/>
      <c r="M686" s="136">
        <f t="shared" si="214"/>
        <v>0.82277201238339404</v>
      </c>
      <c r="N686" s="32">
        <f t="shared" si="215"/>
        <v>1.1735172610717317</v>
      </c>
      <c r="O686" s="32">
        <f t="shared" si="216"/>
        <v>0.82896330292040277</v>
      </c>
    </row>
    <row r="687" spans="1:15" s="18" customFormat="1" hidden="1">
      <c r="A687" s="155"/>
      <c r="C687" s="112"/>
      <c r="M687" s="136">
        <f t="shared" si="214"/>
        <v>0</v>
      </c>
      <c r="N687" s="32">
        <f t="shared" si="215"/>
        <v>0</v>
      </c>
      <c r="O687" s="32">
        <f t="shared" si="216"/>
        <v>0</v>
      </c>
    </row>
    <row r="688" spans="1:15" s="18" customFormat="1" hidden="1">
      <c r="A688" s="155"/>
      <c r="C688" s="112"/>
      <c r="M688" s="136">
        <f t="shared" si="214"/>
        <v>0</v>
      </c>
      <c r="N688" s="32">
        <f t="shared" si="215"/>
        <v>0</v>
      </c>
      <c r="O688" s="32">
        <f t="shared" si="216"/>
        <v>0</v>
      </c>
    </row>
    <row r="689" spans="1:15" s="18" customFormat="1" hidden="1">
      <c r="A689" s="57" t="s">
        <v>423</v>
      </c>
      <c r="B689" s="141">
        <f>B224</f>
        <v>7.7234182121772328</v>
      </c>
      <c r="C689" s="141">
        <f t="shared" ref="C689:K689" si="231">C224</f>
        <v>8.2061878637667434</v>
      </c>
      <c r="D689" s="141">
        <f t="shared" si="231"/>
        <v>9.2782415897955257</v>
      </c>
      <c r="E689" s="141">
        <f t="shared" si="231"/>
        <v>9.3255084584679722</v>
      </c>
      <c r="F689" s="141">
        <f t="shared" si="231"/>
        <v>9.1080478087649404</v>
      </c>
      <c r="G689" s="141">
        <f t="shared" si="231"/>
        <v>10.572673562722043</v>
      </c>
      <c r="H689" s="141">
        <f t="shared" si="231"/>
        <v>11.825558794946549</v>
      </c>
      <c r="I689" s="141">
        <f t="shared" si="231"/>
        <v>8.5559128345506057</v>
      </c>
      <c r="J689" s="141">
        <f t="shared" si="231"/>
        <v>5.9543473222229704</v>
      </c>
      <c r="K689" s="141">
        <f t="shared" si="231"/>
        <v>4.6513309344478468</v>
      </c>
      <c r="L689" s="141"/>
      <c r="M689" s="136">
        <f t="shared" si="214"/>
        <v>6.927162130591844</v>
      </c>
      <c r="N689" s="32">
        <f t="shared" si="215"/>
        <v>9.6973971158963721</v>
      </c>
      <c r="O689" s="32">
        <f t="shared" si="216"/>
        <v>6.3871970304071413</v>
      </c>
    </row>
    <row r="690" spans="1:15" s="18" customFormat="1" hidden="1">
      <c r="A690" s="57" t="s">
        <v>47</v>
      </c>
      <c r="B690" s="143">
        <f>'Balance Sheet'!B21</f>
        <v>16.122743682310471</v>
      </c>
      <c r="C690" s="143">
        <f>'Balance Sheet'!C21</f>
        <v>19.478847170809097</v>
      </c>
      <c r="D690" s="143">
        <f>'Balance Sheet'!D21</f>
        <v>20.563091482649842</v>
      </c>
      <c r="E690" s="143">
        <f>'Balance Sheet'!E21</f>
        <v>17.751786521935777</v>
      </c>
      <c r="F690" s="143">
        <f>'Balance Sheet'!F21</f>
        <v>14.873910214703969</v>
      </c>
      <c r="G690" s="143">
        <f>'Balance Sheet'!G21</f>
        <v>12.372427416391032</v>
      </c>
      <c r="H690" s="143">
        <f>'Balance Sheet'!H21</f>
        <v>17.073988127361034</v>
      </c>
      <c r="I690" s="143">
        <f>'Balance Sheet'!I21</f>
        <v>15.853681226189421</v>
      </c>
      <c r="J690" s="143">
        <f>'Balance Sheet'!J21</f>
        <v>15.78694049082187</v>
      </c>
      <c r="K690" s="143">
        <f>'Balance Sheet'!K21</f>
        <v>14.222271577940271</v>
      </c>
      <c r="L690" s="143"/>
      <c r="M690" s="136">
        <f t="shared" si="214"/>
        <v>12.849809705799322</v>
      </c>
      <c r="N690" s="32">
        <f t="shared" si="215"/>
        <v>17.63182370890059</v>
      </c>
      <c r="O690" s="32">
        <f t="shared" si="216"/>
        <v>15.287631098317187</v>
      </c>
    </row>
    <row r="691" spans="1:15" s="18" customFormat="1" hidden="1">
      <c r="A691" s="57" t="str">
        <f>A231</f>
        <v>Debtors turnover</v>
      </c>
      <c r="B691" s="57">
        <f t="shared" ref="B691:K691" si="232">B231</f>
        <v>138.81457663451235</v>
      </c>
      <c r="C691" s="57">
        <f t="shared" si="232"/>
        <v>160.32426550598478</v>
      </c>
      <c r="D691" s="57">
        <f t="shared" si="232"/>
        <v>152.13734290843806</v>
      </c>
      <c r="E691" s="57">
        <f t="shared" si="232"/>
        <v>200.86591606960084</v>
      </c>
      <c r="F691" s="57">
        <f t="shared" si="232"/>
        <v>30.360159362549801</v>
      </c>
      <c r="G691" s="57">
        <f t="shared" si="232"/>
        <v>30.86089148619228</v>
      </c>
      <c r="H691" s="57">
        <f t="shared" si="232"/>
        <v>38.958379509912575</v>
      </c>
      <c r="I691" s="57">
        <f t="shared" si="232"/>
        <v>65.390279554175038</v>
      </c>
      <c r="J691" s="57">
        <f t="shared" si="232"/>
        <v>57.178920160827111</v>
      </c>
      <c r="K691" s="57">
        <f t="shared" si="232"/>
        <v>40.991628914713409</v>
      </c>
      <c r="L691" s="57"/>
      <c r="M691" s="136">
        <f t="shared" si="214"/>
        <v>61.674351796640906</v>
      </c>
      <c r="N691" s="32">
        <f t="shared" si="215"/>
        <v>59.010890284492255</v>
      </c>
      <c r="O691" s="32">
        <f t="shared" si="216"/>
        <v>54.520276209905184</v>
      </c>
    </row>
    <row r="692" spans="1:15" s="18" customFormat="1" hidden="1">
      <c r="A692" s="57" t="str">
        <f>A230</f>
        <v>Working Capital Days</v>
      </c>
      <c r="B692" s="57">
        <f t="shared" ref="B692:K692" si="233">B230</f>
        <v>0</v>
      </c>
      <c r="C692" s="57">
        <f t="shared" si="233"/>
        <v>-11.433551585156813</v>
      </c>
      <c r="D692" s="57">
        <f t="shared" si="233"/>
        <v>-25.932346034288493</v>
      </c>
      <c r="E692" s="57">
        <f t="shared" si="233"/>
        <v>0.87437529870603792</v>
      </c>
      <c r="F692" s="57">
        <f t="shared" si="233"/>
        <v>10.519653903773845</v>
      </c>
      <c r="G692" s="57">
        <f t="shared" si="233"/>
        <v>13.108017076968842</v>
      </c>
      <c r="H692" s="57">
        <f t="shared" si="233"/>
        <v>8.7440731018145623</v>
      </c>
      <c r="I692" s="57">
        <f t="shared" si="233"/>
        <v>6.9047287921841098</v>
      </c>
      <c r="J692" s="57">
        <f t="shared" si="233"/>
        <v>-13.734886736093836</v>
      </c>
      <c r="K692" s="57">
        <f t="shared" si="233"/>
        <v>-17.376718383501501</v>
      </c>
      <c r="L692" s="57"/>
      <c r="M692" s="136">
        <f t="shared" si="214"/>
        <v>-1.6893102980436432</v>
      </c>
      <c r="N692" s="32">
        <f t="shared" si="215"/>
        <v>-0.80881928933429292</v>
      </c>
      <c r="O692" s="32">
        <f t="shared" si="216"/>
        <v>-8.0689587758037415</v>
      </c>
    </row>
    <row r="693" spans="1:15" s="18" customFormat="1" hidden="1">
      <c r="A693" s="57" t="s">
        <v>424</v>
      </c>
      <c r="B693" s="143">
        <f t="shared" ref="B693:K693" si="234">B228</f>
        <v>2.6294068594900932</v>
      </c>
      <c r="C693" s="143">
        <f t="shared" si="234"/>
        <v>2.2766360341527641</v>
      </c>
      <c r="D693" s="143">
        <f t="shared" si="234"/>
        <v>2.3991479870899988</v>
      </c>
      <c r="E693" s="143">
        <f t="shared" si="234"/>
        <v>1.8171325784984151</v>
      </c>
      <c r="F693" s="143">
        <f t="shared" si="234"/>
        <v>12.022334785575561</v>
      </c>
      <c r="G693" s="143">
        <f t="shared" si="234"/>
        <v>11.827266887714751</v>
      </c>
      <c r="H693" s="143">
        <f t="shared" si="234"/>
        <v>9.3689728523520692</v>
      </c>
      <c r="I693" s="143">
        <f t="shared" si="234"/>
        <v>5.5818693923399119</v>
      </c>
      <c r="J693" s="143">
        <f t="shared" si="234"/>
        <v>6.3834713732502246</v>
      </c>
      <c r="K693" s="143">
        <f t="shared" si="234"/>
        <v>8.9042570315859795</v>
      </c>
      <c r="L693" s="143"/>
      <c r="M693" s="136">
        <f t="shared" si="214"/>
        <v>5.830445288840691</v>
      </c>
      <c r="N693" s="32">
        <f t="shared" si="215"/>
        <v>9.5792565652167259</v>
      </c>
      <c r="O693" s="32">
        <f t="shared" si="216"/>
        <v>6.956532599058705</v>
      </c>
    </row>
    <row r="694" spans="1:15" s="18" customFormat="1" hidden="1">
      <c r="A694" s="57" t="str">
        <f>A229</f>
        <v>Inventory Days</v>
      </c>
      <c r="B694" s="57">
        <f t="shared" ref="B694:K694" si="235">B229</f>
        <v>22.638826690550825</v>
      </c>
      <c r="C694" s="57">
        <f t="shared" si="235"/>
        <v>18.738275258249736</v>
      </c>
      <c r="D694" s="57">
        <f t="shared" si="235"/>
        <v>17.750249290480941</v>
      </c>
      <c r="E694" s="57">
        <f t="shared" si="235"/>
        <v>20.56131080378708</v>
      </c>
      <c r="F694" s="57">
        <f t="shared" si="235"/>
        <v>24.539612968698055</v>
      </c>
      <c r="G694" s="57">
        <f t="shared" si="235"/>
        <v>29.501082343505754</v>
      </c>
      <c r="H694" s="57">
        <f t="shared" si="235"/>
        <v>21.377547956419637</v>
      </c>
      <c r="I694" s="57">
        <f t="shared" si="235"/>
        <v>23.02304397271719</v>
      </c>
      <c r="J694" s="57">
        <f t="shared" si="235"/>
        <v>23.120375997629296</v>
      </c>
      <c r="K694" s="57">
        <f t="shared" si="235"/>
        <v>25.66397343769896</v>
      </c>
      <c r="L694" s="57"/>
      <c r="M694" s="136">
        <f t="shared" si="214"/>
        <v>18.553719677093689</v>
      </c>
      <c r="N694" s="32">
        <f t="shared" si="215"/>
        <v>28.247948677012904</v>
      </c>
      <c r="O694" s="32">
        <f t="shared" si="216"/>
        <v>23.935797802681815</v>
      </c>
    </row>
    <row r="695" spans="1:15" s="18" customFormat="1" hidden="1">
      <c r="A695" s="57" t="s">
        <v>425</v>
      </c>
      <c r="B695" s="46">
        <f>'Data Sheet'!B62</f>
        <v>167.69</v>
      </c>
      <c r="C695" s="46">
        <f>'Data Sheet'!C62</f>
        <v>191.4</v>
      </c>
      <c r="D695" s="46">
        <f>'Data Sheet'!D62</f>
        <v>173.93</v>
      </c>
      <c r="E695" s="46">
        <f>'Data Sheet'!E62</f>
        <v>246.95</v>
      </c>
      <c r="F695" s="46">
        <f>'Data Sheet'!F62</f>
        <v>255.05</v>
      </c>
      <c r="G695" s="46">
        <f>'Data Sheet'!G62</f>
        <v>254.42</v>
      </c>
      <c r="H695" s="46">
        <f>'Data Sheet'!H62</f>
        <v>280.66000000000003</v>
      </c>
      <c r="I695" s="46">
        <f>'Data Sheet'!I62</f>
        <v>555.91</v>
      </c>
      <c r="J695" s="46">
        <f>'Data Sheet'!J62</f>
        <v>781.58</v>
      </c>
      <c r="K695" s="46">
        <f>'Data Sheet'!K62</f>
        <v>1008.14</v>
      </c>
      <c r="L695" s="46"/>
      <c r="M695" s="136">
        <f t="shared" si="214"/>
        <v>355.66399999999999</v>
      </c>
      <c r="N695" s="32">
        <f t="shared" si="215"/>
        <v>647.27479999999991</v>
      </c>
      <c r="O695" s="32">
        <f t="shared" si="216"/>
        <v>781.87666666666667</v>
      </c>
    </row>
    <row r="696" spans="1:15" s="18" customFormat="1" hidden="1">
      <c r="A696" s="57" t="s">
        <v>426</v>
      </c>
      <c r="B696" s="46">
        <f>'Data Sheet'!B63</f>
        <v>24.34</v>
      </c>
      <c r="C696" s="46">
        <f>'Data Sheet'!C63</f>
        <v>7.59</v>
      </c>
      <c r="D696" s="46">
        <f>'Data Sheet'!D63</f>
        <v>4.67</v>
      </c>
      <c r="E696" s="46">
        <f>'Data Sheet'!E63</f>
        <v>6.19</v>
      </c>
      <c r="F696" s="46">
        <f>'Data Sheet'!F63</f>
        <v>8.2100000000000009</v>
      </c>
      <c r="G696" s="46">
        <f>'Data Sheet'!G63</f>
        <v>69.38</v>
      </c>
      <c r="H696" s="46">
        <f>'Data Sheet'!H63</f>
        <v>101.96</v>
      </c>
      <c r="I696" s="46">
        <f>'Data Sheet'!I63</f>
        <v>141.51</v>
      </c>
      <c r="J696" s="46">
        <f>'Data Sheet'!J63</f>
        <v>141.18</v>
      </c>
      <c r="K696" s="46">
        <f>'Data Sheet'!K63</f>
        <v>78.37</v>
      </c>
      <c r="L696" s="46"/>
      <c r="M696" s="136">
        <f t="shared" si="214"/>
        <v>55.147000000000006</v>
      </c>
      <c r="N696" s="32">
        <f t="shared" si="215"/>
        <v>117.5094</v>
      </c>
      <c r="O696" s="32">
        <f t="shared" si="216"/>
        <v>120.35333333333334</v>
      </c>
    </row>
    <row r="697" spans="1:15" s="18" customFormat="1" hidden="1">
      <c r="A697" s="57" t="s">
        <v>427</v>
      </c>
      <c r="B697" s="46">
        <f>'Data Sheet'!B57</f>
        <v>135.99</v>
      </c>
      <c r="C697" s="46">
        <f>'Data Sheet'!C57</f>
        <v>13.6</v>
      </c>
      <c r="D697" s="46">
        <f>'Data Sheet'!D57</f>
        <v>13.6</v>
      </c>
      <c r="E697" s="46">
        <f>'Data Sheet'!E57</f>
        <v>13.6</v>
      </c>
      <c r="F697" s="46">
        <f>'Data Sheet'!F57</f>
        <v>13.6</v>
      </c>
      <c r="G697" s="46">
        <f>'Data Sheet'!G57</f>
        <v>13.6</v>
      </c>
      <c r="H697" s="46">
        <f>'Data Sheet'!H57</f>
        <v>13.6</v>
      </c>
      <c r="I697" s="46">
        <f>'Data Sheet'!I57</f>
        <v>13.6</v>
      </c>
      <c r="J697" s="46">
        <f>'Data Sheet'!J57</f>
        <v>13.6</v>
      </c>
      <c r="K697" s="46">
        <f>'Data Sheet'!K57</f>
        <v>27.2</v>
      </c>
      <c r="L697" s="46"/>
      <c r="M697" s="136">
        <f t="shared" si="214"/>
        <v>12.239999999999998</v>
      </c>
      <c r="N697" s="32">
        <f t="shared" si="215"/>
        <v>18.767999999999997</v>
      </c>
      <c r="O697" s="32">
        <f t="shared" si="216"/>
        <v>18.133333333333333</v>
      </c>
    </row>
    <row r="698" spans="1:15" s="18" customFormat="1" hidden="1">
      <c r="A698" s="45" t="str">
        <f>A144</f>
        <v>EPA3/Sales  (CoC 10%)</v>
      </c>
      <c r="B698" s="45">
        <f t="shared" ref="B698:K698" si="236">B144</f>
        <v>7.1478067743647067E-2</v>
      </c>
      <c r="C698" s="45">
        <f t="shared" si="236"/>
        <v>0.10598606526787112</v>
      </c>
      <c r="D698" s="45">
        <f t="shared" si="236"/>
        <v>0.10756975852919708</v>
      </c>
      <c r="E698" s="45">
        <f t="shared" si="236"/>
        <v>0.1567614116975633</v>
      </c>
      <c r="F698" s="45">
        <f t="shared" si="236"/>
        <v>0.14756846460134143</v>
      </c>
      <c r="G698" s="45">
        <f t="shared" si="236"/>
        <v>0.13750041539337299</v>
      </c>
      <c r="H698" s="45">
        <f t="shared" si="236"/>
        <v>0.13120623124944264</v>
      </c>
      <c r="I698" s="45">
        <f t="shared" si="236"/>
        <v>0.11135856275538909</v>
      </c>
      <c r="J698" s="45">
        <f t="shared" si="236"/>
        <v>0.11599921061872394</v>
      </c>
      <c r="K698" s="45">
        <f t="shared" si="236"/>
        <v>0.10811399860434048</v>
      </c>
      <c r="L698" s="45"/>
      <c r="M698" s="136">
        <f t="shared" si="214"/>
        <v>0.10160780534493712</v>
      </c>
      <c r="N698" s="32">
        <f t="shared" si="215"/>
        <v>0.14115724479324124</v>
      </c>
      <c r="O698" s="32">
        <f t="shared" si="216"/>
        <v>0.11182392399281783</v>
      </c>
    </row>
    <row r="699" spans="1:15" s="75" customFormat="1" hidden="1">
      <c r="A699" s="193" t="str">
        <f>A321</f>
        <v>OE with 3 Yr  Maintenace Capex/sales</v>
      </c>
      <c r="B699" s="140"/>
      <c r="C699" s="191"/>
      <c r="D699" s="191">
        <f t="shared" ref="D699:K699" si="237">D321</f>
        <v>0.1989109414758003</v>
      </c>
      <c r="E699" s="191">
        <f t="shared" si="237"/>
        <v>0.19301005546955863</v>
      </c>
      <c r="F699" s="191">
        <f t="shared" si="237"/>
        <v>0.18699898022314276</v>
      </c>
      <c r="G699" s="191">
        <f t="shared" si="237"/>
        <v>0.15899734173827748</v>
      </c>
      <c r="H699" s="191">
        <f t="shared" si="237"/>
        <v>0.15274399604280769</v>
      </c>
      <c r="I699" s="191">
        <f t="shared" si="237"/>
        <v>7.4331978235321741E-2</v>
      </c>
      <c r="J699" s="191">
        <f t="shared" si="237"/>
        <v>9.6253779016658589E-2</v>
      </c>
      <c r="K699" s="191">
        <f t="shared" si="237"/>
        <v>0.10638547788651616</v>
      </c>
      <c r="L699" s="191"/>
      <c r="M699" s="136">
        <f t="shared" si="214"/>
        <v>0.11676325500880833</v>
      </c>
      <c r="N699" s="32">
        <f t="shared" si="215"/>
        <v>0.141095165585678</v>
      </c>
      <c r="O699" s="32">
        <f t="shared" si="216"/>
        <v>9.2323745046165487E-2</v>
      </c>
    </row>
    <row r="700" spans="1:15" s="2" customFormat="1" hidden="1">
      <c r="A700" s="192" t="str">
        <f t="shared" ref="A700:K700" si="238">A322</f>
        <v>OE with 3 Year Avg Capex/Sales</v>
      </c>
      <c r="B700" s="138">
        <f t="shared" si="238"/>
        <v>0</v>
      </c>
      <c r="C700" s="135">
        <f t="shared" si="238"/>
        <v>0</v>
      </c>
      <c r="D700" s="135">
        <f t="shared" si="238"/>
        <v>0</v>
      </c>
      <c r="E700" s="191">
        <f t="shared" si="238"/>
        <v>0.21079325608335114</v>
      </c>
      <c r="F700" s="191">
        <f t="shared" si="238"/>
        <v>0.16788999119322986</v>
      </c>
      <c r="G700" s="191">
        <f t="shared" si="238"/>
        <v>0.14864555447053043</v>
      </c>
      <c r="H700" s="191">
        <f t="shared" si="238"/>
        <v>0.14482643816579802</v>
      </c>
      <c r="I700" s="191">
        <f t="shared" si="238"/>
        <v>0.11213597070907184</v>
      </c>
      <c r="J700" s="191">
        <f t="shared" si="238"/>
        <v>9.489260678630683E-2</v>
      </c>
      <c r="K700" s="191">
        <f t="shared" si="238"/>
        <v>8.9909641086997769E-2</v>
      </c>
      <c r="L700" s="191"/>
      <c r="M700" s="136">
        <f t="shared" si="214"/>
        <v>9.690934584952858E-2</v>
      </c>
      <c r="N700" s="32">
        <f t="shared" si="215"/>
        <v>0.13746391141364669</v>
      </c>
      <c r="O700" s="32">
        <f t="shared" si="216"/>
        <v>9.8979406194125485E-2</v>
      </c>
    </row>
    <row r="701" spans="1:15" s="32" customFormat="1" hidden="1">
      <c r="A701" s="194" t="str">
        <f>A326</f>
        <v>OE with 3 Year Avg (PAT DEPRI CAPEX )/Sales</v>
      </c>
      <c r="B701" s="191"/>
      <c r="C701" s="191"/>
      <c r="D701" s="191"/>
      <c r="E701" s="191">
        <f t="shared" ref="E701:K701" si="239">E326</f>
        <v>0.15016526876131661</v>
      </c>
      <c r="F701" s="191">
        <f t="shared" si="239"/>
        <v>0.15335882047603216</v>
      </c>
      <c r="G701" s="191">
        <f t="shared" si="239"/>
        <v>0.13949916395307246</v>
      </c>
      <c r="H701" s="191">
        <f t="shared" si="239"/>
        <v>0.128149288358024</v>
      </c>
      <c r="I701" s="191">
        <f t="shared" si="239"/>
        <v>9.7698210671517474E-2</v>
      </c>
      <c r="J701" s="191">
        <f t="shared" si="239"/>
        <v>8.3430019873060188E-2</v>
      </c>
      <c r="K701" s="191">
        <f t="shared" si="239"/>
        <v>7.7799320406154629E-2</v>
      </c>
      <c r="L701" s="191"/>
      <c r="M701" s="136">
        <f t="shared" si="214"/>
        <v>8.3010009249917763E-2</v>
      </c>
      <c r="N701" s="32">
        <f t="shared" si="215"/>
        <v>0.1219172025023493</v>
      </c>
      <c r="O701" s="32">
        <f t="shared" si="216"/>
        <v>8.6309183650244092E-2</v>
      </c>
    </row>
    <row r="702" spans="1:15" s="75" customFormat="1" hidden="1">
      <c r="A702" s="140" t="str">
        <f t="shared" ref="A702:K702" si="240">A342</f>
        <v>Defensive earnings3(Net Profit - Change in IC 3)</v>
      </c>
      <c r="B702" s="140">
        <f t="shared" si="240"/>
        <v>0</v>
      </c>
      <c r="C702" s="191">
        <f t="shared" si="240"/>
        <v>288.85999999999996</v>
      </c>
      <c r="D702" s="191">
        <f t="shared" si="240"/>
        <v>201.87000000000015</v>
      </c>
      <c r="E702" s="191">
        <f t="shared" si="240"/>
        <v>296.21999999999991</v>
      </c>
      <c r="F702" s="191">
        <f t="shared" si="240"/>
        <v>366.92</v>
      </c>
      <c r="G702" s="191">
        <f t="shared" si="240"/>
        <v>403.51</v>
      </c>
      <c r="H702" s="191">
        <f t="shared" si="240"/>
        <v>442.6</v>
      </c>
      <c r="I702" s="191">
        <f t="shared" si="240"/>
        <v>419.59000000000003</v>
      </c>
      <c r="J702" s="191">
        <f t="shared" si="240"/>
        <v>388.53999999999996</v>
      </c>
      <c r="K702" s="191">
        <f t="shared" si="240"/>
        <v>320.36000000000013</v>
      </c>
      <c r="L702" s="191"/>
      <c r="M702" s="136">
        <f t="shared" si="214"/>
        <v>283.96100000000001</v>
      </c>
      <c r="N702" s="32">
        <f t="shared" si="215"/>
        <v>451.71220000000005</v>
      </c>
      <c r="O702" s="32">
        <f t="shared" si="216"/>
        <v>376.16333333333341</v>
      </c>
    </row>
    <row r="703" spans="1:15" s="2" customFormat="1" hidden="1">
      <c r="A703" s="138" t="s">
        <v>581</v>
      </c>
      <c r="B703" s="140">
        <f>B715/'Profit &amp; Loss'!B4</f>
        <v>2.3912472782865169E-2</v>
      </c>
      <c r="C703" s="191">
        <f>C715/'Profit &amp; Loss'!C4</f>
        <v>3.727483744858761E-2</v>
      </c>
      <c r="D703" s="191">
        <f>D715/'Profit &amp; Loss'!D4</f>
        <v>5.0878859577179754E-2</v>
      </c>
      <c r="E703" s="191">
        <f>E715/'Profit &amp; Loss'!E4</f>
        <v>7.7086921516871659E-2</v>
      </c>
      <c r="F703" s="191">
        <f>F715/'Profit &amp; Loss'!F4</f>
        <v>4.5229471768761034E-2</v>
      </c>
      <c r="G703" s="191">
        <f>G715/'Profit &amp; Loss'!G4</f>
        <v>3.9539883337108235E-2</v>
      </c>
      <c r="H703" s="191">
        <f>H715/'Profit &amp; Loss'!H4</f>
        <v>3.6655172086819385E-2</v>
      </c>
      <c r="I703" s="191">
        <f>I715/'Profit &amp; Loss'!I4</f>
        <v>4.8253469728764591E-2</v>
      </c>
      <c r="J703" s="191">
        <f>J715/'Profit &amp; Loss'!J4</f>
        <v>5.8413738027192783E-2</v>
      </c>
      <c r="K703" s="191">
        <f>K715/'Profit &amp; Loss'!K4</f>
        <v>7.3161648996105499E-2</v>
      </c>
      <c r="L703" s="191"/>
      <c r="M703" s="136">
        <f t="shared" si="214"/>
        <v>4.2921916503880296E-2</v>
      </c>
      <c r="N703" s="32">
        <f t="shared" si="215"/>
        <v>5.9789165735974162E-2</v>
      </c>
      <c r="O703" s="32">
        <f t="shared" si="216"/>
        <v>5.9942952250687624E-2</v>
      </c>
    </row>
    <row r="704" spans="1:15" s="18" customFormat="1" hidden="1">
      <c r="A704" s="57" t="s">
        <v>130</v>
      </c>
      <c r="B704" s="141">
        <f>B741/'Profit &amp; Loss'!B8</f>
        <v>0</v>
      </c>
      <c r="C704" s="141">
        <f>C741/'Profit &amp; Loss'!C8</f>
        <v>1.3508064516129037</v>
      </c>
      <c r="D704" s="141">
        <f>D741/'Profit &amp; Loss'!D8</f>
        <v>0.11154684095860561</v>
      </c>
      <c r="E704" s="141">
        <f>E741/'Profit &amp; Loss'!E8</f>
        <v>2.9840298110194299</v>
      </c>
      <c r="F704" s="141">
        <f>F741/'Profit &amp; Loss'!F8</f>
        <v>1.295474452554745</v>
      </c>
      <c r="G704" s="141">
        <f>G741/'Profit &amp; Loss'!G8</f>
        <v>2.5400661409310596</v>
      </c>
      <c r="H704" s="141">
        <f>H741/'Profit &amp; Loss'!H8</f>
        <v>2.3459954233409617</v>
      </c>
      <c r="I704" s="141">
        <f>I741/'Profit &amp; Loss'!I8</f>
        <v>7.2029556650246294</v>
      </c>
      <c r="J704" s="141">
        <f>J741/'Profit &amp; Loss'!J8</f>
        <v>4.0037323380431893</v>
      </c>
      <c r="K704" s="141">
        <f>K741/'Profit &amp; Loss'!K8</f>
        <v>2.4697962480926305</v>
      </c>
      <c r="L704" s="141"/>
      <c r="M704" s="136">
        <f t="shared" si="214"/>
        <v>2.2953596919965249</v>
      </c>
      <c r="N704" s="32">
        <f t="shared" si="215"/>
        <v>4.1715811014857991</v>
      </c>
      <c r="O704" s="32">
        <f t="shared" si="216"/>
        <v>4.55882808372015</v>
      </c>
    </row>
    <row r="705" spans="1:15" s="18" customFormat="1" hidden="1">
      <c r="A705" s="57" t="s">
        <v>574</v>
      </c>
      <c r="B705" s="161">
        <f>B739/'Profit &amp; Loss'!B4</f>
        <v>0.11909137236128912</v>
      </c>
      <c r="C705" s="161">
        <f>C739/'Profit &amp; Loss'!C4</f>
        <v>0.19098942567429988</v>
      </c>
      <c r="D705" s="161">
        <f>D739/'Profit &amp; Loss'!D4</f>
        <v>0.18844590249054466</v>
      </c>
      <c r="E705" s="161">
        <f>E739/'Profit &amp; Loss'!E4</f>
        <v>0.20247546446806561</v>
      </c>
      <c r="F705" s="161">
        <f>F739/'Profit &amp; Loss'!F4</f>
        <v>0.15655783598411283</v>
      </c>
      <c r="G705" s="161">
        <f>G739/'Profit &amp; Loss'!G4</f>
        <v>0.14957504557724366</v>
      </c>
      <c r="H705" s="161">
        <f>H739/'Profit &amp; Loss'!H4</f>
        <v>0.19435427538316144</v>
      </c>
      <c r="I705" s="161">
        <f>I739/'Profit &amp; Loss'!I4</f>
        <v>0.12780225829256095</v>
      </c>
      <c r="J705" s="161">
        <f>J739/'Profit &amp; Loss'!J4</f>
        <v>0.16026107877064946</v>
      </c>
      <c r="K705" s="161">
        <f>K739/'Profit &amp; Loss'!K4</f>
        <v>0.16167302134161723</v>
      </c>
      <c r="L705" s="161"/>
      <c r="M705" s="136">
        <f t="shared" si="214"/>
        <v>0.13411448823079558</v>
      </c>
      <c r="N705" s="32">
        <f t="shared" si="215"/>
        <v>0.18555603351920563</v>
      </c>
      <c r="O705" s="32">
        <f t="shared" si="216"/>
        <v>0.14991211946827587</v>
      </c>
    </row>
    <row r="706" spans="1:15" s="18" customFormat="1" hidden="1">
      <c r="A706" s="57" t="s">
        <v>575</v>
      </c>
      <c r="B706" s="161">
        <f>B739/'Profit &amp; Loss'!B12</f>
        <v>0.96297683711057014</v>
      </c>
      <c r="C706" s="161">
        <f>C739/'Profit &amp; Loss'!C12</f>
        <v>1.2144490958525742</v>
      </c>
      <c r="D706" s="161">
        <f>D739/'Profit &amp; Loss'!D12</f>
        <v>1.1004755013438081</v>
      </c>
      <c r="E706" s="161">
        <f>E739/'Profit &amp; Loss'!E12</f>
        <v>0.93878467136039323</v>
      </c>
      <c r="F706" s="161">
        <f>F739/'Profit &amp; Loss'!F12</f>
        <v>0.88904068756520449</v>
      </c>
      <c r="G706" s="161">
        <f>G739/'Profit &amp; Loss'!G12</f>
        <v>0.90227786861379256</v>
      </c>
      <c r="H706" s="161">
        <f>H739/'Profit &amp; Loss'!H12</f>
        <v>1.2378459989934574</v>
      </c>
      <c r="I706" s="161">
        <f>I739/'Profit &amp; Loss'!I12</f>
        <v>0.84720395650804825</v>
      </c>
      <c r="J706" s="161">
        <f>J739/'Profit &amp; Loss'!J12</f>
        <v>1.1416329743461304</v>
      </c>
      <c r="K706" s="161">
        <f>K739/'Profit &amp; Loss'!K12</f>
        <v>1.1672477493885622</v>
      </c>
      <c r="L706" s="161"/>
      <c r="M706" s="136">
        <f t="shared" si="214"/>
        <v>0.82245094081193959</v>
      </c>
      <c r="N706" s="32">
        <f t="shared" si="215"/>
        <v>1.2237318977323861</v>
      </c>
      <c r="O706" s="32">
        <f t="shared" si="216"/>
        <v>1.0520282267475805</v>
      </c>
    </row>
    <row r="707" spans="1:15" s="18" customFormat="1" hidden="1">
      <c r="A707" s="57" t="s">
        <v>572</v>
      </c>
      <c r="B707" s="161">
        <f>Customization!B743/'Profit &amp; Loss'!B4</f>
        <v>0.11909137236128912</v>
      </c>
      <c r="C707" s="161">
        <f>Customization!C743/'Profit &amp; Loss'!C4</f>
        <v>0.17279995656246178</v>
      </c>
      <c r="D707" s="161">
        <f>Customization!D743/'Profit &amp; Loss'!D4</f>
        <v>0.18693540868887959</v>
      </c>
      <c r="E707" s="161">
        <f>Customization!E743/'Profit &amp; Loss'!E4</f>
        <v>0.14534818544072237</v>
      </c>
      <c r="F707" s="161">
        <f>Customization!F743/'Profit &amp; Loss'!F4</f>
        <v>0.13714940598043848</v>
      </c>
      <c r="G707" s="161">
        <f>Customization!G743/'Profit &amp; Loss'!G4</f>
        <v>0.11250060336473305</v>
      </c>
      <c r="H707" s="161">
        <f>Customization!H743/'Profit &amp; Loss'!H4</f>
        <v>0.16195030675040534</v>
      </c>
      <c r="I707" s="161">
        <f>Customization!I743/'Profit &amp; Loss'!I4</f>
        <v>2.5659367219830066E-2</v>
      </c>
      <c r="J707" s="161">
        <f>Customization!J743/'Profit &amp; Loss'!J4</f>
        <v>8.483050975152813E-2</v>
      </c>
      <c r="K707" s="161">
        <f>Customization!K743/'Profit &amp; Loss'!K4</f>
        <v>9.5565181666822832E-2</v>
      </c>
      <c r="L707" s="161"/>
      <c r="M707" s="136">
        <f t="shared" si="214"/>
        <v>9.4993896886335999E-2</v>
      </c>
      <c r="N707" s="32">
        <f t="shared" si="215"/>
        <v>0.11509997312793108</v>
      </c>
      <c r="O707" s="32">
        <f t="shared" si="216"/>
        <v>6.8685019546060336E-2</v>
      </c>
    </row>
    <row r="708" spans="1:15" s="18" customFormat="1" hidden="1">
      <c r="A708" s="57" t="s">
        <v>573</v>
      </c>
      <c r="B708" s="161">
        <f>B743/'Profit &amp; Loss'!B12</f>
        <v>0.96297683711057014</v>
      </c>
      <c r="C708" s="161">
        <f>C743/'Profit &amp; Loss'!C12</f>
        <v>1.0987872771999481</v>
      </c>
      <c r="D708" s="161">
        <f>D743/'Profit &amp; Loss'!D12</f>
        <v>1.0916546068499757</v>
      </c>
      <c r="E708" s="161">
        <f>E743/'Profit &amp; Loss'!E12</f>
        <v>0.67391201625478436</v>
      </c>
      <c r="F708" s="161">
        <f>F743/'Profit &amp; Loss'!F12</f>
        <v>0.77882656863232158</v>
      </c>
      <c r="G708" s="161">
        <f>G743/'Profit &amp; Loss'!G12</f>
        <v>0.6786346227070128</v>
      </c>
      <c r="H708" s="161">
        <f>H743/'Profit &amp; Loss'!H12</f>
        <v>1.0314645193759433</v>
      </c>
      <c r="I708" s="161">
        <f>I743/'Profit &amp; Loss'!I12</f>
        <v>0.1700965047140979</v>
      </c>
      <c r="J708" s="161">
        <f>J743/'Profit &amp; Loss'!J12</f>
        <v>0.60429711259794605</v>
      </c>
      <c r="K708" s="161">
        <f>K743/'Profit &amp; Loss'!K12</f>
        <v>0.68996201280116565</v>
      </c>
      <c r="L708" s="161"/>
      <c r="M708" s="136">
        <f t="shared" si="214"/>
        <v>0.57188479639332468</v>
      </c>
      <c r="N708" s="32">
        <f t="shared" si="215"/>
        <v>0.74926791371789803</v>
      </c>
      <c r="O708" s="32">
        <f t="shared" si="216"/>
        <v>0.4881185433710698</v>
      </c>
    </row>
    <row r="709" spans="1:15" s="18" customFormat="1" hidden="1">
      <c r="A709" s="57" t="s">
        <v>428</v>
      </c>
      <c r="B709" s="46">
        <f>'Data Sheet'!B31</f>
        <v>129.19999999999999</v>
      </c>
      <c r="C709" s="46">
        <f>'Data Sheet'!C31</f>
        <v>176.79</v>
      </c>
      <c r="D709" s="46">
        <f>'Data Sheet'!D31</f>
        <v>203.99</v>
      </c>
      <c r="E709" s="46">
        <f>'Data Sheet'!E31</f>
        <v>271.98</v>
      </c>
      <c r="F709" s="46">
        <f>'Data Sheet'!F31</f>
        <v>299.18</v>
      </c>
      <c r="G709" s="46">
        <f>'Data Sheet'!G31</f>
        <v>339.98</v>
      </c>
      <c r="H709" s="46">
        <f>'Data Sheet'!H31</f>
        <v>380.78</v>
      </c>
      <c r="I709" s="46">
        <f>'Data Sheet'!I31</f>
        <v>367.18</v>
      </c>
      <c r="J709" s="46">
        <f>'Data Sheet'!J31</f>
        <v>326.38</v>
      </c>
      <c r="K709" s="46">
        <f>'Data Sheet'!K31</f>
        <v>271.99</v>
      </c>
      <c r="L709" s="46"/>
      <c r="M709" s="136">
        <f t="shared" ref="M709:M755" si="241">SUM(D709:K709)/10</f>
        <v>246.14600000000002</v>
      </c>
      <c r="N709" s="32">
        <f t="shared" ref="N709:N755" si="242">SUM(G709:M709)/5</f>
        <v>386.49120000000005</v>
      </c>
      <c r="O709" s="32">
        <f t="shared" ref="O709:O755" si="243">SUM(I709:K709)/3</f>
        <v>321.84999999999997</v>
      </c>
    </row>
    <row r="710" spans="1:15" s="18" customFormat="1" ht="18" hidden="1">
      <c r="A710" s="57" t="s">
        <v>559</v>
      </c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136">
        <f t="shared" si="241"/>
        <v>0</v>
      </c>
      <c r="N710" s="32">
        <f t="shared" si="242"/>
        <v>0</v>
      </c>
      <c r="O710" s="32">
        <f t="shared" si="243"/>
        <v>0</v>
      </c>
    </row>
    <row r="711" spans="1:15" s="18" customFormat="1" hidden="1">
      <c r="A711" s="57" t="s">
        <v>557</v>
      </c>
      <c r="B711" s="46">
        <f>'Data Sheet'!B30-'Data Sheet'!B25</f>
        <v>93.169999999999987</v>
      </c>
      <c r="C711" s="46">
        <f>'Data Sheet'!C30-'Data Sheet'!C25</f>
        <v>146.93</v>
      </c>
      <c r="D711" s="46">
        <f>'Data Sheet'!D30-'Data Sheet'!D25</f>
        <v>182.46000000000004</v>
      </c>
      <c r="E711" s="46">
        <f>'Data Sheet'!E30-'Data Sheet'!E25</f>
        <v>324.8</v>
      </c>
      <c r="F711" s="46">
        <f>'Data Sheet'!F30-'Data Sheet'!F25</f>
        <v>361.34</v>
      </c>
      <c r="G711" s="46">
        <f>'Data Sheet'!G30-'Data Sheet'!G25</f>
        <v>395.78000000000003</v>
      </c>
      <c r="H711" s="46">
        <f>'Data Sheet'!H30-'Data Sheet'!H25</f>
        <v>446.83</v>
      </c>
      <c r="I711" s="46">
        <f>'Data Sheet'!I30-'Data Sheet'!I25</f>
        <v>425.17</v>
      </c>
      <c r="J711" s="46">
        <f>'Data Sheet'!J30-'Data Sheet'!J25</f>
        <v>525.81000000000006</v>
      </c>
      <c r="K711" s="46">
        <f>'Data Sheet'!K30-'Data Sheet'!K25</f>
        <v>536.9</v>
      </c>
      <c r="L711" s="46"/>
      <c r="M711" s="136">
        <f t="shared" si="241"/>
        <v>319.90899999999999</v>
      </c>
      <c r="N711" s="32">
        <f t="shared" si="242"/>
        <v>530.07980000000009</v>
      </c>
      <c r="O711" s="32">
        <f t="shared" si="243"/>
        <v>495.96000000000004</v>
      </c>
    </row>
    <row r="712" spans="1:15" s="18" customFormat="1" hidden="1">
      <c r="A712" s="57" t="s">
        <v>560</v>
      </c>
      <c r="B712" s="46"/>
      <c r="C712" s="46">
        <f>'Data Sheet'!B30+'Data Sheet'!B58-'Data Sheet'!C31</f>
        <v>127.91</v>
      </c>
      <c r="D712" s="46">
        <f>'Data Sheet'!C30+'Data Sheet'!C58-'Data Sheet'!D31</f>
        <v>176.33000000000004</v>
      </c>
      <c r="E712" s="46">
        <f>'Data Sheet'!D30+'Data Sheet'!D58-'Data Sheet'!E31</f>
        <v>220.94</v>
      </c>
      <c r="F712" s="46">
        <f>'Data Sheet'!E30+'Data Sheet'!E58-'Data Sheet'!F31</f>
        <v>436.59</v>
      </c>
      <c r="G712" s="46">
        <f>'Data Sheet'!F30+'Data Sheet'!F58-'Data Sheet'!G31</f>
        <v>433.04999999999995</v>
      </c>
      <c r="H712" s="46">
        <f>'Data Sheet'!G30+'Data Sheet'!G58-'Data Sheet'!H31</f>
        <v>487.48</v>
      </c>
      <c r="I712" s="46">
        <f>'Data Sheet'!H30+'Data Sheet'!H58-'Data Sheet'!I31</f>
        <v>605.55999999999995</v>
      </c>
      <c r="J712" s="46">
        <f>'Data Sheet'!I30+'Data Sheet'!I58-'Data Sheet'!J31</f>
        <v>799.7700000000001</v>
      </c>
      <c r="K712" s="46">
        <f>'Data Sheet'!J30+'Data Sheet'!J58-'Data Sheet'!K31</f>
        <v>1043.71</v>
      </c>
      <c r="L712" s="46"/>
      <c r="M712" s="136">
        <f t="shared" si="241"/>
        <v>420.34300000000002</v>
      </c>
      <c r="N712" s="32">
        <f t="shared" si="242"/>
        <v>757.98260000000005</v>
      </c>
      <c r="O712" s="32">
        <f t="shared" si="243"/>
        <v>816.34666666666669</v>
      </c>
    </row>
    <row r="713" spans="1:15" s="18" customFormat="1" hidden="1">
      <c r="A713" s="57" t="s">
        <v>558</v>
      </c>
      <c r="B713" s="46"/>
      <c r="C713" s="46">
        <f>('Data Sheet'!C58-'Data Sheet'!B58)</f>
        <v>4.0800000000000125</v>
      </c>
      <c r="D713" s="46">
        <f>('Data Sheet'!D58-'Data Sheet'!C58)</f>
        <v>54.089999999999975</v>
      </c>
      <c r="E713" s="46">
        <f>('Data Sheet'!E58-'Data Sheet'!D58)</f>
        <v>109.81</v>
      </c>
      <c r="F713" s="46">
        <f>('Data Sheet'!F58-'Data Sheet'!E58)</f>
        <v>57.94</v>
      </c>
      <c r="G713" s="46">
        <f>('Data Sheet'!G58-'Data Sheet'!F58)</f>
        <v>51.340000000000032</v>
      </c>
      <c r="H713" s="46">
        <f>('Data Sheet'!H58-'Data Sheet'!G58)</f>
        <v>54.199999999999989</v>
      </c>
      <c r="I713" s="46">
        <f>('Data Sheet'!I58-'Data Sheet'!H58)</f>
        <v>110.28999999999996</v>
      </c>
      <c r="J713" s="46">
        <f>('Data Sheet'!J58-'Data Sheet'!I58)</f>
        <v>170.44000000000005</v>
      </c>
      <c r="K713" s="46">
        <f>('Data Sheet'!K58-'Data Sheet'!J58)</f>
        <v>235.54999999999995</v>
      </c>
      <c r="L713" s="46"/>
      <c r="M713" s="136">
        <f t="shared" si="241"/>
        <v>84.366</v>
      </c>
      <c r="N713" s="32">
        <f t="shared" si="242"/>
        <v>141.23719999999997</v>
      </c>
      <c r="O713" s="32">
        <f t="shared" si="243"/>
        <v>172.09333333333333</v>
      </c>
    </row>
    <row r="714" spans="1:15" s="18" customFormat="1" hidden="1">
      <c r="A714" s="57" t="s">
        <v>429</v>
      </c>
      <c r="B714" s="78">
        <f>'Profit &amp; Loss'!B18</f>
        <v>0.80664294187425856</v>
      </c>
      <c r="C714" s="78">
        <f>'Profit &amp; Loss'!C18</f>
        <v>0.7629795865521557</v>
      </c>
      <c r="D714" s="78">
        <f>'Profit &amp; Loss'!D18</f>
        <v>0.70288057335814202</v>
      </c>
      <c r="E714" s="78">
        <f>'Profit &amp; Loss'!E18</f>
        <v>0.64258375466616269</v>
      </c>
      <c r="F714" s="78">
        <f>'Profit &amp; Loss'!F18</f>
        <v>0.74315663967410206</v>
      </c>
      <c r="G714" s="78">
        <f>'Profit &amp; Loss'!G18</f>
        <v>0.761484534235223</v>
      </c>
      <c r="H714" s="78">
        <f>'Profit &amp; Loss'!H18</f>
        <v>0.76654252642174125</v>
      </c>
      <c r="I714" s="78">
        <f>'Profit &amp; Loss'!I18</f>
        <v>0.68012669716783669</v>
      </c>
      <c r="J714" s="78">
        <f>'Profit &amp; Loss'!J18</f>
        <v>0.58388493327131563</v>
      </c>
      <c r="K714" s="78">
        <f>'Profit &amp; Loss'!K18</f>
        <v>0.47178713292050445</v>
      </c>
      <c r="L714" s="78"/>
      <c r="M714" s="136">
        <f t="shared" si="241"/>
        <v>0.53524467917150287</v>
      </c>
      <c r="N714" s="32">
        <f t="shared" si="242"/>
        <v>0.75981410063762467</v>
      </c>
      <c r="O714" s="32">
        <f t="shared" si="243"/>
        <v>0.57859958778655229</v>
      </c>
    </row>
    <row r="715" spans="1:15" s="18" customFormat="1" hidden="1">
      <c r="A715" s="57" t="s">
        <v>430</v>
      </c>
      <c r="B715" s="143">
        <f t="shared" ref="B715:K715" si="244">B667-B709</f>
        <v>30.97</v>
      </c>
      <c r="C715" s="143">
        <f t="shared" si="244"/>
        <v>54.920000000000016</v>
      </c>
      <c r="D715" s="143">
        <f t="shared" si="244"/>
        <v>86.230000000000018</v>
      </c>
      <c r="E715" s="143">
        <f t="shared" si="244"/>
        <v>151.27999999999997</v>
      </c>
      <c r="F715" s="143">
        <f t="shared" si="244"/>
        <v>103.39999999999998</v>
      </c>
      <c r="G715" s="143">
        <f t="shared" si="244"/>
        <v>106.49000000000001</v>
      </c>
      <c r="H715" s="143">
        <f t="shared" si="244"/>
        <v>115.97000000000003</v>
      </c>
      <c r="I715" s="143">
        <f t="shared" si="244"/>
        <v>172.69</v>
      </c>
      <c r="J715" s="143">
        <f t="shared" si="244"/>
        <v>232.60000000000002</v>
      </c>
      <c r="K715" s="143">
        <f t="shared" si="244"/>
        <v>304.52</v>
      </c>
      <c r="L715" s="143"/>
      <c r="M715" s="136">
        <f t="shared" si="241"/>
        <v>127.31799999999998</v>
      </c>
      <c r="N715" s="32">
        <f t="shared" si="242"/>
        <v>211.91759999999999</v>
      </c>
      <c r="O715" s="32">
        <f t="shared" si="243"/>
        <v>236.60333333333332</v>
      </c>
    </row>
    <row r="716" spans="1:15" s="18" customFormat="1" hidden="1">
      <c r="A716" s="57" t="s">
        <v>431</v>
      </c>
      <c r="B716" s="143">
        <f>'Profit &amp; Loss'!B14</f>
        <v>161.07044603734784</v>
      </c>
      <c r="C716" s="143">
        <f>'Profit &amp; Loss'!C14</f>
        <v>24.291013378775194</v>
      </c>
      <c r="D716" s="143">
        <f>'Profit &amp; Loss'!D14</f>
        <v>21.607403960802149</v>
      </c>
      <c r="E716" s="143">
        <f>'Profit &amp; Loss'!E14</f>
        <v>23.214461593072816</v>
      </c>
      <c r="F716" s="143">
        <f>'Profit &amp; Loss'!F14</f>
        <v>29.521973890650308</v>
      </c>
      <c r="G716" s="143">
        <f>'Profit &amp; Loss'!G14</f>
        <v>34.433319126888705</v>
      </c>
      <c r="H716" s="143">
        <f>'Profit &amp; Loss'!H14</f>
        <v>36.951171578778059</v>
      </c>
      <c r="I716" s="143">
        <f>'Profit &amp; Loss'!I14</f>
        <v>35.637690143723489</v>
      </c>
      <c r="J716" s="143">
        <f>'Profit &amp; Loss'!J14</f>
        <v>50.033036579695164</v>
      </c>
      <c r="K716" s="143">
        <f>'Profit &amp; Loss'!K14</f>
        <v>39.51106635074153</v>
      </c>
      <c r="L716" s="143"/>
      <c r="M716" s="136">
        <f t="shared" si="241"/>
        <v>27.091012322435223</v>
      </c>
      <c r="N716" s="32">
        <f t="shared" si="242"/>
        <v>44.731459220452436</v>
      </c>
      <c r="O716" s="32">
        <f t="shared" si="243"/>
        <v>41.727264358053397</v>
      </c>
    </row>
    <row r="717" spans="1:15" s="18" customFormat="1" hidden="1">
      <c r="A717" s="57" t="s">
        <v>432</v>
      </c>
      <c r="B717" s="141">
        <f>'Data Sheet'!B90*'Data Sheet'!B93</f>
        <v>25798.653341802001</v>
      </c>
      <c r="C717" s="141">
        <f>'Data Sheet'!C90*'Data Sheet'!C93</f>
        <v>5628.4707099960006</v>
      </c>
      <c r="D717" s="141">
        <f>'Data Sheet'!D90*'Data Sheet'!D93</f>
        <v>6270.900777504</v>
      </c>
      <c r="E717" s="141">
        <f>'Data Sheet'!E90*'Data Sheet'!E93</f>
        <v>9825.7530138839993</v>
      </c>
      <c r="F717" s="141">
        <f>'Data Sheet'!F90*'Data Sheet'!F93</f>
        <v>11884.956248898001</v>
      </c>
      <c r="G717" s="141">
        <f>'Data Sheet'!G90*'Data Sheet'!G93</f>
        <v>15373.443990582002</v>
      </c>
      <c r="H717" s="141">
        <f>'Data Sheet'!H90*'Data Sheet'!H93</f>
        <v>18355.494481758</v>
      </c>
      <c r="I717" s="141">
        <f>'Data Sheet'!I90*'Data Sheet'!I93</f>
        <v>19239.719777892002</v>
      </c>
      <c r="J717" s="141">
        <f>'Data Sheet'!J90*'Data Sheet'!J93</f>
        <v>27967.466787318001</v>
      </c>
      <c r="K717" s="141">
        <f>'Data Sheet'!K90*'Data Sheet'!K93</f>
        <v>22778.524861866001</v>
      </c>
      <c r="L717" s="141">
        <f>'Profit &amp; Loss'!L15*'Data Sheet'!K93</f>
        <v>27616.06134819</v>
      </c>
      <c r="M717" s="136">
        <f t="shared" si="241"/>
        <v>13169.625993970199</v>
      </c>
      <c r="N717" s="32">
        <f t="shared" si="242"/>
        <v>28900.06744831524</v>
      </c>
      <c r="O717" s="32">
        <f t="shared" si="243"/>
        <v>23328.570475692002</v>
      </c>
    </row>
    <row r="718" spans="1:15" s="18" customFormat="1" hidden="1">
      <c r="A718" s="57" t="s">
        <v>420</v>
      </c>
      <c r="B718" s="143">
        <f>'Data Sheet'!B64+'Data Sheet'!B69</f>
        <v>245.06</v>
      </c>
      <c r="C718" s="143">
        <f>'Data Sheet'!C64+'Data Sheet'!C69</f>
        <v>216.85</v>
      </c>
      <c r="D718" s="143">
        <f>'Data Sheet'!D64+'Data Sheet'!D69</f>
        <v>289.46999999999997</v>
      </c>
      <c r="E718" s="143">
        <f>'Data Sheet'!E64+'Data Sheet'!E69</f>
        <v>368.58</v>
      </c>
      <c r="F718" s="143">
        <f>'Data Sheet'!F64+'Data Sheet'!F69</f>
        <v>433.89</v>
      </c>
      <c r="G718" s="143">
        <f>'Data Sheet'!G64+'Data Sheet'!G69</f>
        <v>356.92</v>
      </c>
      <c r="H718" s="143">
        <f>'Data Sheet'!H64+'Data Sheet'!H69</f>
        <v>475.92</v>
      </c>
      <c r="I718" s="143">
        <f>'Data Sheet'!I64+'Data Sheet'!I69</f>
        <v>322.51</v>
      </c>
      <c r="J718" s="143">
        <f>'Data Sheet'!J64+'Data Sheet'!J69</f>
        <v>291.58</v>
      </c>
      <c r="K718" s="143">
        <f>'Data Sheet'!K64+'Data Sheet'!K69</f>
        <v>318.43</v>
      </c>
      <c r="L718" s="143"/>
      <c r="M718" s="136">
        <f t="shared" si="241"/>
        <v>285.72999999999996</v>
      </c>
      <c r="N718" s="32">
        <f t="shared" si="242"/>
        <v>410.21799999999996</v>
      </c>
      <c r="O718" s="32">
        <f t="shared" si="243"/>
        <v>310.83999999999997</v>
      </c>
    </row>
    <row r="719" spans="1:15" s="18" customFormat="1" hidden="1">
      <c r="A719" s="155"/>
      <c r="C719" s="112"/>
      <c r="M719" s="136">
        <f t="shared" si="241"/>
        <v>0</v>
      </c>
      <c r="N719" s="32">
        <f t="shared" si="242"/>
        <v>0</v>
      </c>
      <c r="O719" s="32">
        <f t="shared" si="243"/>
        <v>0</v>
      </c>
    </row>
    <row r="720" spans="1:15" s="18" customFormat="1" hidden="1">
      <c r="A720" s="57" t="s">
        <v>433</v>
      </c>
      <c r="B720" s="46">
        <f>'Data Sheet'!B59</f>
        <v>4.28</v>
      </c>
      <c r="C720" s="46">
        <f>'Data Sheet'!C59</f>
        <v>4.6900000000000004</v>
      </c>
      <c r="D720" s="46">
        <f>'Data Sheet'!D59</f>
        <v>4.6900000000000004</v>
      </c>
      <c r="E720" s="46">
        <f>'Data Sheet'!E59</f>
        <v>4.59</v>
      </c>
      <c r="F720" s="46">
        <f>'Data Sheet'!F59</f>
        <v>0.05</v>
      </c>
      <c r="G720" s="46">
        <f>'Data Sheet'!G59</f>
        <v>0.05</v>
      </c>
      <c r="H720" s="46">
        <f>'Data Sheet'!H59</f>
        <v>0</v>
      </c>
      <c r="I720" s="46">
        <f>'Data Sheet'!I59</f>
        <v>0</v>
      </c>
      <c r="J720" s="46">
        <f>'Data Sheet'!J59</f>
        <v>0</v>
      </c>
      <c r="K720" s="46">
        <f>'Data Sheet'!K59</f>
        <v>0</v>
      </c>
      <c r="L720" s="46"/>
      <c r="M720" s="136">
        <f t="shared" si="241"/>
        <v>0.93800000000000028</v>
      </c>
      <c r="N720" s="32">
        <f t="shared" si="242"/>
        <v>0.19760000000000005</v>
      </c>
      <c r="O720" s="32">
        <f t="shared" si="243"/>
        <v>0</v>
      </c>
    </row>
    <row r="721" spans="1:15" s="18" customFormat="1" hidden="1">
      <c r="A721" s="57" t="s">
        <v>434</v>
      </c>
      <c r="B721" s="46">
        <f>('Data Sheet'!B57+'Data Sheet'!B58)</f>
        <v>280.52</v>
      </c>
      <c r="C721" s="46">
        <f>('Data Sheet'!C57+'Data Sheet'!C58)</f>
        <v>162.21</v>
      </c>
      <c r="D721" s="46">
        <f>('Data Sheet'!D57+'Data Sheet'!D58)</f>
        <v>216.29999999999998</v>
      </c>
      <c r="E721" s="46">
        <f>('Data Sheet'!E57+'Data Sheet'!E58)</f>
        <v>326.11</v>
      </c>
      <c r="F721" s="46">
        <f>('Data Sheet'!F57+'Data Sheet'!F58)</f>
        <v>384.05</v>
      </c>
      <c r="G721" s="46">
        <f>('Data Sheet'!G57+'Data Sheet'!G58)</f>
        <v>435.39000000000004</v>
      </c>
      <c r="H721" s="46">
        <f>('Data Sheet'!H57+'Data Sheet'!H58)</f>
        <v>489.59000000000003</v>
      </c>
      <c r="I721" s="46">
        <f>('Data Sheet'!I57+'Data Sheet'!I58)</f>
        <v>599.88</v>
      </c>
      <c r="J721" s="46">
        <f>('Data Sheet'!J57+'Data Sheet'!J58)</f>
        <v>770.32</v>
      </c>
      <c r="K721" s="46">
        <f>('Data Sheet'!K57+'Data Sheet'!K58)</f>
        <v>1019.47</v>
      </c>
      <c r="L721" s="46"/>
      <c r="M721" s="136">
        <f t="shared" si="241"/>
        <v>424.11100000000005</v>
      </c>
      <c r="N721" s="32">
        <f t="shared" si="242"/>
        <v>747.75220000000013</v>
      </c>
      <c r="O721" s="32">
        <f t="shared" si="243"/>
        <v>796.55666666666673</v>
      </c>
    </row>
    <row r="722" spans="1:15" s="18" customFormat="1" hidden="1">
      <c r="A722" s="57" t="s">
        <v>435</v>
      </c>
      <c r="B722" s="141">
        <f>B720/B721</f>
        <v>1.5257379153001571E-2</v>
      </c>
      <c r="C722" s="141">
        <f t="shared" ref="C722:K722" si="245">C720/C721</f>
        <v>2.8913137291165774E-2</v>
      </c>
      <c r="D722" s="141">
        <f t="shared" si="245"/>
        <v>2.1682847896440132E-2</v>
      </c>
      <c r="E722" s="141">
        <f t="shared" si="245"/>
        <v>1.4075005366287448E-2</v>
      </c>
      <c r="F722" s="141">
        <f t="shared" si="245"/>
        <v>1.3019138133055593E-4</v>
      </c>
      <c r="G722" s="141">
        <f t="shared" si="245"/>
        <v>1.1483956912193665E-4</v>
      </c>
      <c r="H722" s="141">
        <f t="shared" si="245"/>
        <v>0</v>
      </c>
      <c r="I722" s="141">
        <f t="shared" si="245"/>
        <v>0</v>
      </c>
      <c r="J722" s="141">
        <f t="shared" si="245"/>
        <v>0</v>
      </c>
      <c r="K722" s="141">
        <f t="shared" si="245"/>
        <v>0</v>
      </c>
      <c r="L722" s="141"/>
      <c r="M722" s="136">
        <f t="shared" si="241"/>
        <v>3.6002884213180075E-3</v>
      </c>
      <c r="N722" s="32">
        <f t="shared" si="242"/>
        <v>7.4302559808798877E-4</v>
      </c>
      <c r="O722" s="32">
        <f t="shared" si="243"/>
        <v>0</v>
      </c>
    </row>
    <row r="723" spans="1:15" s="18" customFormat="1" hidden="1">
      <c r="A723" s="57" t="s">
        <v>436</v>
      </c>
      <c r="B723" s="46"/>
      <c r="C723" s="69"/>
      <c r="D723" s="46"/>
      <c r="E723" s="46"/>
      <c r="F723" s="46"/>
      <c r="G723" s="46"/>
      <c r="H723" s="46"/>
      <c r="I723" s="46"/>
      <c r="J723" s="46"/>
      <c r="K723" s="46"/>
      <c r="L723" s="46"/>
      <c r="M723" s="136">
        <f t="shared" si="241"/>
        <v>0</v>
      </c>
      <c r="N723" s="32">
        <f t="shared" si="242"/>
        <v>0</v>
      </c>
      <c r="O723" s="32">
        <f t="shared" si="243"/>
        <v>0</v>
      </c>
    </row>
    <row r="724" spans="1:15" s="18" customFormat="1" hidden="1">
      <c r="A724" s="57" t="s">
        <v>437</v>
      </c>
      <c r="B724" s="143">
        <f>'Profit &amp; Loss'!B9</f>
        <v>0.98</v>
      </c>
      <c r="C724" s="143">
        <f>'Profit &amp; Loss'!C9</f>
        <v>1.44</v>
      </c>
      <c r="D724" s="143">
        <f>'Profit &amp; Loss'!D9</f>
        <v>1.1000000000000001</v>
      </c>
      <c r="E724" s="143">
        <f>'Profit &amp; Loss'!E9</f>
        <v>1.5</v>
      </c>
      <c r="F724" s="143">
        <f>'Profit &amp; Loss'!F9</f>
        <v>1.61</v>
      </c>
      <c r="G724" s="143">
        <f>'Profit &amp; Loss'!G9</f>
        <v>1.51</v>
      </c>
      <c r="H724" s="143">
        <f>'Profit &amp; Loss'!H9</f>
        <v>0</v>
      </c>
      <c r="I724" s="143">
        <f>'Profit &amp; Loss'!I9</f>
        <v>0</v>
      </c>
      <c r="J724" s="143">
        <f>'Profit &amp; Loss'!J9</f>
        <v>0</v>
      </c>
      <c r="K724" s="143">
        <f>'Profit &amp; Loss'!K9</f>
        <v>0</v>
      </c>
      <c r="L724" s="143"/>
      <c r="M724" s="136">
        <f t="shared" si="241"/>
        <v>0.57199999999999995</v>
      </c>
      <c r="N724" s="32">
        <f t="shared" si="242"/>
        <v>0.41639999999999999</v>
      </c>
      <c r="O724" s="32">
        <f t="shared" si="243"/>
        <v>0</v>
      </c>
    </row>
    <row r="725" spans="1:15" s="18" customFormat="1" hidden="1">
      <c r="A725" s="57" t="s">
        <v>111</v>
      </c>
      <c r="B725" s="141">
        <f>('Profit &amp; Loss'!B10+'Profit &amp; Loss'!B9-'Profit &amp; Loss'!B7)/'Profit &amp; Loss'!B9</f>
        <v>138.35714285714286</v>
      </c>
      <c r="C725" s="141">
        <f>('Profit &amp; Loss'!C10+'Profit &amp; Loss'!C9-'Profit &amp; Loss'!C7)/'Profit &amp; Loss'!C9</f>
        <v>144.9375</v>
      </c>
      <c r="D725" s="141">
        <f>('Profit &amp; Loss'!D10+'Profit &amp; Loss'!D9-'Profit &amp; Loss'!D7)/'Profit &amp; Loss'!D9</f>
        <v>216.95454545454547</v>
      </c>
      <c r="E725" s="141">
        <f>('Profit &amp; Loss'!E10+'Profit &amp; Loss'!E9-'Profit &amp; Loss'!E7)/'Profit &amp; Loss'!E9</f>
        <v>258.56</v>
      </c>
      <c r="F725" s="141">
        <f>('Profit &amp; Loss'!F10+'Profit &amp; Loss'!F9-'Profit &amp; Loss'!F7)/'Profit &amp; Loss'!F9</f>
        <v>298.3291925465839</v>
      </c>
      <c r="G725" s="141">
        <f>('Profit &amp; Loss'!G10+'Profit &amp; Loss'!G9-'Profit &amp; Loss'!G7)/'Profit &amp; Loss'!G9</f>
        <v>357.09271523178808</v>
      </c>
      <c r="H725" s="141" t="e">
        <f>('Profit &amp; Loss'!H10+'Profit &amp; Loss'!H9-'Profit &amp; Loss'!H7)/'Profit &amp; Loss'!H9</f>
        <v>#DIV/0!</v>
      </c>
      <c r="I725" s="141" t="e">
        <f>('Profit &amp; Loss'!I10+'Profit &amp; Loss'!I9-'Profit &amp; Loss'!I7)/'Profit &amp; Loss'!I9</f>
        <v>#DIV/0!</v>
      </c>
      <c r="J725" s="141" t="e">
        <f>('Profit &amp; Loss'!J10+'Profit &amp; Loss'!J9-'Profit &amp; Loss'!J7)/'Profit &amp; Loss'!J9</f>
        <v>#DIV/0!</v>
      </c>
      <c r="K725" s="141" t="e">
        <f>('Profit &amp; Loss'!K10+'Profit &amp; Loss'!K9-'Profit &amp; Loss'!K7)/'Profit &amp; Loss'!K9</f>
        <v>#DIV/0!</v>
      </c>
      <c r="L725" s="141" t="e">
        <f>('Profit &amp; Loss'!L10+'Profit &amp; Loss'!L9-'Profit &amp; Loss'!L7)/'Profit &amp; Loss'!L9</f>
        <v>#DIV/0!</v>
      </c>
      <c r="M725" s="205" t="e">
        <f t="shared" si="241"/>
        <v>#DIV/0!</v>
      </c>
      <c r="N725" s="50" t="e">
        <f t="shared" si="242"/>
        <v>#DIV/0!</v>
      </c>
      <c r="O725" s="50" t="e">
        <f t="shared" si="243"/>
        <v>#DIV/0!</v>
      </c>
    </row>
    <row r="726" spans="1:15" s="18" customFormat="1" hidden="1">
      <c r="A726" s="155"/>
      <c r="C726" s="112"/>
      <c r="M726" s="205">
        <f t="shared" si="241"/>
        <v>0</v>
      </c>
      <c r="N726" s="50">
        <f t="shared" si="242"/>
        <v>0</v>
      </c>
      <c r="O726" s="50">
        <f t="shared" si="243"/>
        <v>0</v>
      </c>
    </row>
    <row r="727" spans="1:15" s="18" customFormat="1" hidden="1">
      <c r="A727" s="57" t="str">
        <f>'Cash Flow'!A4</f>
        <v>Cash from Operating Activity</v>
      </c>
      <c r="B727" s="57">
        <f>'Cash Flow'!B4</f>
        <v>154.24</v>
      </c>
      <c r="C727" s="57">
        <f>'Cash Flow'!C4</f>
        <v>281.39999999999998</v>
      </c>
      <c r="D727" s="57">
        <f>'Cash Flow'!D4</f>
        <v>319.38</v>
      </c>
      <c r="E727" s="57">
        <f>'Cash Flow'!E4</f>
        <v>397.35</v>
      </c>
      <c r="F727" s="57">
        <f>'Cash Flow'!F4</f>
        <v>357.91</v>
      </c>
      <c r="G727" s="57">
        <f>'Cash Flow'!G4</f>
        <v>402.84</v>
      </c>
      <c r="H727" s="57">
        <f>'Cash Flow'!H4</f>
        <v>614.9</v>
      </c>
      <c r="I727" s="57">
        <f>'Cash Flow'!I4</f>
        <v>457.38</v>
      </c>
      <c r="J727" s="57">
        <f>'Cash Flow'!J4</f>
        <v>638.15</v>
      </c>
      <c r="K727" s="57">
        <f>'Cash Flow'!K4</f>
        <v>672.93</v>
      </c>
      <c r="L727" s="57"/>
      <c r="M727" s="205">
        <f t="shared" si="241"/>
        <v>386.084</v>
      </c>
      <c r="N727" s="50">
        <f t="shared" si="242"/>
        <v>634.45679999999993</v>
      </c>
      <c r="O727" s="50">
        <f t="shared" si="243"/>
        <v>589.48666666666668</v>
      </c>
    </row>
    <row r="728" spans="1:15" s="18" customFormat="1" hidden="1">
      <c r="A728" s="57" t="str">
        <f>'Cash Flow'!A5</f>
        <v>Cash from Investing Activity</v>
      </c>
      <c r="B728" s="57">
        <f>'Cash Flow'!B5</f>
        <v>5.55</v>
      </c>
      <c r="C728" s="57">
        <f>'Cash Flow'!C5</f>
        <v>26.09</v>
      </c>
      <c r="D728" s="57">
        <f>'Cash Flow'!D5</f>
        <v>42.63</v>
      </c>
      <c r="E728" s="57">
        <f>'Cash Flow'!E5</f>
        <v>36.549999999999997</v>
      </c>
      <c r="F728" s="57">
        <f>'Cash Flow'!F5</f>
        <v>60.13</v>
      </c>
      <c r="G728" s="57">
        <f>'Cash Flow'!G5</f>
        <v>-10.24</v>
      </c>
      <c r="H728" s="57">
        <f>'Cash Flow'!H5</f>
        <v>-47.25</v>
      </c>
      <c r="I728" s="57">
        <f>'Cash Flow'!I5</f>
        <v>-180.37</v>
      </c>
      <c r="J728" s="57">
        <f>'Cash Flow'!J5</f>
        <v>-271.63</v>
      </c>
      <c r="K728" s="57">
        <f>'Cash Flow'!K5</f>
        <v>-236.62</v>
      </c>
      <c r="L728" s="57"/>
      <c r="M728" s="205">
        <f t="shared" si="241"/>
        <v>-60.679999999999993</v>
      </c>
      <c r="N728" s="50">
        <f t="shared" si="242"/>
        <v>-161.358</v>
      </c>
      <c r="O728" s="50">
        <f t="shared" si="243"/>
        <v>-229.54</v>
      </c>
    </row>
    <row r="729" spans="1:15" s="18" customFormat="1" hidden="1">
      <c r="A729" s="57" t="str">
        <f>'Cash Flow'!A6</f>
        <v>Cash from Financing Activity</v>
      </c>
      <c r="B729" s="57">
        <f>'Cash Flow'!B6</f>
        <v>-136.04</v>
      </c>
      <c r="C729" s="57">
        <f>'Cash Flow'!C6</f>
        <v>-274.95</v>
      </c>
      <c r="D729" s="57">
        <f>'Cash Flow'!D6</f>
        <v>-255.13</v>
      </c>
      <c r="E729" s="57">
        <f>'Cash Flow'!E6</f>
        <v>-337.46</v>
      </c>
      <c r="F729" s="57">
        <f>'Cash Flow'!F6</f>
        <v>-322.99</v>
      </c>
      <c r="G729" s="57">
        <f>'Cash Flow'!G6</f>
        <v>-398.05</v>
      </c>
      <c r="H729" s="57">
        <f>'Cash Flow'!H6</f>
        <v>-427.6</v>
      </c>
      <c r="I729" s="57">
        <f>'Cash Flow'!I6</f>
        <v>-422.07</v>
      </c>
      <c r="J729" s="57">
        <f>'Cash Flow'!J6</f>
        <v>-384.79</v>
      </c>
      <c r="K729" s="57">
        <f>'Cash Flow'!K6</f>
        <v>-375.78</v>
      </c>
      <c r="L729" s="57"/>
      <c r="M729" s="205">
        <f t="shared" si="241"/>
        <v>-292.387</v>
      </c>
      <c r="N729" s="50">
        <f t="shared" si="242"/>
        <v>-460.1354</v>
      </c>
      <c r="O729" s="50">
        <f t="shared" si="243"/>
        <v>-394.21333333333331</v>
      </c>
    </row>
    <row r="730" spans="1:15" s="18" customFormat="1" hidden="1">
      <c r="A730" s="57" t="str">
        <f>'Cash Flow'!A7</f>
        <v>Net Cash Flow</v>
      </c>
      <c r="B730" s="57">
        <f>'Cash Flow'!B7</f>
        <v>23.75</v>
      </c>
      <c r="C730" s="57">
        <f>'Cash Flow'!C7</f>
        <v>32.54</v>
      </c>
      <c r="D730" s="57">
        <f>'Cash Flow'!D7</f>
        <v>106.88</v>
      </c>
      <c r="E730" s="57">
        <f>'Cash Flow'!E7</f>
        <v>96.44</v>
      </c>
      <c r="F730" s="57">
        <f>'Cash Flow'!F7</f>
        <v>95.05</v>
      </c>
      <c r="G730" s="57">
        <f>'Cash Flow'!G7</f>
        <v>-5.45</v>
      </c>
      <c r="H730" s="57">
        <f>'Cash Flow'!H7</f>
        <v>140.05000000000001</v>
      </c>
      <c r="I730" s="57">
        <f>'Cash Flow'!I7</f>
        <v>-145.06</v>
      </c>
      <c r="J730" s="57">
        <f>'Cash Flow'!J7</f>
        <v>-18.27</v>
      </c>
      <c r="K730" s="57">
        <f>'Cash Flow'!K7</f>
        <v>60.53</v>
      </c>
      <c r="L730" s="57"/>
      <c r="M730" s="205">
        <f t="shared" si="241"/>
        <v>33.01700000000001</v>
      </c>
      <c r="N730" s="50">
        <f t="shared" si="242"/>
        <v>12.963400000000007</v>
      </c>
      <c r="O730" s="50">
        <f t="shared" si="243"/>
        <v>-34.266666666666673</v>
      </c>
    </row>
    <row r="731" spans="1:15" s="18" customFormat="1" hidden="1">
      <c r="A731" s="57" t="s">
        <v>438</v>
      </c>
      <c r="B731" s="46">
        <f>'Data Sheet'!B69</f>
        <v>111.72</v>
      </c>
      <c r="C731" s="46">
        <f>'Data Sheet'!C69</f>
        <v>144.26</v>
      </c>
      <c r="D731" s="46">
        <f>'Data Sheet'!D69</f>
        <v>251.14</v>
      </c>
      <c r="E731" s="46">
        <f>'Data Sheet'!E69</f>
        <v>347.58</v>
      </c>
      <c r="F731" s="46">
        <f>'Data Sheet'!F69</f>
        <v>395.15</v>
      </c>
      <c r="G731" s="46">
        <f>'Data Sheet'!G69</f>
        <v>309.8</v>
      </c>
      <c r="H731" s="46">
        <f>'Data Sheet'!H69</f>
        <v>428.8</v>
      </c>
      <c r="I731" s="46">
        <f>'Data Sheet'!I69</f>
        <v>285.38</v>
      </c>
      <c r="J731" s="46">
        <f>'Data Sheet'!J69</f>
        <v>254.45</v>
      </c>
      <c r="K731" s="46">
        <f>'Data Sheet'!K69</f>
        <v>288.3</v>
      </c>
      <c r="L731" s="46"/>
      <c r="M731" s="205">
        <f t="shared" si="241"/>
        <v>256.06</v>
      </c>
      <c r="N731" s="50">
        <f t="shared" si="242"/>
        <v>364.55799999999999</v>
      </c>
      <c r="O731" s="50">
        <f t="shared" si="243"/>
        <v>276.04333333333329</v>
      </c>
    </row>
    <row r="732" spans="1:15" s="18" customFormat="1" hidden="1">
      <c r="A732" s="155"/>
      <c r="C732" s="112"/>
      <c r="M732" s="205">
        <f t="shared" si="241"/>
        <v>0</v>
      </c>
      <c r="N732" s="50">
        <f t="shared" si="242"/>
        <v>0</v>
      </c>
      <c r="O732" s="50">
        <f t="shared" si="243"/>
        <v>0</v>
      </c>
    </row>
    <row r="733" spans="1:15" s="18" customFormat="1" hidden="1">
      <c r="A733" s="155" t="s">
        <v>439</v>
      </c>
      <c r="B733" s="49">
        <f>SUM(B715:K715)</f>
        <v>1359.0700000000002</v>
      </c>
      <c r="C733" s="112"/>
      <c r="M733" s="205">
        <f t="shared" si="241"/>
        <v>0</v>
      </c>
      <c r="N733" s="50">
        <f t="shared" si="242"/>
        <v>0</v>
      </c>
      <c r="O733" s="50">
        <f t="shared" si="243"/>
        <v>0</v>
      </c>
    </row>
    <row r="734" spans="1:15" s="18" customFormat="1" hidden="1">
      <c r="A734" s="155" t="s">
        <v>440</v>
      </c>
      <c r="B734" s="49">
        <f>M717-B717</f>
        <v>-12629.027347831801</v>
      </c>
      <c r="C734" s="112"/>
      <c r="M734" s="205">
        <f t="shared" si="241"/>
        <v>0</v>
      </c>
      <c r="N734" s="50">
        <f t="shared" si="242"/>
        <v>0</v>
      </c>
      <c r="O734" s="50">
        <f t="shared" si="243"/>
        <v>0</v>
      </c>
    </row>
    <row r="735" spans="1:15" s="18" customFormat="1" hidden="1">
      <c r="A735" s="155" t="s">
        <v>441</v>
      </c>
      <c r="B735" s="49">
        <f>B734/B733</f>
        <v>-9.2924038848858412</v>
      </c>
      <c r="C735" s="112"/>
      <c r="M735" s="205">
        <f t="shared" si="241"/>
        <v>0</v>
      </c>
      <c r="N735" s="50">
        <f t="shared" si="242"/>
        <v>0</v>
      </c>
      <c r="O735" s="50">
        <f t="shared" si="243"/>
        <v>0</v>
      </c>
    </row>
    <row r="736" spans="1:15" s="18" customFormat="1" hidden="1">
      <c r="A736" s="155"/>
      <c r="C736" s="112"/>
      <c r="M736" s="205">
        <f t="shared" si="241"/>
        <v>0</v>
      </c>
      <c r="N736" s="50">
        <f t="shared" si="242"/>
        <v>0</v>
      </c>
      <c r="O736" s="50">
        <f t="shared" si="243"/>
        <v>0</v>
      </c>
    </row>
    <row r="737" spans="1:15" s="18" customFormat="1" hidden="1">
      <c r="A737" s="57" t="str">
        <f>A717</f>
        <v>Mcap</v>
      </c>
      <c r="B737" s="57">
        <f t="shared" ref="B737:K737" si="246">B717</f>
        <v>25798.653341802001</v>
      </c>
      <c r="C737" s="57">
        <f t="shared" si="246"/>
        <v>5628.4707099960006</v>
      </c>
      <c r="D737" s="57">
        <f t="shared" si="246"/>
        <v>6270.900777504</v>
      </c>
      <c r="E737" s="57">
        <f t="shared" si="246"/>
        <v>9825.7530138839993</v>
      </c>
      <c r="F737" s="57">
        <f t="shared" si="246"/>
        <v>11884.956248898001</v>
      </c>
      <c r="G737" s="57">
        <f t="shared" si="246"/>
        <v>15373.443990582002</v>
      </c>
      <c r="H737" s="57">
        <f t="shared" si="246"/>
        <v>18355.494481758</v>
      </c>
      <c r="I737" s="57">
        <f t="shared" si="246"/>
        <v>19239.719777892002</v>
      </c>
      <c r="J737" s="57">
        <f t="shared" si="246"/>
        <v>27967.466787318001</v>
      </c>
      <c r="K737" s="57">
        <f t="shared" si="246"/>
        <v>22778.524861866001</v>
      </c>
      <c r="L737" s="57"/>
      <c r="M737" s="205">
        <f t="shared" si="241"/>
        <v>13169.625993970199</v>
      </c>
      <c r="N737" s="50">
        <f t="shared" si="242"/>
        <v>23376.855178677237</v>
      </c>
      <c r="O737" s="50">
        <f t="shared" si="243"/>
        <v>23328.570475692002</v>
      </c>
    </row>
    <row r="738" spans="1:15" s="18" customFormat="1" hidden="1">
      <c r="A738" s="57" t="s">
        <v>477</v>
      </c>
      <c r="B738" s="141">
        <f>B717+'Data Sheet'!B59-'Data Sheet'!B69</f>
        <v>25691.213341801998</v>
      </c>
      <c r="C738" s="141">
        <f>C717+'Data Sheet'!C59-'Data Sheet'!C69</f>
        <v>5488.9007099959999</v>
      </c>
      <c r="D738" s="141">
        <f>D717+'Data Sheet'!D59-'Data Sheet'!D69</f>
        <v>6024.4507775039992</v>
      </c>
      <c r="E738" s="141">
        <f>E717+'Data Sheet'!E59-'Data Sheet'!E69</f>
        <v>9482.7630138839995</v>
      </c>
      <c r="F738" s="141">
        <f>F717+'Data Sheet'!F59-'Data Sheet'!F69</f>
        <v>11489.856248898001</v>
      </c>
      <c r="G738" s="141">
        <f>G717+'Data Sheet'!G59-'Data Sheet'!G69</f>
        <v>15063.693990582002</v>
      </c>
      <c r="H738" s="141">
        <f>H717+'Data Sheet'!H59-'Data Sheet'!H69</f>
        <v>17926.694481758001</v>
      </c>
      <c r="I738" s="141">
        <f>I717+'Data Sheet'!I59-'Data Sheet'!I69</f>
        <v>18954.339777892001</v>
      </c>
      <c r="J738" s="141">
        <f>J717+'Data Sheet'!J59-'Data Sheet'!J69</f>
        <v>27713.016787318</v>
      </c>
      <c r="K738" s="141">
        <f>K717+'Data Sheet'!K59-'Data Sheet'!K69</f>
        <v>22490.224861866001</v>
      </c>
      <c r="L738" s="141"/>
      <c r="M738" s="205">
        <f t="shared" si="241"/>
        <v>12914.503993970202</v>
      </c>
      <c r="N738" s="50">
        <f t="shared" si="242"/>
        <v>23012.494778677239</v>
      </c>
      <c r="O738" s="50">
        <f t="shared" si="243"/>
        <v>23052.527142358667</v>
      </c>
    </row>
    <row r="739" spans="1:15" s="18" customFormat="1" hidden="1">
      <c r="A739" s="57" t="s">
        <v>368</v>
      </c>
      <c r="B739" s="143">
        <f>'Cash Flow'!B4</f>
        <v>154.24</v>
      </c>
      <c r="C739" s="143">
        <f>'Cash Flow'!C4</f>
        <v>281.39999999999998</v>
      </c>
      <c r="D739" s="143">
        <f>'Cash Flow'!D4</f>
        <v>319.38</v>
      </c>
      <c r="E739" s="143">
        <f>'Cash Flow'!E4</f>
        <v>397.35</v>
      </c>
      <c r="F739" s="143">
        <f>'Cash Flow'!F4</f>
        <v>357.91</v>
      </c>
      <c r="G739" s="143">
        <f>'Cash Flow'!G4</f>
        <v>402.84</v>
      </c>
      <c r="H739" s="143">
        <f>'Cash Flow'!H4</f>
        <v>614.9</v>
      </c>
      <c r="I739" s="143">
        <f>'Cash Flow'!I4</f>
        <v>457.38</v>
      </c>
      <c r="J739" s="143">
        <f>'Cash Flow'!J4</f>
        <v>638.15</v>
      </c>
      <c r="K739" s="143">
        <f>'Cash Flow'!K4</f>
        <v>672.93</v>
      </c>
      <c r="L739" s="143"/>
      <c r="M739" s="205">
        <f t="shared" si="241"/>
        <v>386.084</v>
      </c>
      <c r="N739" s="50">
        <f t="shared" si="242"/>
        <v>634.45679999999993</v>
      </c>
      <c r="O739" s="50">
        <f t="shared" si="243"/>
        <v>589.48666666666668</v>
      </c>
    </row>
    <row r="740" spans="1:15" s="2" customFormat="1" hidden="1">
      <c r="A740" s="138" t="s">
        <v>537</v>
      </c>
      <c r="B740" s="160"/>
      <c r="C740" s="160"/>
      <c r="D740" s="160">
        <f>SUM(B739:D739)/3</f>
        <v>251.67333333333332</v>
      </c>
      <c r="E740" s="160">
        <f t="shared" ref="E740:K740" si="247">SUM(C739:E739)/3</f>
        <v>332.71</v>
      </c>
      <c r="F740" s="160">
        <f t="shared" si="247"/>
        <v>358.21333333333337</v>
      </c>
      <c r="G740" s="160">
        <f t="shared" si="247"/>
        <v>386.0333333333333</v>
      </c>
      <c r="H740" s="160">
        <f t="shared" si="247"/>
        <v>458.55</v>
      </c>
      <c r="I740" s="160">
        <f t="shared" si="247"/>
        <v>491.70666666666665</v>
      </c>
      <c r="J740" s="160">
        <f t="shared" si="247"/>
        <v>570.14333333333332</v>
      </c>
      <c r="K740" s="160">
        <f t="shared" si="247"/>
        <v>589.48666666666668</v>
      </c>
      <c r="L740" s="160"/>
      <c r="M740" s="205">
        <f t="shared" si="241"/>
        <v>343.85166666666669</v>
      </c>
      <c r="N740" s="50">
        <f t="shared" si="242"/>
        <v>567.95433333333335</v>
      </c>
      <c r="O740" s="50">
        <f t="shared" si="243"/>
        <v>550.44555555555553</v>
      </c>
    </row>
    <row r="741" spans="1:15" s="18" customFormat="1" hidden="1">
      <c r="A741" s="57" t="s">
        <v>123</v>
      </c>
      <c r="B741" s="143">
        <f>B312</f>
        <v>0</v>
      </c>
      <c r="C741" s="143">
        <f t="shared" ref="C741:K741" si="248">C312</f>
        <v>26.800000000000008</v>
      </c>
      <c r="D741" s="143">
        <f t="shared" si="248"/>
        <v>2.5599999999999987</v>
      </c>
      <c r="E741" s="143">
        <f t="shared" si="248"/>
        <v>112.10999999999999</v>
      </c>
      <c r="F741" s="143">
        <f t="shared" si="248"/>
        <v>44.370000000000019</v>
      </c>
      <c r="G741" s="143">
        <f t="shared" si="248"/>
        <v>99.849999999999966</v>
      </c>
      <c r="H741" s="143">
        <f t="shared" si="248"/>
        <v>102.52000000000004</v>
      </c>
      <c r="I741" s="143">
        <f t="shared" si="248"/>
        <v>365.54999999999995</v>
      </c>
      <c r="J741" s="143">
        <f t="shared" si="248"/>
        <v>300.36000000000007</v>
      </c>
      <c r="K741" s="143">
        <f t="shared" si="248"/>
        <v>275.15999999999997</v>
      </c>
      <c r="L741" s="143"/>
      <c r="M741" s="205">
        <f t="shared" si="241"/>
        <v>130.24799999999999</v>
      </c>
      <c r="N741" s="50">
        <f t="shared" si="242"/>
        <v>254.73760000000001</v>
      </c>
      <c r="O741" s="50">
        <f t="shared" si="243"/>
        <v>313.69</v>
      </c>
    </row>
    <row r="742" spans="1:15" s="2" customFormat="1" hidden="1">
      <c r="A742" s="138" t="s">
        <v>536</v>
      </c>
      <c r="B742" s="160"/>
      <c r="C742" s="160"/>
      <c r="D742" s="160"/>
      <c r="E742" s="160">
        <f>SUM(C741:E741)/3</f>
        <v>47.156666666666666</v>
      </c>
      <c r="F742" s="160">
        <f t="shared" ref="F742:K742" si="249">SUM(D741:F741)/3</f>
        <v>53.013333333333343</v>
      </c>
      <c r="G742" s="160">
        <f t="shared" si="249"/>
        <v>85.443333333333328</v>
      </c>
      <c r="H742" s="160">
        <f t="shared" si="249"/>
        <v>82.24666666666667</v>
      </c>
      <c r="I742" s="160">
        <f t="shared" si="249"/>
        <v>189.30666666666664</v>
      </c>
      <c r="J742" s="160">
        <f t="shared" si="249"/>
        <v>256.14333333333337</v>
      </c>
      <c r="K742" s="160">
        <f t="shared" si="249"/>
        <v>313.69</v>
      </c>
      <c r="L742" s="160"/>
      <c r="M742" s="205">
        <f t="shared" si="241"/>
        <v>102.7</v>
      </c>
      <c r="N742" s="50">
        <f t="shared" si="242"/>
        <v>205.90600000000003</v>
      </c>
      <c r="O742" s="50">
        <f t="shared" si="243"/>
        <v>253.04666666666671</v>
      </c>
    </row>
    <row r="743" spans="1:15" s="18" customFormat="1" hidden="1">
      <c r="A743" s="57" t="s">
        <v>400</v>
      </c>
      <c r="B743" s="143">
        <f>B739-B741</f>
        <v>154.24</v>
      </c>
      <c r="C743" s="143">
        <f t="shared" ref="C743:K743" si="250">C739-C741</f>
        <v>254.59999999999997</v>
      </c>
      <c r="D743" s="143">
        <f t="shared" si="250"/>
        <v>316.82</v>
      </c>
      <c r="E743" s="143">
        <f t="shared" si="250"/>
        <v>285.24</v>
      </c>
      <c r="F743" s="143">
        <f t="shared" si="250"/>
        <v>313.54000000000002</v>
      </c>
      <c r="G743" s="143">
        <f t="shared" si="250"/>
        <v>302.99</v>
      </c>
      <c r="H743" s="143">
        <f t="shared" si="250"/>
        <v>512.37999999999988</v>
      </c>
      <c r="I743" s="143">
        <f t="shared" si="250"/>
        <v>91.830000000000041</v>
      </c>
      <c r="J743" s="143">
        <f t="shared" si="250"/>
        <v>337.78999999999991</v>
      </c>
      <c r="K743" s="143">
        <f t="shared" si="250"/>
        <v>397.77</v>
      </c>
      <c r="L743" s="143"/>
      <c r="M743" s="205">
        <f t="shared" si="241"/>
        <v>255.83599999999996</v>
      </c>
      <c r="N743" s="50">
        <f t="shared" si="242"/>
        <v>379.71919999999994</v>
      </c>
      <c r="O743" s="50">
        <f t="shared" si="243"/>
        <v>275.79666666666662</v>
      </c>
    </row>
    <row r="744" spans="1:15" s="2" customFormat="1" hidden="1">
      <c r="A744" s="138" t="s">
        <v>538</v>
      </c>
      <c r="B744" s="160"/>
      <c r="C744" s="160"/>
      <c r="D744" s="160"/>
      <c r="E744" s="160">
        <f>E740-E742</f>
        <v>285.55333333333328</v>
      </c>
      <c r="F744" s="160">
        <f t="shared" ref="F744:K744" si="251">F740-F742</f>
        <v>305.20000000000005</v>
      </c>
      <c r="G744" s="160">
        <f t="shared" si="251"/>
        <v>300.58999999999997</v>
      </c>
      <c r="H744" s="160">
        <f t="shared" si="251"/>
        <v>376.30333333333334</v>
      </c>
      <c r="I744" s="160">
        <f t="shared" si="251"/>
        <v>302.39999999999998</v>
      </c>
      <c r="J744" s="160">
        <f t="shared" si="251"/>
        <v>313.99999999999994</v>
      </c>
      <c r="K744" s="160">
        <f t="shared" si="251"/>
        <v>275.79666666666668</v>
      </c>
      <c r="L744" s="160"/>
      <c r="M744" s="205">
        <f t="shared" si="241"/>
        <v>215.98433333333332</v>
      </c>
      <c r="N744" s="50">
        <f t="shared" si="242"/>
        <v>357.01486666666665</v>
      </c>
      <c r="O744" s="50">
        <f t="shared" si="243"/>
        <v>297.39888888888885</v>
      </c>
    </row>
    <row r="745" spans="1:15" s="2" customFormat="1" hidden="1">
      <c r="A745" s="138" t="s">
        <v>561</v>
      </c>
      <c r="B745" s="138"/>
      <c r="C745" s="138"/>
      <c r="D745" s="138">
        <f>D717/'Profit &amp; Loss'!D4</f>
        <v>3.7000612325299</v>
      </c>
      <c r="E745" s="138">
        <f>E717/'Profit &amp; Loss'!E4</f>
        <v>5.0068551786451696</v>
      </c>
      <c r="F745" s="138">
        <f>F717/'Profit &amp; Loss'!F4</f>
        <v>5.1987455815521502</v>
      </c>
      <c r="G745" s="138">
        <f>G717/'Profit &amp; Loss'!G4</f>
        <v>5.7081808796805333</v>
      </c>
      <c r="H745" s="138">
        <f>H717/'Profit &amp; Loss'!H4</f>
        <v>5.8017056908467959</v>
      </c>
      <c r="I745" s="138">
        <f>I717/'Profit &amp; Loss'!I4</f>
        <v>5.3760103995160406</v>
      </c>
      <c r="J745" s="138">
        <f>J717/'Profit &amp; Loss'!J4</f>
        <v>7.023578152186623</v>
      </c>
      <c r="K745" s="138">
        <f>K717/'Profit &amp; Loss'!K4</f>
        <v>5.4725943799845762</v>
      </c>
      <c r="L745" s="138">
        <f>L717/'Profit &amp; Loss'!L4</f>
        <v>6.8303837996868753</v>
      </c>
      <c r="M745" s="205">
        <f t="shared" si="241"/>
        <v>4.3287731494941788</v>
      </c>
      <c r="N745" s="50">
        <f t="shared" si="242"/>
        <v>8.1082452902791253</v>
      </c>
      <c r="O745" s="50">
        <f t="shared" si="243"/>
        <v>5.9573943105624139</v>
      </c>
    </row>
    <row r="746" spans="1:15" s="18" customFormat="1" hidden="1">
      <c r="A746" s="57" t="str">
        <f>A716</f>
        <v>PE</v>
      </c>
      <c r="B746" s="57">
        <f t="shared" ref="B746:K746" si="252">B716</f>
        <v>161.07044603734784</v>
      </c>
      <c r="C746" s="57">
        <f t="shared" si="252"/>
        <v>24.291013378775194</v>
      </c>
      <c r="D746" s="57">
        <f t="shared" si="252"/>
        <v>21.607403960802149</v>
      </c>
      <c r="E746" s="57">
        <f t="shared" si="252"/>
        <v>23.214461593072816</v>
      </c>
      <c r="F746" s="57">
        <f t="shared" si="252"/>
        <v>29.521973890650308</v>
      </c>
      <c r="G746" s="57">
        <f t="shared" si="252"/>
        <v>34.433319126888705</v>
      </c>
      <c r="H746" s="57">
        <f t="shared" si="252"/>
        <v>36.951171578778059</v>
      </c>
      <c r="I746" s="57">
        <f t="shared" si="252"/>
        <v>35.637690143723489</v>
      </c>
      <c r="J746" s="57">
        <f t="shared" si="252"/>
        <v>50.033036579695164</v>
      </c>
      <c r="K746" s="57">
        <f t="shared" si="252"/>
        <v>39.51106635074153</v>
      </c>
      <c r="L746" s="57">
        <f>'Profit &amp; Loss'!L14</f>
        <v>47.553225195440298</v>
      </c>
      <c r="M746" s="205">
        <f t="shared" si="241"/>
        <v>27.091012322435223</v>
      </c>
      <c r="N746" s="50">
        <f t="shared" si="242"/>
        <v>54.242104259540497</v>
      </c>
      <c r="O746" s="50">
        <f t="shared" si="243"/>
        <v>41.727264358053397</v>
      </c>
    </row>
    <row r="747" spans="1:15" s="18" customFormat="1" hidden="1">
      <c r="A747" s="57" t="s">
        <v>480</v>
      </c>
      <c r="B747" s="57">
        <f>B737/B743</f>
        <v>167.26305330525156</v>
      </c>
      <c r="C747" s="57">
        <f t="shared" ref="C747:K747" si="253">C737/C743</f>
        <v>22.107111979560099</v>
      </c>
      <c r="D747" s="57">
        <f t="shared" si="253"/>
        <v>19.793260455476297</v>
      </c>
      <c r="E747" s="57">
        <f t="shared" si="253"/>
        <v>34.447318096634412</v>
      </c>
      <c r="F747" s="57">
        <f t="shared" si="253"/>
        <v>37.905709794278245</v>
      </c>
      <c r="G747" s="57">
        <f t="shared" si="253"/>
        <v>50.739113471012246</v>
      </c>
      <c r="H747" s="57">
        <f t="shared" si="253"/>
        <v>35.823987044299159</v>
      </c>
      <c r="I747" s="57">
        <f t="shared" si="253"/>
        <v>209.51453531408029</v>
      </c>
      <c r="J747" s="57">
        <f t="shared" si="253"/>
        <v>82.79542552271532</v>
      </c>
      <c r="K747" s="57">
        <f t="shared" si="253"/>
        <v>57.265567694562186</v>
      </c>
      <c r="L747" s="57"/>
      <c r="M747" s="205">
        <f t="shared" si="241"/>
        <v>52.828491739305818</v>
      </c>
      <c r="N747" s="50">
        <f t="shared" si="242"/>
        <v>97.793424157195005</v>
      </c>
      <c r="O747" s="50">
        <f t="shared" si="243"/>
        <v>116.52517617711926</v>
      </c>
    </row>
    <row r="748" spans="1:15" s="2" customFormat="1" hidden="1">
      <c r="A748" s="138" t="s">
        <v>539</v>
      </c>
      <c r="B748" s="160"/>
      <c r="C748" s="160"/>
      <c r="D748" s="160"/>
      <c r="E748" s="160">
        <f t="shared" ref="E748:K748" si="254">E737/E744</f>
        <v>34.409519577956253</v>
      </c>
      <c r="F748" s="160">
        <f t="shared" si="254"/>
        <v>38.941534236231973</v>
      </c>
      <c r="G748" s="160">
        <f t="shared" si="254"/>
        <v>51.144229650294434</v>
      </c>
      <c r="H748" s="160">
        <f t="shared" si="254"/>
        <v>48.77845306115988</v>
      </c>
      <c r="I748" s="160">
        <f t="shared" si="254"/>
        <v>63.623411963928582</v>
      </c>
      <c r="J748" s="160">
        <f t="shared" si="254"/>
        <v>89.068365564707022</v>
      </c>
      <c r="K748" s="160">
        <f t="shared" si="254"/>
        <v>82.591733747806956</v>
      </c>
      <c r="L748" s="160"/>
      <c r="M748" s="205">
        <f t="shared" si="241"/>
        <v>40.855724780208519</v>
      </c>
      <c r="N748" s="50">
        <f t="shared" si="242"/>
        <v>75.212383753621083</v>
      </c>
      <c r="O748" s="50">
        <f t="shared" si="243"/>
        <v>78.427837092147527</v>
      </c>
    </row>
    <row r="749" spans="1:15" s="18" customFormat="1" hidden="1">
      <c r="A749" s="57" t="s">
        <v>475</v>
      </c>
      <c r="B749" s="143">
        <f>Customization!B717/Customization!B739</f>
        <v>167.26305330525156</v>
      </c>
      <c r="C749" s="143">
        <f>Customization!C717/Customization!C739</f>
        <v>20.001672743411518</v>
      </c>
      <c r="D749" s="143">
        <f>Customization!D717/Customization!D739</f>
        <v>19.634606980725156</v>
      </c>
      <c r="E749" s="143">
        <f>Customization!E717/Customization!E739</f>
        <v>24.728206905458659</v>
      </c>
      <c r="F749" s="143">
        <f>Customization!F717/Customization!F739</f>
        <v>33.206549827884103</v>
      </c>
      <c r="G749" s="143">
        <f>Customization!G717/Customization!G739</f>
        <v>38.162655125067033</v>
      </c>
      <c r="H749" s="143">
        <f>Customization!H717/Customization!H739</f>
        <v>29.851186342101155</v>
      </c>
      <c r="I749" s="143">
        <f>Customization!I717/Customization!I739</f>
        <v>42.065065761275093</v>
      </c>
      <c r="J749" s="143">
        <f>Customization!J717/Customization!J739</f>
        <v>43.825850955602917</v>
      </c>
      <c r="K749" s="143">
        <f>Customization!K717/Customization!K739</f>
        <v>33.849768715714859</v>
      </c>
      <c r="L749" s="143"/>
      <c r="M749" s="205">
        <f t="shared" si="241"/>
        <v>26.532389061382894</v>
      </c>
      <c r="N749" s="50">
        <f t="shared" si="242"/>
        <v>42.857383192228795</v>
      </c>
      <c r="O749" s="50">
        <f t="shared" si="243"/>
        <v>39.913561810864287</v>
      </c>
    </row>
    <row r="750" spans="1:15" s="2" customFormat="1" hidden="1">
      <c r="A750" s="138" t="s">
        <v>540</v>
      </c>
      <c r="B750" s="174"/>
      <c r="C750" s="174"/>
      <c r="D750" s="174">
        <f t="shared" ref="D750:K750" si="255">D737/D740</f>
        <v>24.916826484744778</v>
      </c>
      <c r="E750" s="174">
        <f t="shared" si="255"/>
        <v>29.532484788205945</v>
      </c>
      <c r="F750" s="174">
        <f t="shared" si="255"/>
        <v>33.178430680687484</v>
      </c>
      <c r="G750" s="174">
        <f t="shared" si="255"/>
        <v>39.824136060569906</v>
      </c>
      <c r="H750" s="174">
        <f t="shared" si="255"/>
        <v>40.029428593954854</v>
      </c>
      <c r="I750" s="174">
        <f t="shared" si="255"/>
        <v>39.128450115025224</v>
      </c>
      <c r="J750" s="174">
        <f t="shared" si="255"/>
        <v>49.0533961412943</v>
      </c>
      <c r="K750" s="174">
        <f t="shared" si="255"/>
        <v>38.641289362268864</v>
      </c>
      <c r="L750" s="174"/>
      <c r="M750" s="205">
        <f t="shared" si="241"/>
        <v>29.430444222675142</v>
      </c>
      <c r="N750" s="50">
        <f t="shared" si="242"/>
        <v>47.221428899157658</v>
      </c>
      <c r="O750" s="50">
        <f t="shared" si="243"/>
        <v>42.274378539529458</v>
      </c>
    </row>
    <row r="751" spans="1:15" s="26" customFormat="1" hidden="1">
      <c r="A751" s="135" t="s">
        <v>478</v>
      </c>
      <c r="B751" s="142">
        <f>B738/B739</f>
        <v>166.56647654176606</v>
      </c>
      <c r="C751" s="142">
        <f t="shared" ref="C751:K751" si="256">C738/C739</f>
        <v>19.505688379516705</v>
      </c>
      <c r="D751" s="142">
        <f t="shared" si="256"/>
        <v>18.862955656284047</v>
      </c>
      <c r="E751" s="142">
        <f t="shared" si="256"/>
        <v>23.865013247474515</v>
      </c>
      <c r="F751" s="142">
        <f t="shared" si="256"/>
        <v>32.102641023994856</v>
      </c>
      <c r="G751" s="142">
        <f t="shared" si="256"/>
        <v>37.393739426526665</v>
      </c>
      <c r="H751" s="142">
        <f t="shared" si="256"/>
        <v>29.153837179635715</v>
      </c>
      <c r="I751" s="142">
        <f t="shared" si="256"/>
        <v>41.441120682784558</v>
      </c>
      <c r="J751" s="142">
        <f t="shared" si="256"/>
        <v>43.427120249656035</v>
      </c>
      <c r="K751" s="142">
        <f t="shared" si="256"/>
        <v>33.421343768097728</v>
      </c>
      <c r="L751" s="142"/>
      <c r="M751" s="205">
        <f t="shared" si="241"/>
        <v>25.966777123445411</v>
      </c>
      <c r="N751" s="50">
        <f t="shared" si="242"/>
        <v>42.160787686029224</v>
      </c>
      <c r="O751" s="50">
        <f t="shared" si="243"/>
        <v>39.429861566846107</v>
      </c>
    </row>
    <row r="752" spans="1:15" s="2" customFormat="1" hidden="1">
      <c r="A752" s="138" t="s">
        <v>541</v>
      </c>
      <c r="B752" s="174"/>
      <c r="C752" s="174"/>
      <c r="D752" s="174">
        <f t="shared" ref="D752:K752" si="257">D738/D740</f>
        <v>23.937580901846307</v>
      </c>
      <c r="E752" s="174">
        <f t="shared" si="257"/>
        <v>28.501587009359504</v>
      </c>
      <c r="F752" s="174">
        <f t="shared" si="257"/>
        <v>32.075456661481056</v>
      </c>
      <c r="G752" s="174">
        <f t="shared" si="257"/>
        <v>39.02174421185218</v>
      </c>
      <c r="H752" s="174">
        <f t="shared" si="257"/>
        <v>39.094307015064878</v>
      </c>
      <c r="I752" s="174">
        <f t="shared" si="257"/>
        <v>38.548063434619557</v>
      </c>
      <c r="J752" s="174">
        <f t="shared" si="257"/>
        <v>48.60710485781587</v>
      </c>
      <c r="K752" s="174">
        <f t="shared" si="257"/>
        <v>38.152219776301415</v>
      </c>
      <c r="L752" s="174"/>
      <c r="M752" s="205">
        <f t="shared" si="241"/>
        <v>28.793806386834074</v>
      </c>
      <c r="N752" s="50">
        <f t="shared" si="242"/>
        <v>46.443449136497591</v>
      </c>
      <c r="O752" s="50">
        <f t="shared" si="243"/>
        <v>41.769129356245621</v>
      </c>
    </row>
    <row r="753" spans="1:25" s="18" customFormat="1" hidden="1">
      <c r="A753" s="57" t="s">
        <v>476</v>
      </c>
      <c r="B753" s="46"/>
      <c r="C753" s="69"/>
      <c r="D753" s="45">
        <f>(SUM(B739:D739))/(3*D717)</f>
        <v>4.0133521843652362E-2</v>
      </c>
      <c r="E753" s="45">
        <f t="shared" ref="E753:K753" si="258">(SUM(C739:E739))/(3*E717)</f>
        <v>3.3861018033923065E-2</v>
      </c>
      <c r="F753" s="45">
        <f t="shared" si="258"/>
        <v>3.0140063272554973E-2</v>
      </c>
      <c r="G753" s="45">
        <f t="shared" si="258"/>
        <v>2.5110400348147301E-2</v>
      </c>
      <c r="H753" s="45">
        <f t="shared" si="258"/>
        <v>2.4981620650738379E-2</v>
      </c>
      <c r="I753" s="45">
        <f t="shared" si="258"/>
        <v>2.5556851780745658E-2</v>
      </c>
      <c r="J753" s="45">
        <f t="shared" si="258"/>
        <v>2.0385948347380101E-2</v>
      </c>
      <c r="K753" s="45">
        <f t="shared" si="258"/>
        <v>2.5879053636767256E-2</v>
      </c>
      <c r="L753" s="45"/>
      <c r="M753" s="205">
        <f t="shared" si="241"/>
        <v>2.2604847791390912E-2</v>
      </c>
      <c r="N753" s="50">
        <f t="shared" si="242"/>
        <v>2.8903744511033919E-2</v>
      </c>
      <c r="O753" s="50">
        <f t="shared" si="243"/>
        <v>2.3940617921631005E-2</v>
      </c>
    </row>
    <row r="754" spans="1:25" s="18" customFormat="1" hidden="1">
      <c r="A754" s="161" t="str">
        <f t="shared" ref="A754:K754" si="259">A686</f>
        <v>RoCE</v>
      </c>
      <c r="B754" s="161">
        <f t="shared" si="259"/>
        <v>0.74063876651982496</v>
      </c>
      <c r="C754" s="161">
        <f t="shared" si="259"/>
        <v>1.7109086715867168</v>
      </c>
      <c r="D754" s="161">
        <f t="shared" si="259"/>
        <v>1.0312938929153321</v>
      </c>
      <c r="E754" s="161">
        <f t="shared" si="259"/>
        <v>1.0750881354815327</v>
      </c>
      <c r="F754" s="161">
        <f t="shared" si="259"/>
        <v>1.0765238024618113</v>
      </c>
      <c r="G754" s="161">
        <f t="shared" si="259"/>
        <v>1.2456574904370743</v>
      </c>
      <c r="H754" s="161">
        <f t="shared" si="259"/>
        <v>1.3122668937769812</v>
      </c>
      <c r="I754" s="161">
        <f t="shared" si="259"/>
        <v>1.0093295983287431</v>
      </c>
      <c r="J754" s="161">
        <f t="shared" si="259"/>
        <v>0.88817756456816643</v>
      </c>
      <c r="K754" s="161">
        <f t="shared" si="259"/>
        <v>0.58938274586429862</v>
      </c>
      <c r="L754" s="161"/>
      <c r="M754" s="205">
        <f t="shared" si="241"/>
        <v>0.82277201238339404</v>
      </c>
      <c r="N754" s="50">
        <f t="shared" si="242"/>
        <v>1.1735172610717317</v>
      </c>
      <c r="O754" s="50">
        <f t="shared" si="243"/>
        <v>0.82896330292040277</v>
      </c>
    </row>
    <row r="755" spans="1:25" s="18" customFormat="1" hidden="1">
      <c r="A755" s="57" t="s">
        <v>479</v>
      </c>
      <c r="B755" s="143">
        <f t="shared" ref="B755:K755" si="260">B754*B751</f>
        <v>123.36558972944698</v>
      </c>
      <c r="C755" s="143">
        <f t="shared" si="260"/>
        <v>33.372451393783386</v>
      </c>
      <c r="D755" s="143">
        <f t="shared" si="260"/>
        <v>19.453250970658459</v>
      </c>
      <c r="E755" s="143">
        <f t="shared" si="260"/>
        <v>25.656992595469454</v>
      </c>
      <c r="F755" s="143">
        <f t="shared" si="260"/>
        <v>34.559257184217479</v>
      </c>
      <c r="G755" s="143">
        <f t="shared" si="260"/>
        <v>46.57979161210509</v>
      </c>
      <c r="H755" s="143">
        <f t="shared" si="260"/>
        <v>38.257615357400425</v>
      </c>
      <c r="I755" s="143">
        <f t="shared" si="260"/>
        <v>41.827749693047906</v>
      </c>
      <c r="J755" s="143">
        <f t="shared" si="260"/>
        <v>38.570993899548398</v>
      </c>
      <c r="K755" s="143">
        <f t="shared" si="260"/>
        <v>19.697963360516102</v>
      </c>
      <c r="L755" s="143"/>
      <c r="M755" s="136">
        <f t="shared" si="241"/>
        <v>26.46036146729633</v>
      </c>
      <c r="N755" s="32">
        <f t="shared" si="242"/>
        <v>42.278895077982853</v>
      </c>
      <c r="O755" s="32">
        <f t="shared" si="243"/>
        <v>33.365568984370803</v>
      </c>
    </row>
    <row r="756" spans="1:25" s="2" customFormat="1" hidden="1">
      <c r="A756" s="189" t="s">
        <v>571</v>
      </c>
      <c r="B756" s="187">
        <f>Quarters!B3</f>
        <v>41912</v>
      </c>
      <c r="C756" s="187">
        <f>Quarters!C3</f>
        <v>42004</v>
      </c>
      <c r="D756" s="187">
        <f>Quarters!D3</f>
        <v>42094</v>
      </c>
      <c r="E756" s="187">
        <f>Quarters!E3</f>
        <v>42185</v>
      </c>
      <c r="F756" s="187">
        <f>Quarters!F3</f>
        <v>42277</v>
      </c>
      <c r="G756" s="187">
        <f>Quarters!G3</f>
        <v>42369</v>
      </c>
      <c r="H756" s="187">
        <f>Quarters!H3</f>
        <v>42460</v>
      </c>
      <c r="I756" s="187">
        <f>Quarters!I3</f>
        <v>42551</v>
      </c>
      <c r="J756" s="187">
        <f>Quarters!J3</f>
        <v>42643</v>
      </c>
      <c r="K756" s="187">
        <f>Quarters!K3</f>
        <v>42735</v>
      </c>
      <c r="L756" s="188"/>
      <c r="M756" s="188"/>
      <c r="N756" s="75"/>
      <c r="O756" s="75"/>
    </row>
    <row r="757" spans="1:25" s="18" customFormat="1" hidden="1">
      <c r="A757" s="145" t="s">
        <v>563</v>
      </c>
      <c r="B757" s="46"/>
      <c r="C757" s="69"/>
      <c r="D757" s="46"/>
      <c r="E757" s="46"/>
      <c r="F757" s="46"/>
      <c r="G757" s="46"/>
      <c r="H757" s="161">
        <f>(Quarters!F4-Quarters!B4)/Quarters!B4</f>
        <v>-3.5681445648262838E-2</v>
      </c>
      <c r="I757" s="161">
        <f>(Quarters!G4-Quarters!C4)/Quarters!C4</f>
        <v>-3.9326914388409712E-2</v>
      </c>
      <c r="J757" s="161">
        <f>(Quarters!H4-Quarters!D4)/Quarters!D4</f>
        <v>6.8361027116897205E-2</v>
      </c>
      <c r="K757" s="161">
        <f>(Quarters!I4-Quarters!E4)/Quarters!E4</f>
        <v>8.829784948546622E-2</v>
      </c>
      <c r="L757" s="51"/>
      <c r="N757" s="32"/>
      <c r="O757" s="32"/>
    </row>
    <row r="758" spans="1:25" s="18" customFormat="1" hidden="1">
      <c r="A758" s="145" t="s">
        <v>565</v>
      </c>
      <c r="B758" s="46"/>
      <c r="C758" s="69"/>
      <c r="D758" s="46"/>
      <c r="E758" s="46"/>
      <c r="F758" s="46"/>
      <c r="G758" s="46"/>
      <c r="H758" s="161">
        <f>(Quarters!F5-Quarters!B5)/Quarters!B5</f>
        <v>-0.12708689082443711</v>
      </c>
      <c r="I758" s="161">
        <f>(Quarters!G5-Quarters!C5)/Quarters!C5</f>
        <v>-0.10390436855042985</v>
      </c>
      <c r="J758" s="161">
        <f>(Quarters!H5-Quarters!D5)/Quarters!D5</f>
        <v>9.8048755505479923E-2</v>
      </c>
      <c r="K758" s="161">
        <f>(Quarters!I5-Quarters!E5)/Quarters!E5</f>
        <v>5.6613972866428386E-2</v>
      </c>
      <c r="L758" s="51"/>
      <c r="N758" s="32"/>
      <c r="O758" s="32"/>
    </row>
    <row r="759" spans="1:25" s="18" customFormat="1" hidden="1">
      <c r="A759" s="145" t="s">
        <v>564</v>
      </c>
      <c r="B759" s="46"/>
      <c r="C759" s="69"/>
      <c r="D759" s="46"/>
      <c r="E759" s="46"/>
      <c r="F759" s="46"/>
      <c r="G759" s="46"/>
      <c r="H759" s="161">
        <f>(Quarters!F12-Quarters!B12)/Quarters!B12</f>
        <v>0.21044914338632489</v>
      </c>
      <c r="I759" s="161">
        <f>(Quarters!G12-Quarters!C12)/Quarters!C12</f>
        <v>0.26173009322940544</v>
      </c>
      <c r="J759" s="161">
        <f>(Quarters!H12-Quarters!D12)/Quarters!D12</f>
        <v>-0.10841532726272694</v>
      </c>
      <c r="K759" s="161">
        <f>(Quarters!I12-Quarters!E12)/Quarters!E12</f>
        <v>8.4353976194583416E-2</v>
      </c>
      <c r="L759" s="51"/>
      <c r="N759" s="32"/>
      <c r="O759" s="32"/>
    </row>
    <row r="760" spans="1:25" s="18" customFormat="1" hidden="1">
      <c r="A760" s="145" t="s">
        <v>18</v>
      </c>
      <c r="B760" s="186">
        <f>Quarters!B14</f>
        <v>0.18641306520609283</v>
      </c>
      <c r="C760" s="186">
        <f>Quarters!C14</f>
        <v>0.19537956446220422</v>
      </c>
      <c r="D760" s="186">
        <f>Quarters!D14</f>
        <v>0.24061020310935238</v>
      </c>
      <c r="E760" s="186">
        <f>Quarters!E14</f>
        <v>0.18526435645691453</v>
      </c>
      <c r="F760" s="186">
        <f>Quarters!F14</f>
        <v>0.26353102133040368</v>
      </c>
      <c r="G760" s="186">
        <f>Quarters!G14</f>
        <v>0.2494669955269429</v>
      </c>
      <c r="H760" s="186">
        <f>Quarters!H14</f>
        <v>0.21950819970513819</v>
      </c>
      <c r="I760" s="186">
        <f>Quarters!I14</f>
        <v>0.20898395088536631</v>
      </c>
      <c r="J760" s="186">
        <f>Quarters!J14</f>
        <v>0.26004656533343418</v>
      </c>
      <c r="K760" s="186">
        <f>Quarters!K14</f>
        <v>0.24475748359212426</v>
      </c>
      <c r="L760" s="196"/>
      <c r="N760" s="32"/>
      <c r="O760" s="32"/>
    </row>
    <row r="761" spans="1:25" s="18" customFormat="1" hidden="1">
      <c r="A761" s="145" t="s">
        <v>132</v>
      </c>
      <c r="B761" s="161">
        <f>Quarters!B12/Quarters!B4</f>
        <v>0.1295126534202215</v>
      </c>
      <c r="C761" s="161">
        <f>Quarters!C12/Quarters!C4</f>
        <v>0.13138422304996938</v>
      </c>
      <c r="D761" s="161">
        <f>Quarters!D12/Quarters!D4</f>
        <v>0.15909422368280327</v>
      </c>
      <c r="E761" s="161">
        <f>Quarters!E12/Quarters!E4</f>
        <v>0.12454078673169054</v>
      </c>
      <c r="F761" s="161">
        <f>Quarters!F12/Quarters!F4</f>
        <v>0.16256918388922284</v>
      </c>
      <c r="G761" s="161">
        <f>Quarters!G12/Quarters!G4</f>
        <v>0.17255758538522639</v>
      </c>
      <c r="H761" s="161">
        <f>Quarters!H12/Quarters!H4</f>
        <v>0.1327696984037422</v>
      </c>
      <c r="I761" s="161">
        <f>Quarters!I12/Quarters!I4</f>
        <v>0.12408946443729396</v>
      </c>
      <c r="J761" s="161">
        <f>Quarters!J12/Quarters!J4</f>
        <v>0.17160082530428364</v>
      </c>
      <c r="K761" s="161">
        <f>Quarters!K12/Quarters!K4</f>
        <v>0.14615015207299503</v>
      </c>
      <c r="N761" s="32"/>
      <c r="O761" s="32"/>
    </row>
    <row r="762" spans="1:25" s="18" customFormat="1">
      <c r="A762" s="2"/>
      <c r="C762" s="112"/>
      <c r="H762" s="49"/>
      <c r="N762" s="32"/>
      <c r="O762" s="32"/>
    </row>
    <row r="763" spans="1:25" s="18" customFormat="1">
      <c r="A763" s="2"/>
      <c r="C763" s="112"/>
      <c r="N763" s="32"/>
      <c r="O763" s="32"/>
    </row>
    <row r="764" spans="1:25" hidden="1"/>
    <row r="765" spans="1:25" s="6" customFormat="1" ht="18" hidden="1">
      <c r="A765" s="122" t="s">
        <v>544</v>
      </c>
      <c r="C765" s="80"/>
      <c r="N765" s="29"/>
      <c r="O765" s="29"/>
    </row>
    <row r="766" spans="1:25" s="8" customFormat="1" hidden="1">
      <c r="A766" s="206" t="s">
        <v>490</v>
      </c>
      <c r="B766" s="206"/>
      <c r="C766" s="91" t="s">
        <v>491</v>
      </c>
      <c r="D766" s="91">
        <v>0</v>
      </c>
      <c r="E766" s="91">
        <v>1</v>
      </c>
      <c r="F766" s="91">
        <v>2</v>
      </c>
      <c r="G766" s="91">
        <v>3</v>
      </c>
      <c r="H766" s="91">
        <v>4</v>
      </c>
      <c r="I766" s="91">
        <v>5</v>
      </c>
      <c r="J766" s="91">
        <v>6</v>
      </c>
      <c r="K766" s="91">
        <v>7</v>
      </c>
      <c r="L766" s="91"/>
      <c r="M766" s="91">
        <v>8</v>
      </c>
      <c r="N766" s="197">
        <v>9</v>
      </c>
      <c r="O766" s="197">
        <v>10</v>
      </c>
      <c r="P766" s="91">
        <v>11</v>
      </c>
      <c r="Q766" s="91">
        <v>12</v>
      </c>
      <c r="R766" s="91">
        <v>13</v>
      </c>
      <c r="S766" s="91">
        <v>14</v>
      </c>
      <c r="T766" s="91">
        <v>15</v>
      </c>
      <c r="U766" s="91">
        <v>16</v>
      </c>
      <c r="V766" s="91">
        <v>17</v>
      </c>
      <c r="W766" s="91">
        <v>18</v>
      </c>
      <c r="X766" s="91">
        <v>19</v>
      </c>
      <c r="Y766" s="91">
        <v>20</v>
      </c>
    </row>
    <row r="767" spans="1:25" s="82" customFormat="1" hidden="1">
      <c r="A767" s="92" t="s">
        <v>501</v>
      </c>
      <c r="B767" s="94">
        <v>0.25</v>
      </c>
      <c r="C767" s="81" t="s">
        <v>492</v>
      </c>
      <c r="D767" s="81">
        <v>1</v>
      </c>
      <c r="E767" s="81">
        <f>D767+B767</f>
        <v>1.25</v>
      </c>
      <c r="F767" s="81">
        <f>E767</f>
        <v>1.25</v>
      </c>
      <c r="G767" s="81">
        <f t="shared" ref="G767:Y767" si="261">F767</f>
        <v>1.25</v>
      </c>
      <c r="H767" s="81">
        <f t="shared" si="261"/>
        <v>1.25</v>
      </c>
      <c r="I767" s="81">
        <f t="shared" si="261"/>
        <v>1.25</v>
      </c>
      <c r="J767" s="81">
        <f t="shared" si="261"/>
        <v>1.25</v>
      </c>
      <c r="K767" s="81">
        <f t="shared" si="261"/>
        <v>1.25</v>
      </c>
      <c r="L767" s="81"/>
      <c r="M767" s="81">
        <f>K767</f>
        <v>1.25</v>
      </c>
      <c r="N767" s="198">
        <f t="shared" si="261"/>
        <v>1.25</v>
      </c>
      <c r="O767" s="198">
        <f t="shared" si="261"/>
        <v>1.25</v>
      </c>
      <c r="P767" s="81">
        <f t="shared" si="261"/>
        <v>1.25</v>
      </c>
      <c r="Q767" s="81">
        <f t="shared" si="261"/>
        <v>1.25</v>
      </c>
      <c r="R767" s="81">
        <f t="shared" si="261"/>
        <v>1.25</v>
      </c>
      <c r="S767" s="81">
        <f t="shared" si="261"/>
        <v>1.25</v>
      </c>
      <c r="T767" s="81">
        <f t="shared" si="261"/>
        <v>1.25</v>
      </c>
      <c r="U767" s="81">
        <f t="shared" si="261"/>
        <v>1.25</v>
      </c>
      <c r="V767" s="81">
        <f t="shared" si="261"/>
        <v>1.25</v>
      </c>
      <c r="W767" s="81">
        <f t="shared" si="261"/>
        <v>1.25</v>
      </c>
      <c r="X767" s="81">
        <f t="shared" si="261"/>
        <v>1.25</v>
      </c>
      <c r="Y767" s="81">
        <f t="shared" si="261"/>
        <v>1.25</v>
      </c>
    </row>
    <row r="768" spans="1:25" s="82" customFormat="1" hidden="1">
      <c r="A768" s="92" t="s">
        <v>493</v>
      </c>
      <c r="B768" s="95">
        <f>K744*10000000/'Data Sheet'!K70</f>
        <v>10.14011889564236</v>
      </c>
      <c r="C768" s="81" t="s">
        <v>400</v>
      </c>
      <c r="D768" s="83">
        <f>B768</f>
        <v>10.14011889564236</v>
      </c>
      <c r="E768" s="83">
        <f>D768*E767</f>
        <v>12.675148619552949</v>
      </c>
      <c r="F768" s="83">
        <f>E768*F767</f>
        <v>15.843935774441187</v>
      </c>
      <c r="G768" s="83">
        <f t="shared" ref="G768:Y768" si="262">F768*G767</f>
        <v>19.804919718051483</v>
      </c>
      <c r="H768" s="83">
        <f t="shared" si="262"/>
        <v>24.756149647564353</v>
      </c>
      <c r="I768" s="83">
        <f t="shared" si="262"/>
        <v>30.945187059455442</v>
      </c>
      <c r="J768" s="83">
        <f t="shared" si="262"/>
        <v>38.681483824319301</v>
      </c>
      <c r="K768" s="83">
        <f t="shared" si="262"/>
        <v>48.351854780399123</v>
      </c>
      <c r="L768" s="83"/>
      <c r="M768" s="83">
        <f>K768*M767</f>
        <v>60.439818475498903</v>
      </c>
      <c r="N768" s="198">
        <f t="shared" si="262"/>
        <v>75.549773094373634</v>
      </c>
      <c r="O768" s="198">
        <f t="shared" si="262"/>
        <v>94.437216367967039</v>
      </c>
      <c r="P768" s="83">
        <f t="shared" si="262"/>
        <v>118.0465204599588</v>
      </c>
      <c r="Q768" s="83">
        <f t="shared" si="262"/>
        <v>147.55815057494851</v>
      </c>
      <c r="R768" s="83">
        <f t="shared" si="262"/>
        <v>184.44768821868564</v>
      </c>
      <c r="S768" s="83">
        <f t="shared" si="262"/>
        <v>230.55961027335707</v>
      </c>
      <c r="T768" s="83">
        <f>S768*T767</f>
        <v>288.19951284169633</v>
      </c>
      <c r="U768" s="83">
        <f t="shared" si="262"/>
        <v>360.24939105212042</v>
      </c>
      <c r="V768" s="83">
        <f t="shared" si="262"/>
        <v>450.31173881515053</v>
      </c>
      <c r="W768" s="83">
        <f t="shared" si="262"/>
        <v>562.88967351893814</v>
      </c>
      <c r="X768" s="83">
        <f t="shared" si="262"/>
        <v>703.6120918986727</v>
      </c>
      <c r="Y768" s="83">
        <f t="shared" si="262"/>
        <v>879.51511487334085</v>
      </c>
    </row>
    <row r="769" spans="1:26" s="82" customFormat="1" hidden="1">
      <c r="A769" s="93" t="s">
        <v>494</v>
      </c>
      <c r="B769" s="96">
        <f>'Profit &amp; Loss'!L15</f>
        <v>1015.35</v>
      </c>
      <c r="C769" s="81" t="s">
        <v>495</v>
      </c>
      <c r="D769" s="84">
        <f>1+B770</f>
        <v>1.1000000000000001</v>
      </c>
      <c r="E769" s="84">
        <f>D769</f>
        <v>1.1000000000000001</v>
      </c>
      <c r="F769" s="84">
        <f t="shared" ref="F769:Y769" si="263">E769</f>
        <v>1.1000000000000001</v>
      </c>
      <c r="G769" s="84">
        <f t="shared" si="263"/>
        <v>1.1000000000000001</v>
      </c>
      <c r="H769" s="84">
        <f t="shared" si="263"/>
        <v>1.1000000000000001</v>
      </c>
      <c r="I769" s="84">
        <f t="shared" si="263"/>
        <v>1.1000000000000001</v>
      </c>
      <c r="J769" s="84">
        <f t="shared" si="263"/>
        <v>1.1000000000000001</v>
      </c>
      <c r="K769" s="84">
        <f t="shared" si="263"/>
        <v>1.1000000000000001</v>
      </c>
      <c r="L769" s="84"/>
      <c r="M769" s="84">
        <f>K769</f>
        <v>1.1000000000000001</v>
      </c>
      <c r="N769" s="198">
        <f t="shared" si="263"/>
        <v>1.1000000000000001</v>
      </c>
      <c r="O769" s="198">
        <f t="shared" si="263"/>
        <v>1.1000000000000001</v>
      </c>
      <c r="P769" s="84">
        <f t="shared" si="263"/>
        <v>1.1000000000000001</v>
      </c>
      <c r="Q769" s="84">
        <f t="shared" si="263"/>
        <v>1.1000000000000001</v>
      </c>
      <c r="R769" s="84">
        <f t="shared" si="263"/>
        <v>1.1000000000000001</v>
      </c>
      <c r="S769" s="84">
        <f t="shared" si="263"/>
        <v>1.1000000000000001</v>
      </c>
      <c r="T769" s="84">
        <f t="shared" si="263"/>
        <v>1.1000000000000001</v>
      </c>
      <c r="U769" s="84">
        <f t="shared" si="263"/>
        <v>1.1000000000000001</v>
      </c>
      <c r="V769" s="84">
        <f t="shared" si="263"/>
        <v>1.1000000000000001</v>
      </c>
      <c r="W769" s="84">
        <f t="shared" si="263"/>
        <v>1.1000000000000001</v>
      </c>
      <c r="X769" s="84">
        <f t="shared" si="263"/>
        <v>1.1000000000000001</v>
      </c>
      <c r="Y769" s="84">
        <f t="shared" si="263"/>
        <v>1.1000000000000001</v>
      </c>
    </row>
    <row r="770" spans="1:26" s="82" customFormat="1" hidden="1">
      <c r="A770" s="92" t="s">
        <v>495</v>
      </c>
      <c r="B770" s="94">
        <v>0.1</v>
      </c>
      <c r="C770" s="81" t="s">
        <v>496</v>
      </c>
      <c r="D770" s="83">
        <f>D768</f>
        <v>10.14011889564236</v>
      </c>
      <c r="E770" s="83">
        <f>E768/E769^E766</f>
        <v>11.522862381411771</v>
      </c>
      <c r="F770" s="83">
        <f t="shared" ref="F770:Y770" si="264">F768/F769^F766</f>
        <v>13.094161797058829</v>
      </c>
      <c r="G770" s="83">
        <f t="shared" si="264"/>
        <v>14.879729314839578</v>
      </c>
      <c r="H770" s="83">
        <f t="shared" si="264"/>
        <v>16.908783312317702</v>
      </c>
      <c r="I770" s="83">
        <f t="shared" si="264"/>
        <v>19.214526491270114</v>
      </c>
      <c r="J770" s="83">
        <f t="shared" si="264"/>
        <v>21.834689194625128</v>
      </c>
      <c r="K770" s="83">
        <f t="shared" si="264"/>
        <v>24.812146812074001</v>
      </c>
      <c r="L770" s="83"/>
      <c r="M770" s="83">
        <f t="shared" si="264"/>
        <v>28.195621377356822</v>
      </c>
      <c r="N770" s="198">
        <f t="shared" si="264"/>
        <v>32.040478837905482</v>
      </c>
      <c r="O770" s="198">
        <f t="shared" si="264"/>
        <v>36.409635043074402</v>
      </c>
      <c r="P770" s="83">
        <f t="shared" si="264"/>
        <v>41.374585276220905</v>
      </c>
      <c r="Q770" s="83">
        <f t="shared" si="264"/>
        <v>47.016574177523765</v>
      </c>
      <c r="R770" s="83">
        <f t="shared" si="264"/>
        <v>53.427925201731547</v>
      </c>
      <c r="S770" s="83">
        <f t="shared" si="264"/>
        <v>60.713551365604026</v>
      </c>
      <c r="T770" s="83">
        <f t="shared" si="264"/>
        <v>68.99267200636821</v>
      </c>
      <c r="U770" s="83">
        <f t="shared" si="264"/>
        <v>78.400763643600229</v>
      </c>
      <c r="V770" s="83">
        <f t="shared" si="264"/>
        <v>89.091776867727546</v>
      </c>
      <c r="W770" s="83">
        <f t="shared" si="264"/>
        <v>101.24065553150855</v>
      </c>
      <c r="X770" s="83">
        <f t="shared" si="264"/>
        <v>115.04619946762334</v>
      </c>
      <c r="Y770" s="83">
        <f t="shared" si="264"/>
        <v>130.73431757684472</v>
      </c>
      <c r="Z770" s="85"/>
    </row>
    <row r="771" spans="1:26" s="82" customFormat="1" hidden="1">
      <c r="A771" s="93" t="s">
        <v>497</v>
      </c>
      <c r="B771" s="97">
        <f>MIN(D774:Y774)</f>
        <v>20</v>
      </c>
      <c r="C771" s="81" t="s">
        <v>498</v>
      </c>
      <c r="D771" s="83">
        <f>D768</f>
        <v>10.14011889564236</v>
      </c>
      <c r="E771" s="83">
        <f>SUM(D770:E770)</f>
        <v>21.662981277054129</v>
      </c>
      <c r="F771" s="83">
        <f>E771+F770</f>
        <v>34.75714307411296</v>
      </c>
      <c r="G771" s="83">
        <f t="shared" ref="G771:Y771" si="265">F771+G770</f>
        <v>49.63687238895254</v>
      </c>
      <c r="H771" s="83">
        <f t="shared" si="265"/>
        <v>66.545655701270249</v>
      </c>
      <c r="I771" s="83">
        <f t="shared" si="265"/>
        <v>85.760182192540356</v>
      </c>
      <c r="J771" s="83">
        <f t="shared" si="265"/>
        <v>107.59487138716548</v>
      </c>
      <c r="K771" s="83">
        <f t="shared" si="265"/>
        <v>132.40701819923947</v>
      </c>
      <c r="L771" s="83"/>
      <c r="M771" s="83">
        <f>K771+M770</f>
        <v>160.60263957659629</v>
      </c>
      <c r="N771" s="198">
        <f t="shared" si="265"/>
        <v>192.64311841450177</v>
      </c>
      <c r="O771" s="198">
        <f t="shared" si="265"/>
        <v>229.05275345757616</v>
      </c>
      <c r="P771" s="83">
        <f t="shared" si="265"/>
        <v>270.42733873379706</v>
      </c>
      <c r="Q771" s="83">
        <f t="shared" si="265"/>
        <v>317.44391291132081</v>
      </c>
      <c r="R771" s="83">
        <f t="shared" si="265"/>
        <v>370.87183811305238</v>
      </c>
      <c r="S771" s="83">
        <f t="shared" si="265"/>
        <v>431.5853894786564</v>
      </c>
      <c r="T771" s="83">
        <f t="shared" si="265"/>
        <v>500.57806148502459</v>
      </c>
      <c r="U771" s="83">
        <f t="shared" si="265"/>
        <v>578.97882512862486</v>
      </c>
      <c r="V771" s="83">
        <f t="shared" si="265"/>
        <v>668.07060199635237</v>
      </c>
      <c r="W771" s="83">
        <f t="shared" si="265"/>
        <v>769.3112575278609</v>
      </c>
      <c r="X771" s="83">
        <f t="shared" si="265"/>
        <v>884.3574569954842</v>
      </c>
      <c r="Y771" s="83">
        <f t="shared" si="265"/>
        <v>1015.0917745723289</v>
      </c>
    </row>
    <row r="772" spans="1:26" s="82" customFormat="1" hidden="1">
      <c r="A772" s="207"/>
      <c r="B772" s="208"/>
      <c r="C772" s="89" t="s">
        <v>499</v>
      </c>
      <c r="D772" s="90">
        <f>B768/B770</f>
        <v>101.4011889564236</v>
      </c>
      <c r="E772" s="90">
        <f>(B768/B770)/(1+B770)^E766</f>
        <v>92.182899051294171</v>
      </c>
      <c r="F772" s="90">
        <f>(B768/B770)/(1+B770)^F766</f>
        <v>83.802635501176511</v>
      </c>
      <c r="G772" s="90">
        <f>(B768/B770)/(1+B770)^G766</f>
        <v>76.184214091978632</v>
      </c>
      <c r="H772" s="90">
        <f>(B768/B770)/(1+B770)^H766</f>
        <v>69.258376447253312</v>
      </c>
      <c r="I772" s="90">
        <f>(B768/B770)/(1+B770)^I766</f>
        <v>62.96216040659391</v>
      </c>
      <c r="J772" s="90">
        <f>(B768/B770)/(1+B770)^J766</f>
        <v>57.238327642358094</v>
      </c>
      <c r="K772" s="90">
        <f>(B768/B770)/(1+B770)^K766</f>
        <v>52.034843311234624</v>
      </c>
      <c r="L772" s="90"/>
      <c r="M772" s="90">
        <f>(B768/B770)/(1+B770)^M766</f>
        <v>47.304403010213299</v>
      </c>
      <c r="N772" s="199">
        <f>(B768/B770)/(1+B770)^N766</f>
        <v>43.004002736557538</v>
      </c>
      <c r="O772" s="199">
        <f>(B768/B770)/(1+B770)^O766</f>
        <v>39.094547942325029</v>
      </c>
      <c r="P772" s="90">
        <f>(B768/B770)/(1+B770)^P766</f>
        <v>35.540498129386386</v>
      </c>
      <c r="Q772" s="90">
        <f>(B768/B770)/(1+B770)^Q766</f>
        <v>32.309543753987626</v>
      </c>
      <c r="R772" s="90">
        <f>(B768/B770)/(1+B770)^R766</f>
        <v>29.372312503625114</v>
      </c>
      <c r="S772" s="90">
        <f>(B768/B770)/(1+B770)^S766</f>
        <v>26.702102276022828</v>
      </c>
      <c r="T772" s="90">
        <f>(B768/B770)/(1+B770)^T766</f>
        <v>24.274638432748024</v>
      </c>
      <c r="U772" s="90">
        <f>(B768/B770)/(1+B770)^U766</f>
        <v>22.06785312068002</v>
      </c>
      <c r="V772" s="90">
        <f>(B768/B770)/(1+B770)^V766</f>
        <v>20.061684655163656</v>
      </c>
      <c r="W772" s="90">
        <f>(B768/B770)/(1+B770)^W766</f>
        <v>18.237895141057866</v>
      </c>
      <c r="X772" s="90">
        <f>(B768/B770)/(1+B770)^X766</f>
        <v>16.579904673688965</v>
      </c>
      <c r="Y772" s="90">
        <f>(B768/B770)/(1+B770)^Y766</f>
        <v>15.072640612444516</v>
      </c>
    </row>
    <row r="773" spans="1:26" s="82" customFormat="1" hidden="1">
      <c r="A773" s="207"/>
      <c r="B773" s="208"/>
      <c r="C773" s="81" t="s">
        <v>500</v>
      </c>
      <c r="D773" s="83">
        <f t="shared" ref="D773:Y773" si="266">D772+D771</f>
        <v>111.54130785206596</v>
      </c>
      <c r="E773" s="83">
        <f t="shared" si="266"/>
        <v>113.8458803283483</v>
      </c>
      <c r="F773" s="83">
        <f t="shared" si="266"/>
        <v>118.55977857528947</v>
      </c>
      <c r="G773" s="83">
        <f t="shared" si="266"/>
        <v>125.82108648093117</v>
      </c>
      <c r="H773" s="83">
        <f t="shared" si="266"/>
        <v>135.80403214852356</v>
      </c>
      <c r="I773" s="83">
        <f t="shared" si="266"/>
        <v>148.72234259913427</v>
      </c>
      <c r="J773" s="83">
        <f t="shared" si="266"/>
        <v>164.83319902952357</v>
      </c>
      <c r="K773" s="83">
        <f t="shared" si="266"/>
        <v>184.4418615104741</v>
      </c>
      <c r="L773" s="83"/>
      <c r="M773" s="83">
        <f t="shared" si="266"/>
        <v>207.90704258680958</v>
      </c>
      <c r="N773" s="198">
        <f t="shared" si="266"/>
        <v>235.64712115105931</v>
      </c>
      <c r="O773" s="198">
        <f t="shared" si="266"/>
        <v>268.14730139990121</v>
      </c>
      <c r="P773" s="83">
        <f t="shared" si="266"/>
        <v>305.96783686318344</v>
      </c>
      <c r="Q773" s="83">
        <f t="shared" si="266"/>
        <v>349.75345666530842</v>
      </c>
      <c r="R773" s="83">
        <f t="shared" si="266"/>
        <v>400.24415061667747</v>
      </c>
      <c r="S773" s="83">
        <f t="shared" si="266"/>
        <v>458.28749175467919</v>
      </c>
      <c r="T773" s="83">
        <f t="shared" si="266"/>
        <v>524.85269991777261</v>
      </c>
      <c r="U773" s="83">
        <f t="shared" si="266"/>
        <v>601.04667824930493</v>
      </c>
      <c r="V773" s="83">
        <f t="shared" si="266"/>
        <v>688.13228665151598</v>
      </c>
      <c r="W773" s="83">
        <f t="shared" si="266"/>
        <v>787.54915266891874</v>
      </c>
      <c r="X773" s="83">
        <f t="shared" si="266"/>
        <v>900.93736166917313</v>
      </c>
      <c r="Y773" s="83">
        <f t="shared" si="266"/>
        <v>1030.1644151847734</v>
      </c>
    </row>
    <row r="774" spans="1:26" s="82" customFormat="1" hidden="1">
      <c r="A774" s="86"/>
      <c r="B774" s="87"/>
      <c r="C774" s="88"/>
      <c r="D774" s="81" t="str">
        <f>IF(D773&gt;B769,1*D766,"No")</f>
        <v>No</v>
      </c>
      <c r="E774" s="81" t="str">
        <f>IF(E773&gt;B769,E766*1,"No")</f>
        <v>No</v>
      </c>
      <c r="F774" s="81" t="str">
        <f>IF(F773&gt;B769,F766*1,"No")</f>
        <v>No</v>
      </c>
      <c r="G774" s="81" t="str">
        <f>IF(G773&gt;B769,G766*1,"No")</f>
        <v>No</v>
      </c>
      <c r="H774" s="81" t="str">
        <f>IF(H773&gt;B769,H766*1,"No")</f>
        <v>No</v>
      </c>
      <c r="I774" s="81" t="str">
        <f>IF(I773&gt;B769,I766*1,"No")</f>
        <v>No</v>
      </c>
      <c r="J774" s="81" t="str">
        <f>IF(J773&gt;B769,J766*1,"No")</f>
        <v>No</v>
      </c>
      <c r="K774" s="81" t="str">
        <f>IF(K773&gt;B769,1*K766,"No")</f>
        <v>No</v>
      </c>
      <c r="L774" s="81"/>
      <c r="M774" s="81" t="str">
        <f>IF(M773&gt;B769,M766*1,"No")</f>
        <v>No</v>
      </c>
      <c r="N774" s="198" t="str">
        <f>IF(N773&gt;B769,N766*1,"No")</f>
        <v>No</v>
      </c>
      <c r="O774" s="198" t="str">
        <f>IF(O773&gt;B769,O766*1,"No")</f>
        <v>No</v>
      </c>
      <c r="P774" s="81" t="str">
        <f>IF(P773&gt;B769,P766*1,"No")</f>
        <v>No</v>
      </c>
      <c r="Q774" s="81" t="str">
        <f>IF(Q773&gt;B769,Q766*1,"No")</f>
        <v>No</v>
      </c>
      <c r="R774" s="81" t="str">
        <f>IF(R773&gt;B769,R766*1,"No")</f>
        <v>No</v>
      </c>
      <c r="S774" s="81" t="str">
        <f>IF(S773&gt;B769,1*S766,"No")</f>
        <v>No</v>
      </c>
      <c r="T774" s="81" t="str">
        <f>IF(T773&gt;B769,T766*1,"No")</f>
        <v>No</v>
      </c>
      <c r="U774" s="81" t="str">
        <f>IF(U773&gt;B769,U766*1,"No")</f>
        <v>No</v>
      </c>
      <c r="V774" s="81" t="str">
        <f>IF(V773&gt;B769,V766*1,"No")</f>
        <v>No</v>
      </c>
      <c r="W774" s="81" t="str">
        <f>IF(W773&gt;B769,W766*1,"No")</f>
        <v>No</v>
      </c>
      <c r="X774" s="81" t="str">
        <f>IF(X773&gt;B769,X766*1,"No")</f>
        <v>No</v>
      </c>
      <c r="Y774" s="81">
        <f>IF(Y773&gt;B769,Y766*1,"No")</f>
        <v>20</v>
      </c>
    </row>
    <row r="775" spans="1:26" s="6" customFormat="1" hidden="1">
      <c r="A775" s="8"/>
      <c r="C775" s="80"/>
      <c r="N775" s="29"/>
      <c r="O775" s="29"/>
    </row>
    <row r="776" spans="1:26" s="18" customFormat="1" ht="18" hidden="1">
      <c r="A776" s="121" t="s">
        <v>502</v>
      </c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200"/>
      <c r="O776" s="200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6" hidden="1">
      <c r="A777" s="98" t="s">
        <v>503</v>
      </c>
      <c r="B777" s="99" t="s">
        <v>504</v>
      </c>
      <c r="C777" s="99" t="s">
        <v>491</v>
      </c>
      <c r="D777" s="123">
        <v>0</v>
      </c>
      <c r="E777" s="123">
        <v>1</v>
      </c>
      <c r="F777" s="123">
        <v>2</v>
      </c>
      <c r="G777" s="123">
        <v>3</v>
      </c>
      <c r="H777" s="123">
        <v>4</v>
      </c>
      <c r="I777" s="123">
        <v>5</v>
      </c>
      <c r="J777" s="123">
        <v>6</v>
      </c>
      <c r="K777" s="123">
        <v>7</v>
      </c>
      <c r="L777" s="123"/>
      <c r="M777" s="123">
        <v>8</v>
      </c>
      <c r="N777" s="201">
        <v>9</v>
      </c>
      <c r="O777" s="201">
        <v>10</v>
      </c>
      <c r="P777" s="123">
        <v>11</v>
      </c>
      <c r="Q777" s="123">
        <v>12</v>
      </c>
      <c r="R777" s="123">
        <v>13</v>
      </c>
      <c r="S777" s="123">
        <v>14</v>
      </c>
      <c r="T777" s="123">
        <v>15</v>
      </c>
      <c r="U777" s="123">
        <v>16</v>
      </c>
      <c r="V777" s="123">
        <v>17</v>
      </c>
      <c r="W777" s="123">
        <v>18</v>
      </c>
      <c r="X777" s="123">
        <v>19</v>
      </c>
      <c r="Y777" s="123">
        <v>20</v>
      </c>
    </row>
    <row r="778" spans="1:26" hidden="1">
      <c r="A778" s="100" t="s">
        <v>505</v>
      </c>
      <c r="B778" s="101">
        <f>K744</f>
        <v>275.79666666666668</v>
      </c>
      <c r="C778" s="102" t="s">
        <v>506</v>
      </c>
      <c r="D778" s="126"/>
      <c r="E778" s="127">
        <f>B779</f>
        <v>0.25</v>
      </c>
      <c r="F778" s="127">
        <f>B779</f>
        <v>0.25</v>
      </c>
      <c r="G778" s="127">
        <f>B779</f>
        <v>0.25</v>
      </c>
      <c r="H778" s="127">
        <f>B779</f>
        <v>0.25</v>
      </c>
      <c r="I778" s="127">
        <f>B779</f>
        <v>0.25</v>
      </c>
      <c r="J778" s="127">
        <f>B780</f>
        <v>0.25</v>
      </c>
      <c r="K778" s="127">
        <f>B780</f>
        <v>0.25</v>
      </c>
      <c r="L778" s="127"/>
      <c r="M778" s="127">
        <f>B780</f>
        <v>0.25</v>
      </c>
      <c r="N778" s="202">
        <f>B780</f>
        <v>0.25</v>
      </c>
      <c r="O778" s="202">
        <f>B780</f>
        <v>0.25</v>
      </c>
      <c r="P778" s="7">
        <f>B781</f>
        <v>0.25</v>
      </c>
      <c r="Q778" s="7">
        <f>B781</f>
        <v>0.25</v>
      </c>
      <c r="R778" s="7">
        <f>B781</f>
        <v>0.25</v>
      </c>
      <c r="S778" s="7">
        <f>B781</f>
        <v>0.25</v>
      </c>
      <c r="T778" s="7">
        <f>B781</f>
        <v>0.25</v>
      </c>
      <c r="U778" s="7">
        <f>B782</f>
        <v>0.25</v>
      </c>
      <c r="V778" s="7">
        <f>B782</f>
        <v>0.25</v>
      </c>
      <c r="W778" s="7">
        <f>B782</f>
        <v>0.25</v>
      </c>
      <c r="X778" s="7">
        <f>B782</f>
        <v>0.25</v>
      </c>
      <c r="Y778" s="7">
        <f>B782</f>
        <v>0.25</v>
      </c>
    </row>
    <row r="779" spans="1:26" hidden="1">
      <c r="A779" s="100" t="s">
        <v>507</v>
      </c>
      <c r="B779" s="103">
        <v>0.25</v>
      </c>
      <c r="C779" s="104" t="s">
        <v>400</v>
      </c>
      <c r="D779" s="128">
        <f>B778</f>
        <v>275.79666666666668</v>
      </c>
      <c r="E779" s="128">
        <f>D779+D779*E778</f>
        <v>344.74583333333334</v>
      </c>
      <c r="F779" s="128">
        <f t="shared" ref="F779:O779" si="267">E779+E779*F778</f>
        <v>430.93229166666669</v>
      </c>
      <c r="G779" s="128">
        <f t="shared" si="267"/>
        <v>538.66536458333337</v>
      </c>
      <c r="H779" s="128">
        <f t="shared" si="267"/>
        <v>673.33170572916674</v>
      </c>
      <c r="I779" s="128">
        <f t="shared" si="267"/>
        <v>841.66463216145848</v>
      </c>
      <c r="J779" s="128">
        <f t="shared" si="267"/>
        <v>1052.0807902018232</v>
      </c>
      <c r="K779" s="128">
        <f t="shared" si="267"/>
        <v>1315.100987752279</v>
      </c>
      <c r="L779" s="128"/>
      <c r="M779" s="128">
        <f>K779+K779*M778</f>
        <v>1643.8762346903488</v>
      </c>
      <c r="N779" s="202">
        <f t="shared" si="267"/>
        <v>2054.845293362936</v>
      </c>
      <c r="O779" s="202">
        <f t="shared" si="267"/>
        <v>2568.55661670367</v>
      </c>
      <c r="P779" s="128">
        <f t="shared" ref="P779" si="268">O779+O779*P778</f>
        <v>3210.6957708795876</v>
      </c>
      <c r="Q779" s="128">
        <f t="shared" ref="Q779" si="269">P779+P779*Q778</f>
        <v>4013.3697135994844</v>
      </c>
      <c r="R779" s="128">
        <f t="shared" ref="R779" si="270">Q779+Q779*R778</f>
        <v>5016.7121419993555</v>
      </c>
      <c r="S779" s="128">
        <f t="shared" ref="S779" si="271">R779+R779*S778</f>
        <v>6270.8901774991946</v>
      </c>
      <c r="T779" s="128">
        <f t="shared" ref="T779" si="272">S779+S779*T778</f>
        <v>7838.612721873993</v>
      </c>
      <c r="U779" s="128">
        <f t="shared" ref="U779" si="273">T779+T779*U778</f>
        <v>9798.2659023424912</v>
      </c>
      <c r="V779" s="128">
        <f t="shared" ref="V779" si="274">U779+U779*V778</f>
        <v>12247.832377928115</v>
      </c>
      <c r="W779" s="128">
        <f t="shared" ref="W779" si="275">V779+V779*W778</f>
        <v>15309.790472410143</v>
      </c>
      <c r="X779" s="128">
        <f t="shared" ref="X779" si="276">W779+W779*X778</f>
        <v>19137.238090512677</v>
      </c>
      <c r="Y779" s="128">
        <f t="shared" ref="Y779" si="277">X779+X779*Y778</f>
        <v>23921.547613140847</v>
      </c>
    </row>
    <row r="780" spans="1:26" hidden="1">
      <c r="A780" s="100" t="s">
        <v>508</v>
      </c>
      <c r="B780" s="103">
        <v>0.25</v>
      </c>
      <c r="C780" s="104" t="s">
        <v>509</v>
      </c>
      <c r="D780" s="129"/>
      <c r="E780" s="130">
        <f>E779/((1+$B$784)^E777)</f>
        <v>313.405303030303</v>
      </c>
      <c r="F780" s="130">
        <f t="shared" ref="F780:N780" si="278">F779/((1+$B$784)^F777)</f>
        <v>356.14238980716249</v>
      </c>
      <c r="G780" s="130">
        <f t="shared" si="278"/>
        <v>404.70726114450281</v>
      </c>
      <c r="H780" s="130">
        <f t="shared" si="278"/>
        <v>459.894614936935</v>
      </c>
      <c r="I780" s="130">
        <f t="shared" si="278"/>
        <v>522.60751697378976</v>
      </c>
      <c r="J780" s="130">
        <f t="shared" si="278"/>
        <v>593.87217837930655</v>
      </c>
      <c r="K780" s="130">
        <f t="shared" si="278"/>
        <v>674.85474815830287</v>
      </c>
      <c r="L780" s="130"/>
      <c r="M780" s="130">
        <f t="shared" si="278"/>
        <v>766.8803956344351</v>
      </c>
      <c r="N780" s="202">
        <f t="shared" si="278"/>
        <v>871.45499503913072</v>
      </c>
      <c r="O780" s="202">
        <f>O779/((1+$B$784)^O777)</f>
        <v>990.28976708992116</v>
      </c>
      <c r="P780" s="130">
        <f t="shared" ref="P780:Y780" si="279">P779/((1+$B$784)^P777)</f>
        <v>1125.3292807840012</v>
      </c>
      <c r="Q780" s="130">
        <f t="shared" si="279"/>
        <v>1278.7832736181831</v>
      </c>
      <c r="R780" s="130">
        <f t="shared" si="279"/>
        <v>1453.1628109297535</v>
      </c>
      <c r="S780" s="130">
        <f t="shared" si="279"/>
        <v>1651.3213760565379</v>
      </c>
      <c r="T780" s="130">
        <f t="shared" si="279"/>
        <v>1876.5015637006113</v>
      </c>
      <c r="U780" s="130">
        <f t="shared" si="279"/>
        <v>2132.3881405688762</v>
      </c>
      <c r="V780" s="130">
        <f t="shared" si="279"/>
        <v>2423.1683415555412</v>
      </c>
      <c r="W780" s="130">
        <f t="shared" si="279"/>
        <v>2753.6003881312968</v>
      </c>
      <c r="X780" s="130">
        <f t="shared" si="279"/>
        <v>3129.0913501492</v>
      </c>
      <c r="Y780" s="130">
        <f t="shared" si="279"/>
        <v>3555.7856251695457</v>
      </c>
    </row>
    <row r="781" spans="1:26" hidden="1">
      <c r="A781" s="100" t="s">
        <v>516</v>
      </c>
      <c r="B781" s="103">
        <v>0.25</v>
      </c>
      <c r="C781" s="131" t="s">
        <v>545</v>
      </c>
      <c r="D781" s="116" t="s">
        <v>531</v>
      </c>
      <c r="E781" s="116" t="s">
        <v>532</v>
      </c>
      <c r="F781" s="116" t="s">
        <v>533</v>
      </c>
      <c r="G781" s="116" t="s">
        <v>534</v>
      </c>
      <c r="H781" s="116" t="s">
        <v>535</v>
      </c>
      <c r="I781" s="116" t="s">
        <v>518</v>
      </c>
      <c r="J781" s="116" t="s">
        <v>519</v>
      </c>
      <c r="K781" s="116" t="s">
        <v>520</v>
      </c>
      <c r="L781" s="116"/>
      <c r="M781" s="116" t="s">
        <v>521</v>
      </c>
      <c r="N781" s="37" t="s">
        <v>522</v>
      </c>
      <c r="O781" s="37" t="s">
        <v>523</v>
      </c>
      <c r="P781" s="116" t="s">
        <v>524</v>
      </c>
      <c r="Q781" s="116" t="s">
        <v>525</v>
      </c>
      <c r="R781" s="116" t="s">
        <v>526</v>
      </c>
      <c r="S781" s="116" t="s">
        <v>527</v>
      </c>
      <c r="T781" s="116" t="s">
        <v>528</v>
      </c>
      <c r="U781" s="6"/>
      <c r="V781" s="6"/>
      <c r="W781" s="6"/>
      <c r="X781" s="6"/>
      <c r="Y781" s="6"/>
    </row>
    <row r="782" spans="1:26" hidden="1">
      <c r="A782" s="100" t="s">
        <v>517</v>
      </c>
      <c r="B782" s="103">
        <v>0.25</v>
      </c>
      <c r="C782" s="104" t="s">
        <v>511</v>
      </c>
      <c r="D782" s="124">
        <f t="shared" ref="D782:F782" si="280">((I779*$B$780+I779)/($B$784-$B$783))/((1+$B$784)^I777)</f>
        <v>10887.65660362062</v>
      </c>
      <c r="E782" s="124">
        <f t="shared" si="280"/>
        <v>12372.337049568887</v>
      </c>
      <c r="F782" s="124">
        <f t="shared" si="280"/>
        <v>14059.473919964641</v>
      </c>
      <c r="G782" s="124">
        <f>((M779*$B$780+M779)/($B$784-$B$783))/((1+$B$784)^M777)</f>
        <v>15976.674909050731</v>
      </c>
      <c r="H782" s="124">
        <f>((N779*$B$780+N779)/($B$784-$B$783))/((1+$B$784)^N777)</f>
        <v>18155.312396648555</v>
      </c>
      <c r="I782" s="124">
        <f>((O779*$B$780+O779)/($B$784-$B$783))/((1+$B$784)^O777)</f>
        <v>20631.036814373358</v>
      </c>
      <c r="J782" s="124">
        <f>((P779*$B$781+P779)/($B$784-$B$783))/((1+$B$784)^P777)</f>
        <v>23444.360016333354</v>
      </c>
      <c r="K782" s="124">
        <f>((Q779*$B$781+Q779)/($B$784-$B$783))/((1+$B$784)^Q777)</f>
        <v>26641.318200378813</v>
      </c>
      <c r="L782" s="124"/>
      <c r="M782" s="124">
        <f t="shared" ref="M782:O782" si="281">((R779*$B$781+R779)/($B$784-$B$783))/((1+$B$784)^R777)</f>
        <v>30274.225227703198</v>
      </c>
      <c r="N782" s="203">
        <f t="shared" si="281"/>
        <v>34402.528667844534</v>
      </c>
      <c r="O782" s="203">
        <f t="shared" si="281"/>
        <v>39093.782577096063</v>
      </c>
      <c r="P782" s="124">
        <f>((U779*$B$782+U779)/($B$784-$B$783))/((1+$B$784)^U777)</f>
        <v>44424.752928518254</v>
      </c>
      <c r="Q782" s="124">
        <f>((V779*$B$782+V779)/($B$784-$B$783))/((1+$B$784)^V777)</f>
        <v>50482.673782407102</v>
      </c>
      <c r="R782" s="124">
        <f>((W779*$B$782+W779)/($B$784-$B$783))/((1+$B$784)^W777)</f>
        <v>57366.674752735344</v>
      </c>
      <c r="S782" s="124">
        <f>((X779*$B$782+X779)/($B$784-$B$783))/((1+$B$784)^X777)</f>
        <v>65189.403128108323</v>
      </c>
      <c r="T782" s="124">
        <f>((Y779*$B$782+Y779)/($B$784-$B$783))/((1+$B$784)^Y777)</f>
        <v>74078.867191032201</v>
      </c>
      <c r="U782" s="6"/>
      <c r="V782" s="6"/>
      <c r="W782" s="6"/>
      <c r="X782" s="6"/>
      <c r="Y782" s="6"/>
    </row>
    <row r="783" spans="1:26" hidden="1">
      <c r="A783" s="100" t="s">
        <v>510</v>
      </c>
      <c r="B783" s="103">
        <v>0.04</v>
      </c>
      <c r="C783" s="104" t="s">
        <v>530</v>
      </c>
      <c r="D783" s="76">
        <f>SUM(E780:I780)</f>
        <v>2056.7570858926929</v>
      </c>
      <c r="E783" s="76">
        <f>SUM(E780:J780)</f>
        <v>2650.6292642719995</v>
      </c>
      <c r="F783" s="76">
        <f>SUM(E780:K780)</f>
        <v>3325.4840124303023</v>
      </c>
      <c r="G783" s="76">
        <f>SUM(E780:M780)</f>
        <v>4092.3644080647373</v>
      </c>
      <c r="H783" s="76">
        <f>SUM(E780:N780)</f>
        <v>4963.8194031038684</v>
      </c>
      <c r="I783" s="76">
        <f>SUM(E780:O780)</f>
        <v>5954.1091701937894</v>
      </c>
      <c r="J783" s="76">
        <f>SUM(E780:P780)</f>
        <v>7079.4384509777901</v>
      </c>
      <c r="K783" s="76">
        <f>SUM(E780:Q780)</f>
        <v>8358.2217245959728</v>
      </c>
      <c r="L783" s="76"/>
      <c r="M783" s="76">
        <f>SUM(E780:R780)</f>
        <v>9811.3845355257254</v>
      </c>
      <c r="N783" s="34">
        <f>SUM(E780:S780)</f>
        <v>11462.705911582263</v>
      </c>
      <c r="O783" s="34">
        <f>SUM(E780:T780)</f>
        <v>13339.207475282874</v>
      </c>
      <c r="P783" s="76">
        <f>SUM(E780:U780)</f>
        <v>15471.595615851751</v>
      </c>
      <c r="Q783" s="76">
        <f>SUM(E780:V780)</f>
        <v>17894.763957407293</v>
      </c>
      <c r="R783" s="76">
        <f>SUM(E780:W780)</f>
        <v>20648.36434553859</v>
      </c>
      <c r="S783" s="76">
        <f>SUM(E780:X780)</f>
        <v>23777.45569568779</v>
      </c>
      <c r="T783" s="76">
        <f>SUM(E780:Y780)</f>
        <v>27333.241320857334</v>
      </c>
      <c r="U783" s="6"/>
      <c r="V783" s="6"/>
      <c r="W783" s="6"/>
      <c r="X783" s="6"/>
      <c r="Y783" s="6"/>
    </row>
    <row r="784" spans="1:26" hidden="1">
      <c r="A784" s="100" t="s">
        <v>495</v>
      </c>
      <c r="B784" s="103">
        <v>0.1</v>
      </c>
      <c r="C784" s="102" t="s">
        <v>513</v>
      </c>
      <c r="D784" s="76">
        <f>D782+D783-$B$786</f>
        <v>12944.413689513312</v>
      </c>
      <c r="E784" s="76">
        <f t="shared" ref="E784:J784" si="282">E782+E783-$B$786</f>
        <v>15022.966313840887</v>
      </c>
      <c r="F784" s="76">
        <f t="shared" si="282"/>
        <v>17384.957932394944</v>
      </c>
      <c r="G784" s="76">
        <f t="shared" si="282"/>
        <v>20069.039317115468</v>
      </c>
      <c r="H784" s="76">
        <f t="shared" si="282"/>
        <v>23119.131799752424</v>
      </c>
      <c r="I784" s="76">
        <f t="shared" si="282"/>
        <v>26585.145984567149</v>
      </c>
      <c r="J784" s="76">
        <f t="shared" si="282"/>
        <v>30523.798467311142</v>
      </c>
      <c r="K784" s="76">
        <f t="shared" ref="K784" si="283">K782+K783-$B$786</f>
        <v>34999.539924974786</v>
      </c>
      <c r="L784" s="76"/>
      <c r="M784" s="76">
        <f t="shared" ref="M784" si="284">M782+M783-$B$786</f>
        <v>40085.609763228924</v>
      </c>
      <c r="N784" s="34">
        <f t="shared" ref="N784" si="285">N782+N783-$B$786</f>
        <v>45865.234579426797</v>
      </c>
      <c r="O784" s="34">
        <f t="shared" ref="O784" si="286">O782+O783-$B$786</f>
        <v>52432.99005237894</v>
      </c>
      <c r="P784" s="76">
        <f t="shared" ref="P784:Q784" si="287">P782+P783-$B$786</f>
        <v>59896.348544370005</v>
      </c>
      <c r="Q784" s="76">
        <f t="shared" si="287"/>
        <v>68377.437739814399</v>
      </c>
      <c r="R784" s="76">
        <f t="shared" ref="R784" si="288">R782+R783-$B$786</f>
        <v>78015.039098273934</v>
      </c>
      <c r="S784" s="76">
        <f t="shared" ref="S784" si="289">S782+S783-$B$786</f>
        <v>88966.858823796108</v>
      </c>
      <c r="T784" s="76">
        <f t="shared" ref="T784" si="290">T782+T783-$B$786</f>
        <v>101412.10851188953</v>
      </c>
      <c r="U784" s="6"/>
      <c r="V784" s="6"/>
      <c r="W784" s="6"/>
      <c r="X784" s="6"/>
      <c r="Y784" s="6"/>
    </row>
    <row r="785" spans="1:25" hidden="1">
      <c r="A785" s="100" t="s">
        <v>512</v>
      </c>
      <c r="B785" s="102">
        <f>'Data Sheet'!K70</f>
        <v>271985634</v>
      </c>
      <c r="C785" s="105" t="s">
        <v>515</v>
      </c>
      <c r="D785" s="125">
        <f>(D784/$B$785)*(10^7)</f>
        <v>475.92269853169205</v>
      </c>
      <c r="E785" s="125">
        <f t="shared" ref="E785:T785" si="291">(E784/$B$785)*(10^7)</f>
        <v>552.34411071288002</v>
      </c>
      <c r="F785" s="125">
        <f t="shared" si="291"/>
        <v>639.18662455513902</v>
      </c>
      <c r="G785" s="125">
        <f t="shared" si="291"/>
        <v>737.87129937588793</v>
      </c>
      <c r="H785" s="125">
        <f t="shared" si="291"/>
        <v>850.01297530855697</v>
      </c>
      <c r="I785" s="125">
        <f t="shared" si="291"/>
        <v>977.44669795931748</v>
      </c>
      <c r="J785" s="125">
        <f t="shared" si="291"/>
        <v>1122.2577464260903</v>
      </c>
      <c r="K785" s="125">
        <f t="shared" si="291"/>
        <v>1286.8157560474237</v>
      </c>
      <c r="L785" s="125"/>
      <c r="M785" s="125">
        <f t="shared" si="291"/>
        <v>1473.8134942534841</v>
      </c>
      <c r="N785" s="37">
        <f t="shared" si="291"/>
        <v>1686.3109240330978</v>
      </c>
      <c r="O785" s="37">
        <f t="shared" si="291"/>
        <v>1927.7852760553869</v>
      </c>
      <c r="P785" s="125">
        <f t="shared" si="291"/>
        <v>2202.1879488079876</v>
      </c>
      <c r="Q785" s="125">
        <f t="shared" si="291"/>
        <v>2514.009167845034</v>
      </c>
      <c r="R785" s="125">
        <f t="shared" si="291"/>
        <v>2868.351462205314</v>
      </c>
      <c r="S785" s="125">
        <f t="shared" si="291"/>
        <v>3271.0131603419945</v>
      </c>
      <c r="T785" s="125">
        <f t="shared" si="291"/>
        <v>3728.5832718609518</v>
      </c>
      <c r="U785" s="6"/>
      <c r="V785" s="6"/>
      <c r="W785" s="6"/>
      <c r="X785" s="6"/>
      <c r="Y785" s="6"/>
    </row>
    <row r="786" spans="1:25" hidden="1">
      <c r="A786" s="100" t="s">
        <v>514</v>
      </c>
      <c r="B786" s="107">
        <f>'Balance Sheet'!K6</f>
        <v>0</v>
      </c>
      <c r="C786" s="106"/>
      <c r="D786" s="6"/>
      <c r="E786" s="6"/>
      <c r="F786" s="6"/>
      <c r="G786" s="6"/>
      <c r="H786" s="6"/>
      <c r="I786" s="6"/>
      <c r="J786" s="6"/>
      <c r="K786" s="6"/>
      <c r="L786" s="6"/>
      <c r="M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idden="1">
      <c r="A787" s="106"/>
      <c r="B787" s="106"/>
      <c r="C787" s="110" t="s">
        <v>529</v>
      </c>
      <c r="D787" s="76">
        <f t="shared" ref="D787:T787" si="292">I779*10/((1+$B$784)^I777)</f>
        <v>5226.0751697378982</v>
      </c>
      <c r="E787" s="76">
        <f t="shared" si="292"/>
        <v>5938.7217837930657</v>
      </c>
      <c r="F787" s="76">
        <f t="shared" si="292"/>
        <v>6748.5474815830285</v>
      </c>
      <c r="G787" s="76">
        <f>M779*10/((1+$B$784)^M777)</f>
        <v>7668.8039563443508</v>
      </c>
      <c r="H787" s="76">
        <f>N779*10/((1+$B$784)^N777)</f>
        <v>8714.549950391307</v>
      </c>
      <c r="I787" s="76">
        <f>O779*10/((1+$B$784)^O777)</f>
        <v>9902.8976708992122</v>
      </c>
      <c r="J787" s="76">
        <f>P779*10/((1+$B$784)^P777)</f>
        <v>11253.292807840011</v>
      </c>
      <c r="K787" s="76">
        <f>Q779*10/((1+$B$784)^Q777)</f>
        <v>12787.832736181832</v>
      </c>
      <c r="L787" s="76"/>
      <c r="M787" s="76">
        <f t="shared" si="292"/>
        <v>14531.628109297537</v>
      </c>
      <c r="N787" s="34">
        <f t="shared" si="292"/>
        <v>16513.213760565381</v>
      </c>
      <c r="O787" s="34">
        <f t="shared" si="292"/>
        <v>18765.015637006112</v>
      </c>
      <c r="P787" s="76">
        <f t="shared" si="292"/>
        <v>21323.881405688764</v>
      </c>
      <c r="Q787" s="76">
        <f t="shared" si="292"/>
        <v>24231.683415555413</v>
      </c>
      <c r="R787" s="76">
        <f t="shared" si="292"/>
        <v>27536.003881312965</v>
      </c>
      <c r="S787" s="76">
        <f t="shared" si="292"/>
        <v>31290.913501491999</v>
      </c>
      <c r="T787" s="76">
        <f t="shared" si="292"/>
        <v>35557.856251695455</v>
      </c>
      <c r="U787" s="6"/>
      <c r="V787" s="6"/>
      <c r="W787" s="6"/>
      <c r="X787" s="6"/>
      <c r="Y787" s="6"/>
    </row>
    <row r="788" spans="1:25" hidden="1">
      <c r="A788" s="108"/>
      <c r="B788" s="109"/>
      <c r="C788" s="102" t="s">
        <v>513</v>
      </c>
      <c r="D788" s="77">
        <f>D787+D783-$B$786</f>
        <v>7282.8322556305911</v>
      </c>
      <c r="E788" s="77">
        <f t="shared" ref="E788:J788" si="293">E787+E783-$B$786</f>
        <v>8589.3510480650657</v>
      </c>
      <c r="F788" s="77">
        <f t="shared" si="293"/>
        <v>10074.03149401333</v>
      </c>
      <c r="G788" s="77">
        <f t="shared" si="293"/>
        <v>11761.168364409088</v>
      </c>
      <c r="H788" s="77">
        <f t="shared" si="293"/>
        <v>13678.369353495174</v>
      </c>
      <c r="I788" s="77">
        <f t="shared" si="293"/>
        <v>15857.006841093002</v>
      </c>
      <c r="J788" s="77">
        <f t="shared" si="293"/>
        <v>18332.731258817803</v>
      </c>
      <c r="K788" s="77">
        <f t="shared" ref="K788" si="294">K787+K783-$B$786</f>
        <v>21146.054460777807</v>
      </c>
      <c r="L788" s="77"/>
      <c r="M788" s="77">
        <f t="shared" ref="M788" si="295">M787+M783-$B$786</f>
        <v>24343.012644823262</v>
      </c>
      <c r="N788" s="34">
        <f t="shared" ref="N788" si="296">N787+N783-$B$786</f>
        <v>27975.919672147644</v>
      </c>
      <c r="O788" s="34">
        <f t="shared" ref="O788" si="297">O787+O783-$B$786</f>
        <v>32104.223112288986</v>
      </c>
      <c r="P788" s="77">
        <f t="shared" ref="P788:Q788" si="298">P787+P783-$B$786</f>
        <v>36795.477021540515</v>
      </c>
      <c r="Q788" s="77">
        <f t="shared" si="298"/>
        <v>42126.447372962706</v>
      </c>
      <c r="R788" s="77">
        <f t="shared" ref="R788" si="299">R787+R783-$B$786</f>
        <v>48184.368226851555</v>
      </c>
      <c r="S788" s="77">
        <f t="shared" ref="S788" si="300">S787+S783-$B$786</f>
        <v>55068.369197179789</v>
      </c>
      <c r="T788" s="77">
        <f t="shared" ref="T788" si="301">T787+T783-$B$786</f>
        <v>62891.09757255279</v>
      </c>
      <c r="U788" s="6"/>
      <c r="V788" s="6"/>
      <c r="W788" s="6"/>
      <c r="X788" s="6"/>
      <c r="Y788" s="6"/>
    </row>
    <row r="789" spans="1:25" hidden="1">
      <c r="A789" s="2"/>
      <c r="B789" s="18"/>
      <c r="C789" s="105" t="s">
        <v>515</v>
      </c>
      <c r="D789" s="125">
        <f>(D788/$B$785)*(10^7)</f>
        <v>267.76532820959915</v>
      </c>
      <c r="E789" s="125">
        <f t="shared" ref="E789:T789" si="302">(E788/$B$785)*(10^7)</f>
        <v>315.80164443777443</v>
      </c>
      <c r="F789" s="125">
        <f t="shared" si="302"/>
        <v>370.38836742433722</v>
      </c>
      <c r="G789" s="125">
        <f t="shared" si="302"/>
        <v>432.41873445452222</v>
      </c>
      <c r="H789" s="125">
        <f t="shared" si="302"/>
        <v>502.90778789791426</v>
      </c>
      <c r="I789" s="125">
        <f t="shared" si="302"/>
        <v>583.00898499267805</v>
      </c>
      <c r="J789" s="125">
        <f t="shared" si="302"/>
        <v>674.03307260036399</v>
      </c>
      <c r="K789" s="125">
        <f t="shared" si="302"/>
        <v>777.46953579091632</v>
      </c>
      <c r="L789" s="125"/>
      <c r="M789" s="125">
        <f t="shared" si="302"/>
        <v>895.01097123472562</v>
      </c>
      <c r="N789" s="37">
        <f t="shared" si="302"/>
        <v>1028.5807842390543</v>
      </c>
      <c r="O789" s="37">
        <f t="shared" si="302"/>
        <v>1180.3646626530644</v>
      </c>
      <c r="P789" s="125">
        <f t="shared" si="302"/>
        <v>1352.846342668985</v>
      </c>
      <c r="Q789" s="125">
        <f t="shared" si="302"/>
        <v>1548.8482517779855</v>
      </c>
      <c r="R789" s="125">
        <f t="shared" si="302"/>
        <v>1771.5776939473044</v>
      </c>
      <c r="S789" s="125">
        <f t="shared" si="302"/>
        <v>2024.6793327760754</v>
      </c>
      <c r="T789" s="125">
        <f t="shared" si="302"/>
        <v>2312.2948314451337</v>
      </c>
      <c r="U789" s="6"/>
      <c r="V789" s="6"/>
      <c r="W789" s="6"/>
      <c r="X789" s="6"/>
      <c r="Y789" s="6"/>
    </row>
    <row r="790" spans="1:25" hidden="1">
      <c r="D790" s="6"/>
      <c r="E790" s="6"/>
      <c r="F790" s="6"/>
      <c r="G790" s="6"/>
      <c r="H790" s="6"/>
      <c r="I790" s="6"/>
      <c r="J790" s="6"/>
      <c r="K790" s="6"/>
      <c r="L790" s="6"/>
      <c r="M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idden="1"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204"/>
      <c r="O791" s="204"/>
      <c r="P791" s="18"/>
      <c r="Q791" s="18"/>
      <c r="R791" s="18"/>
      <c r="S791" s="18"/>
      <c r="T791" s="18"/>
      <c r="U791" s="18"/>
    </row>
    <row r="792" spans="1:25" hidden="1">
      <c r="C792" s="114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204"/>
      <c r="O792" s="204"/>
      <c r="P792" s="18"/>
      <c r="Q792" s="18"/>
      <c r="R792" s="18"/>
      <c r="S792" s="18"/>
      <c r="T792" s="18"/>
      <c r="U792" s="18"/>
    </row>
    <row r="793" spans="1:25" hidden="1">
      <c r="C793" s="111"/>
      <c r="D793" s="18"/>
      <c r="E793" s="111"/>
      <c r="F793" s="111"/>
      <c r="G793" s="111"/>
      <c r="H793" s="111"/>
      <c r="I793" s="111"/>
      <c r="J793" s="111"/>
      <c r="K793" s="111"/>
      <c r="L793" s="111"/>
      <c r="M793" s="111"/>
      <c r="N793" s="204"/>
      <c r="O793" s="204"/>
      <c r="P793" s="18"/>
      <c r="Q793" s="18"/>
      <c r="R793" s="18"/>
      <c r="S793" s="18"/>
      <c r="T793" s="18"/>
      <c r="U793" s="18"/>
    </row>
    <row r="794" spans="1:25" hidden="1">
      <c r="C794" s="111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204"/>
      <c r="O794" s="204"/>
      <c r="P794" s="18"/>
      <c r="Q794" s="18"/>
      <c r="R794" s="18"/>
      <c r="S794" s="18"/>
      <c r="T794" s="18"/>
      <c r="U794" s="18"/>
    </row>
    <row r="795" spans="1:25" hidden="1">
      <c r="C795" s="113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32"/>
      <c r="O795" s="32"/>
      <c r="P795" s="18"/>
      <c r="Q795" s="18"/>
      <c r="R795" s="18"/>
      <c r="S795" s="18"/>
      <c r="T795" s="18"/>
      <c r="U795" s="18"/>
    </row>
    <row r="796" spans="1:25" hidden="1">
      <c r="C796" s="114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32"/>
      <c r="O796" s="32"/>
      <c r="P796" s="18"/>
      <c r="Q796" s="18"/>
      <c r="R796" s="18"/>
      <c r="S796" s="18"/>
      <c r="T796" s="18"/>
      <c r="U796" s="18"/>
    </row>
    <row r="797" spans="1:25" hidden="1">
      <c r="C797" s="112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32"/>
      <c r="O797" s="32"/>
      <c r="P797" s="18"/>
      <c r="Q797" s="18"/>
      <c r="R797" s="18"/>
      <c r="S797" s="18"/>
      <c r="T797" s="18"/>
      <c r="U797" s="18"/>
    </row>
    <row r="798" spans="1:25" hidden="1">
      <c r="C798" s="112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32"/>
      <c r="O798" s="32"/>
      <c r="P798" s="18"/>
      <c r="Q798" s="18"/>
      <c r="R798" s="18"/>
      <c r="S798" s="18"/>
      <c r="T798" s="18"/>
      <c r="U798" s="18"/>
    </row>
    <row r="799" spans="1:25" hidden="1">
      <c r="C799" s="112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32"/>
      <c r="O799" s="32"/>
      <c r="P799" s="18"/>
      <c r="Q799" s="18"/>
      <c r="R799" s="18"/>
      <c r="S799" s="18"/>
      <c r="T799" s="18"/>
      <c r="U799" s="18"/>
    </row>
    <row r="800" spans="1:25" hidden="1">
      <c r="C800" s="112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32"/>
      <c r="O800" s="32"/>
      <c r="P800" s="18"/>
      <c r="Q800" s="18"/>
      <c r="R800" s="18"/>
      <c r="S800" s="18"/>
      <c r="T800" s="18"/>
      <c r="U800" s="18"/>
    </row>
    <row r="801" spans="3:21" hidden="1">
      <c r="C801" s="112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32"/>
      <c r="O801" s="32"/>
      <c r="P801" s="18"/>
      <c r="Q801" s="18"/>
      <c r="R801" s="18"/>
      <c r="S801" s="18"/>
      <c r="T801" s="18"/>
      <c r="U801" s="18"/>
    </row>
    <row r="802" spans="3:21" hidden="1">
      <c r="C802" s="112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32"/>
      <c r="O802" s="32"/>
      <c r="P802" s="18"/>
      <c r="Q802" s="18"/>
      <c r="R802" s="18"/>
      <c r="S802" s="18"/>
      <c r="T802" s="18"/>
      <c r="U802" s="18"/>
    </row>
    <row r="803" spans="3:21" hidden="1"/>
    <row r="804" spans="3:21" hidden="1"/>
    <row r="805" spans="3:21" hidden="1"/>
    <row r="806" spans="3:21" hidden="1"/>
    <row r="807" spans="3:21" hidden="1"/>
    <row r="808" spans="3:21" hidden="1"/>
    <row r="809" spans="3:21" hidden="1"/>
    <row r="810" spans="3:21" hidden="1"/>
    <row r="811" spans="3:21" hidden="1"/>
    <row r="812" spans="3:21" hidden="1"/>
    <row r="813" spans="3:21" hidden="1"/>
    <row r="814" spans="3:21" hidden="1"/>
    <row r="815" spans="3:21" hidden="1"/>
  </sheetData>
  <mergeCells count="2">
    <mergeCell ref="A766:B766"/>
    <mergeCell ref="A772:B773"/>
  </mergeCells>
  <conditionalFormatting sqref="D773:Y773">
    <cfRule type="cellIs" dxfId="1" priority="1" operator="greaterThan">
      <formula>$B$4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="99" zoomScaleNormal="99" workbookViewId="0">
      <pane xSplit="1" ySplit="1" topLeftCell="B68" activePane="bottomRight" state="frozen"/>
      <selection activeCell="C4" sqref="C4"/>
      <selection pane="topRight" activeCell="C4" sqref="C4"/>
      <selection pane="bottomLeft" activeCell="C4" sqref="C4"/>
      <selection pane="bottomRight" activeCell="A70" sqref="A70:XFD70"/>
    </sheetView>
  </sheetViews>
  <sheetFormatPr defaultColWidth="9.109375" defaultRowHeight="14.4"/>
  <cols>
    <col min="1" max="1" width="27.6640625" style="5" bestFit="1" customWidth="1"/>
    <col min="2" max="11" width="13.5546875" style="5" bestFit="1" customWidth="1"/>
    <col min="12" max="12" width="15.109375" style="29" bestFit="1" customWidth="1"/>
    <col min="13" max="16384" width="9.109375" style="5"/>
  </cols>
  <sheetData>
    <row r="1" spans="1:12" s="1" customFormat="1">
      <c r="A1" s="1" t="s">
        <v>0</v>
      </c>
      <c r="B1" s="1" t="s">
        <v>54</v>
      </c>
      <c r="E1" s="209" t="str">
        <f>IF(B2&lt;&gt;B3, "A NEW VERSION OF THE WORKSHEET IS AVAILABLE", "")</f>
        <v>A NEW VERSION OF THE WORKSHEET IS AVAILABLE</v>
      </c>
      <c r="F1" s="209"/>
      <c r="G1" s="209"/>
      <c r="H1" s="209"/>
      <c r="I1" s="209"/>
      <c r="J1" s="209"/>
      <c r="K1" s="209"/>
      <c r="L1" s="65"/>
    </row>
    <row r="2" spans="1:12">
      <c r="A2" s="1" t="s">
        <v>52</v>
      </c>
      <c r="B2" s="5">
        <v>2.1</v>
      </c>
      <c r="E2" s="210" t="s">
        <v>36</v>
      </c>
      <c r="F2" s="210"/>
      <c r="G2" s="210"/>
      <c r="H2" s="210"/>
      <c r="I2" s="210"/>
      <c r="J2" s="210"/>
      <c r="K2" s="210"/>
    </row>
    <row r="3" spans="1:12">
      <c r="A3" s="1" t="s">
        <v>53</v>
      </c>
      <c r="B3" s="5">
        <v>2</v>
      </c>
    </row>
    <row r="4" spans="1:12">
      <c r="A4" s="1"/>
    </row>
    <row r="5" spans="1:12">
      <c r="A5" s="1" t="s">
        <v>55</v>
      </c>
    </row>
    <row r="6" spans="1:12">
      <c r="A6" s="5" t="s">
        <v>42</v>
      </c>
      <c r="B6" s="5">
        <f>IF(B9&gt;0, B9/B8, 0)</f>
        <v>27.198562072191855</v>
      </c>
    </row>
    <row r="7" spans="1:12">
      <c r="A7" s="5" t="s">
        <v>31</v>
      </c>
      <c r="B7">
        <v>1</v>
      </c>
    </row>
    <row r="8" spans="1:12">
      <c r="A8" s="5" t="s">
        <v>43</v>
      </c>
      <c r="B8">
        <v>1015.35</v>
      </c>
    </row>
    <row r="9" spans="1:12">
      <c r="A9" s="5" t="s">
        <v>70</v>
      </c>
      <c r="B9">
        <v>27616.06</v>
      </c>
    </row>
    <row r="15" spans="1:12">
      <c r="A15" s="1" t="s">
        <v>37</v>
      </c>
    </row>
    <row r="16" spans="1:12" s="24" customFormat="1">
      <c r="A16" s="23" t="s">
        <v>38</v>
      </c>
      <c r="B16" s="16">
        <v>39172</v>
      </c>
      <c r="C16" s="16">
        <v>39538</v>
      </c>
      <c r="D16" s="16">
        <v>39903</v>
      </c>
      <c r="E16" s="16">
        <v>40268</v>
      </c>
      <c r="F16" s="16">
        <v>40633</v>
      </c>
      <c r="G16" s="16">
        <v>40999</v>
      </c>
      <c r="H16" s="16">
        <v>41364</v>
      </c>
      <c r="I16" s="16">
        <v>41729</v>
      </c>
      <c r="J16" s="16">
        <v>42094</v>
      </c>
      <c r="K16" s="16">
        <v>42460</v>
      </c>
      <c r="L16" s="66" t="s">
        <v>272</v>
      </c>
    </row>
    <row r="17" spans="1:12" s="9" customFormat="1">
      <c r="A17" s="9" t="s">
        <v>6</v>
      </c>
      <c r="B17">
        <v>1295.1400000000001</v>
      </c>
      <c r="C17">
        <v>1473.38</v>
      </c>
      <c r="D17">
        <v>1694.81</v>
      </c>
      <c r="E17">
        <v>1962.46</v>
      </c>
      <c r="F17">
        <v>2286.12</v>
      </c>
      <c r="G17">
        <v>2693.23</v>
      </c>
      <c r="H17">
        <v>3163.81</v>
      </c>
      <c r="I17">
        <v>3578.81</v>
      </c>
      <c r="J17">
        <v>3981.94</v>
      </c>
      <c r="K17">
        <v>4162.29</v>
      </c>
      <c r="L17" s="67">
        <f>POWER(K17/B17,1/9)-1</f>
        <v>0.13850533166771517</v>
      </c>
    </row>
    <row r="18" spans="1:12" s="9" customFormat="1">
      <c r="A18" s="5" t="s">
        <v>71</v>
      </c>
      <c r="B18">
        <v>581.92999999999995</v>
      </c>
      <c r="C18">
        <v>634.95000000000005</v>
      </c>
      <c r="D18">
        <v>745.81</v>
      </c>
      <c r="E18">
        <v>788.27</v>
      </c>
      <c r="F18">
        <v>901.82</v>
      </c>
      <c r="G18">
        <v>1093.57</v>
      </c>
      <c r="H18">
        <v>1227.99</v>
      </c>
      <c r="I18">
        <v>1428.79</v>
      </c>
      <c r="J18">
        <v>1484.07</v>
      </c>
      <c r="K18">
        <v>1499.54</v>
      </c>
      <c r="L18" s="67">
        <f t="shared" ref="L18:L72" si="0">POWER(K18/B18,1/9)-1</f>
        <v>0.11090358319622573</v>
      </c>
    </row>
    <row r="19" spans="1:12" s="9" customFormat="1">
      <c r="A19" s="5" t="s">
        <v>72</v>
      </c>
      <c r="B19">
        <v>4.5199999999999996</v>
      </c>
      <c r="C19">
        <v>0.75</v>
      </c>
      <c r="D19">
        <v>4.51</v>
      </c>
      <c r="E19">
        <v>11.43</v>
      </c>
      <c r="F19">
        <v>29.85</v>
      </c>
      <c r="G19">
        <v>43.34</v>
      </c>
      <c r="H19">
        <v>-22.2</v>
      </c>
      <c r="I19">
        <v>26.77</v>
      </c>
      <c r="J19">
        <v>16.350000000000001</v>
      </c>
      <c r="K19">
        <v>4.25</v>
      </c>
      <c r="L19" s="67">
        <f t="shared" si="0"/>
        <v>-6.8203033137866909E-3</v>
      </c>
    </row>
    <row r="20" spans="1:12" s="9" customFormat="1">
      <c r="A20" s="5" t="s">
        <v>73</v>
      </c>
      <c r="B20">
        <v>7.63</v>
      </c>
      <c r="C20">
        <v>7.74</v>
      </c>
      <c r="D20">
        <v>11.1</v>
      </c>
      <c r="E20">
        <v>14.03</v>
      </c>
      <c r="F20">
        <v>14.46</v>
      </c>
      <c r="G20">
        <v>17.07</v>
      </c>
      <c r="H20">
        <v>19.579999999999998</v>
      </c>
      <c r="I20">
        <v>22.76</v>
      </c>
      <c r="J20">
        <v>32.68</v>
      </c>
      <c r="K20">
        <v>37.840000000000003</v>
      </c>
      <c r="L20" s="67">
        <f t="shared" si="0"/>
        <v>0.19472959286221947</v>
      </c>
    </row>
    <row r="21" spans="1:12" s="9" customFormat="1">
      <c r="A21" s="5" t="s">
        <v>74</v>
      </c>
      <c r="B21">
        <v>14.87</v>
      </c>
      <c r="C21">
        <v>16.68</v>
      </c>
      <c r="D21">
        <v>16.52</v>
      </c>
      <c r="E21">
        <v>21.55</v>
      </c>
      <c r="F21">
        <v>22.1</v>
      </c>
      <c r="G21">
        <v>25.7</v>
      </c>
      <c r="H21">
        <v>98.56</v>
      </c>
      <c r="I21">
        <v>121.29</v>
      </c>
      <c r="J21">
        <v>140.01</v>
      </c>
      <c r="K21">
        <v>154.36000000000001</v>
      </c>
      <c r="L21" s="67">
        <f t="shared" si="0"/>
        <v>0.29692169644831012</v>
      </c>
    </row>
    <row r="22" spans="1:12" s="9" customFormat="1">
      <c r="A22" s="5" t="s">
        <v>75</v>
      </c>
      <c r="B22">
        <v>158.08000000000001</v>
      </c>
      <c r="C22">
        <v>106.68</v>
      </c>
      <c r="D22">
        <v>133.05000000000001</v>
      </c>
      <c r="E22">
        <v>141.69999999999999</v>
      </c>
      <c r="F22">
        <v>193.22</v>
      </c>
      <c r="G22">
        <v>215.61</v>
      </c>
      <c r="H22">
        <v>249.44</v>
      </c>
      <c r="I22">
        <v>211.78</v>
      </c>
      <c r="J22">
        <v>258.93</v>
      </c>
      <c r="K22">
        <v>299.05</v>
      </c>
      <c r="L22" s="67">
        <f t="shared" si="0"/>
        <v>7.3403449513084862E-2</v>
      </c>
    </row>
    <row r="23" spans="1:12" s="9" customFormat="1">
      <c r="A23" s="5" t="s">
        <v>76</v>
      </c>
      <c r="B23">
        <v>321.69</v>
      </c>
      <c r="C23">
        <v>388.74</v>
      </c>
      <c r="D23">
        <v>426.09</v>
      </c>
      <c r="E23">
        <v>495.52</v>
      </c>
      <c r="F23">
        <v>591.70000000000005</v>
      </c>
      <c r="G23">
        <v>699.71</v>
      </c>
      <c r="H23">
        <v>828.44</v>
      </c>
      <c r="I23">
        <v>1081.47</v>
      </c>
      <c r="J23">
        <v>1176.8699999999999</v>
      </c>
      <c r="K23">
        <v>1194.78</v>
      </c>
      <c r="L23" s="67">
        <f t="shared" si="0"/>
        <v>0.15695564458059197</v>
      </c>
    </row>
    <row r="24" spans="1:12" s="9" customFormat="1">
      <c r="A24" s="5" t="s">
        <v>77</v>
      </c>
      <c r="B24">
        <v>64.61</v>
      </c>
      <c r="C24">
        <v>90.79</v>
      </c>
      <c r="D24">
        <v>105.15</v>
      </c>
      <c r="E24">
        <v>87.41</v>
      </c>
      <c r="F24">
        <v>78.11</v>
      </c>
      <c r="G24">
        <v>106.39</v>
      </c>
      <c r="H24">
        <v>60.79</v>
      </c>
      <c r="I24">
        <v>75.48</v>
      </c>
      <c r="J24">
        <v>83.49</v>
      </c>
      <c r="K24">
        <v>81.010000000000005</v>
      </c>
      <c r="L24" s="67">
        <f t="shared" si="0"/>
        <v>2.5452226429135916E-2</v>
      </c>
    </row>
    <row r="25" spans="1:12" s="9" customFormat="1">
      <c r="A25" s="9" t="s">
        <v>9</v>
      </c>
      <c r="B25">
        <v>67</v>
      </c>
      <c r="C25">
        <v>84.78</v>
      </c>
      <c r="D25">
        <v>107.76</v>
      </c>
      <c r="E25">
        <v>98.46</v>
      </c>
      <c r="F25">
        <v>41.24</v>
      </c>
      <c r="G25">
        <v>50.69</v>
      </c>
      <c r="H25">
        <v>49.92</v>
      </c>
      <c r="I25">
        <v>114.7</v>
      </c>
      <c r="J25">
        <v>33.17</v>
      </c>
      <c r="K25">
        <v>39.61</v>
      </c>
      <c r="L25" s="67">
        <f t="shared" si="0"/>
        <v>-5.6728590761238373E-2</v>
      </c>
    </row>
    <row r="26" spans="1:12" s="9" customFormat="1">
      <c r="A26" s="9" t="s">
        <v>10</v>
      </c>
      <c r="B26">
        <v>15.26</v>
      </c>
      <c r="C26">
        <v>19.84</v>
      </c>
      <c r="D26">
        <v>22.95</v>
      </c>
      <c r="E26">
        <v>37.57</v>
      </c>
      <c r="F26">
        <v>34.25</v>
      </c>
      <c r="G26">
        <v>39.31</v>
      </c>
      <c r="H26">
        <v>43.7</v>
      </c>
      <c r="I26">
        <v>50.75</v>
      </c>
      <c r="J26">
        <v>75.02</v>
      </c>
      <c r="K26">
        <v>111.41</v>
      </c>
      <c r="L26" s="67">
        <f t="shared" si="0"/>
        <v>0.2471823613024573</v>
      </c>
    </row>
    <row r="27" spans="1:12" s="9" customFormat="1">
      <c r="A27" s="9" t="s">
        <v>11</v>
      </c>
      <c r="B27">
        <v>0.98</v>
      </c>
      <c r="C27">
        <v>1.44</v>
      </c>
      <c r="D27">
        <v>1.1000000000000001</v>
      </c>
      <c r="E27">
        <v>1.5</v>
      </c>
      <c r="F27">
        <v>1.61</v>
      </c>
      <c r="G27">
        <v>1.51</v>
      </c>
      <c r="L27" s="67">
        <f t="shared" si="0"/>
        <v>-1</v>
      </c>
    </row>
    <row r="28" spans="1:12" s="9" customFormat="1">
      <c r="A28" s="9" t="s">
        <v>12</v>
      </c>
      <c r="B28">
        <v>201.61</v>
      </c>
      <c r="C28">
        <v>292.05</v>
      </c>
      <c r="D28">
        <v>345.31</v>
      </c>
      <c r="E28">
        <v>484.8</v>
      </c>
      <c r="F28">
        <v>519.94000000000005</v>
      </c>
      <c r="G28">
        <v>588.39</v>
      </c>
      <c r="H28">
        <v>663.03</v>
      </c>
      <c r="I28">
        <v>727.96</v>
      </c>
      <c r="J28">
        <v>780.39</v>
      </c>
      <c r="K28">
        <v>828.15</v>
      </c>
      <c r="L28" s="67">
        <f t="shared" si="0"/>
        <v>0.16997730481616169</v>
      </c>
    </row>
    <row r="29" spans="1:12" s="9" customFormat="1">
      <c r="A29" s="9" t="s">
        <v>13</v>
      </c>
      <c r="B29">
        <v>41.44</v>
      </c>
      <c r="C29">
        <v>60.34</v>
      </c>
      <c r="D29">
        <v>55.09</v>
      </c>
      <c r="E29">
        <v>61.54</v>
      </c>
      <c r="F29">
        <v>117.36</v>
      </c>
      <c r="G29">
        <v>141.91999999999999</v>
      </c>
      <c r="H29">
        <v>166.27</v>
      </c>
      <c r="I29">
        <v>188.09</v>
      </c>
      <c r="J29">
        <v>221.41</v>
      </c>
      <c r="K29">
        <v>251.64</v>
      </c>
      <c r="L29" s="67">
        <f t="shared" si="0"/>
        <v>0.22191217530137086</v>
      </c>
    </row>
    <row r="30" spans="1:12" s="9" customFormat="1">
      <c r="A30" s="9" t="s">
        <v>14</v>
      </c>
      <c r="B30">
        <v>160.16999999999999</v>
      </c>
      <c r="C30">
        <v>231.71</v>
      </c>
      <c r="D30">
        <v>290.22000000000003</v>
      </c>
      <c r="E30">
        <v>423.26</v>
      </c>
      <c r="F30">
        <v>402.58</v>
      </c>
      <c r="G30">
        <v>446.47</v>
      </c>
      <c r="H30">
        <v>496.75</v>
      </c>
      <c r="I30">
        <v>539.87</v>
      </c>
      <c r="J30">
        <v>558.98</v>
      </c>
      <c r="K30">
        <v>576.51</v>
      </c>
      <c r="L30" s="67">
        <f t="shared" si="0"/>
        <v>0.15292976686870952</v>
      </c>
    </row>
    <row r="31" spans="1:12" s="9" customFormat="1">
      <c r="A31" s="9" t="s">
        <v>61</v>
      </c>
      <c r="B31">
        <v>129.19999999999999</v>
      </c>
      <c r="C31">
        <v>176.79</v>
      </c>
      <c r="D31">
        <v>203.99</v>
      </c>
      <c r="E31">
        <v>271.98</v>
      </c>
      <c r="F31">
        <v>299.18</v>
      </c>
      <c r="G31">
        <v>339.98</v>
      </c>
      <c r="H31">
        <v>380.78</v>
      </c>
      <c r="I31">
        <v>367.18</v>
      </c>
      <c r="J31">
        <v>326.38</v>
      </c>
      <c r="K31">
        <v>271.99</v>
      </c>
      <c r="L31" s="67">
        <f t="shared" si="0"/>
        <v>8.6228411742705235E-2</v>
      </c>
    </row>
    <row r="32" spans="1:12" s="9" customFormat="1">
      <c r="L32" s="67"/>
    </row>
    <row r="33" spans="1:12">
      <c r="A33" s="9"/>
      <c r="L33" s="67"/>
    </row>
    <row r="34" spans="1:12">
      <c r="A34" s="9"/>
      <c r="L34" s="67"/>
    </row>
    <row r="35" spans="1:12">
      <c r="A35" s="9"/>
      <c r="L35" s="67"/>
    </row>
    <row r="36" spans="1:12">
      <c r="A36" s="9"/>
      <c r="L36" s="67"/>
    </row>
    <row r="37" spans="1:12">
      <c r="A37" s="9"/>
      <c r="L37" s="67"/>
    </row>
    <row r="38" spans="1:12">
      <c r="A38" s="9"/>
      <c r="L38" s="67"/>
    </row>
    <row r="39" spans="1:12">
      <c r="A39" s="9"/>
      <c r="L39" s="67"/>
    </row>
    <row r="40" spans="1:12">
      <c r="A40" s="1" t="s">
        <v>39</v>
      </c>
      <c r="L40" s="67"/>
    </row>
    <row r="41" spans="1:12" s="24" customFormat="1">
      <c r="A41" s="23" t="s">
        <v>38</v>
      </c>
      <c r="B41" s="16">
        <v>41912</v>
      </c>
      <c r="C41" s="16">
        <v>42004</v>
      </c>
      <c r="D41" s="16">
        <v>42094</v>
      </c>
      <c r="E41" s="16">
        <v>42185</v>
      </c>
      <c r="F41" s="16">
        <v>42277</v>
      </c>
      <c r="G41" s="16">
        <v>42369</v>
      </c>
      <c r="H41" s="16">
        <v>42460</v>
      </c>
      <c r="I41" s="16">
        <v>42551</v>
      </c>
      <c r="J41" s="16">
        <v>42643</v>
      </c>
      <c r="K41" s="16">
        <v>42735</v>
      </c>
      <c r="L41" s="66" t="s">
        <v>272</v>
      </c>
    </row>
    <row r="42" spans="1:12" s="9" customFormat="1">
      <c r="A42" s="9" t="s">
        <v>6</v>
      </c>
      <c r="B42">
        <v>1000.52</v>
      </c>
      <c r="C42">
        <v>996.01</v>
      </c>
      <c r="D42">
        <v>1028.51</v>
      </c>
      <c r="E42">
        <v>930.94</v>
      </c>
      <c r="F42">
        <v>964.82</v>
      </c>
      <c r="G42">
        <v>956.84</v>
      </c>
      <c r="H42">
        <v>1098.82</v>
      </c>
      <c r="I42">
        <v>1013.14</v>
      </c>
      <c r="J42">
        <v>1056.58</v>
      </c>
      <c r="K42">
        <v>874.58</v>
      </c>
      <c r="L42" s="67">
        <f t="shared" si="0"/>
        <v>-1.483676457921157E-2</v>
      </c>
    </row>
    <row r="43" spans="1:12" s="9" customFormat="1">
      <c r="A43" s="9" t="s">
        <v>7</v>
      </c>
      <c r="B43">
        <v>814.01</v>
      </c>
      <c r="C43">
        <v>801.41</v>
      </c>
      <c r="D43">
        <v>781.04</v>
      </c>
      <c r="E43">
        <v>758.47</v>
      </c>
      <c r="F43">
        <v>710.56</v>
      </c>
      <c r="G43">
        <v>718.14</v>
      </c>
      <c r="H43">
        <v>857.62</v>
      </c>
      <c r="I43">
        <v>801.41</v>
      </c>
      <c r="J43">
        <v>781.82</v>
      </c>
      <c r="K43">
        <v>660.52</v>
      </c>
      <c r="L43" s="67">
        <f t="shared" si="0"/>
        <v>-2.2948717540580477E-2</v>
      </c>
    </row>
    <row r="44" spans="1:12" s="9" customFormat="1">
      <c r="A44" s="9" t="s">
        <v>9</v>
      </c>
      <c r="B44">
        <v>9.92</v>
      </c>
      <c r="C44">
        <v>9.66</v>
      </c>
      <c r="D44">
        <v>7.14</v>
      </c>
      <c r="E44">
        <v>8.09</v>
      </c>
      <c r="F44">
        <v>10.7</v>
      </c>
      <c r="G44">
        <v>9.77</v>
      </c>
      <c r="H44">
        <v>11.39</v>
      </c>
      <c r="I44">
        <v>9.6199999999999992</v>
      </c>
      <c r="J44">
        <v>11.28</v>
      </c>
      <c r="K44">
        <v>10.9</v>
      </c>
      <c r="L44" s="67">
        <f t="shared" si="0"/>
        <v>1.0522741803671298E-2</v>
      </c>
    </row>
    <row r="45" spans="1:12" s="9" customFormat="1">
      <c r="A45" s="9" t="s">
        <v>10</v>
      </c>
      <c r="B45">
        <v>17.73</v>
      </c>
      <c r="C45">
        <v>20.28</v>
      </c>
      <c r="D45">
        <v>20.46</v>
      </c>
      <c r="E45">
        <v>25.27</v>
      </c>
      <c r="F45">
        <v>26.92</v>
      </c>
      <c r="G45">
        <v>29.49</v>
      </c>
      <c r="H45">
        <v>29.73</v>
      </c>
      <c r="I45">
        <v>31.64</v>
      </c>
      <c r="J45">
        <v>33.299999999999997</v>
      </c>
      <c r="K45">
        <v>34.17</v>
      </c>
      <c r="L45" s="67">
        <f t="shared" si="0"/>
        <v>7.5621767654696415E-2</v>
      </c>
    </row>
    <row r="46" spans="1:12" s="9" customFormat="1">
      <c r="A46" s="9" t="s">
        <v>11</v>
      </c>
      <c r="L46" s="67" t="e">
        <f t="shared" si="0"/>
        <v>#DIV/0!</v>
      </c>
    </row>
    <row r="47" spans="1:12" s="9" customFormat="1">
      <c r="A47" s="9" t="s">
        <v>12</v>
      </c>
      <c r="B47">
        <v>178.7</v>
      </c>
      <c r="C47">
        <v>183.98</v>
      </c>
      <c r="D47">
        <v>234.15</v>
      </c>
      <c r="E47">
        <v>155.29</v>
      </c>
      <c r="F47">
        <v>238.04</v>
      </c>
      <c r="G47">
        <v>218.98</v>
      </c>
      <c r="H47">
        <v>222.86</v>
      </c>
      <c r="I47">
        <v>189.71</v>
      </c>
      <c r="J47">
        <v>252.74</v>
      </c>
      <c r="K47">
        <v>190.79</v>
      </c>
      <c r="L47" s="67">
        <f t="shared" si="0"/>
        <v>7.3003994365394842E-3</v>
      </c>
    </row>
    <row r="48" spans="1:12" s="9" customFormat="1">
      <c r="A48" s="9" t="s">
        <v>13</v>
      </c>
      <c r="B48">
        <v>49.12</v>
      </c>
      <c r="C48">
        <v>53.12</v>
      </c>
      <c r="D48">
        <v>70.52</v>
      </c>
      <c r="E48">
        <v>39.35</v>
      </c>
      <c r="F48">
        <v>81.19</v>
      </c>
      <c r="G48">
        <v>53.87</v>
      </c>
      <c r="H48">
        <v>76.97</v>
      </c>
      <c r="I48">
        <v>63.99</v>
      </c>
      <c r="J48">
        <v>71.430000000000007</v>
      </c>
      <c r="K48">
        <v>62.97</v>
      </c>
      <c r="L48" s="67">
        <f t="shared" si="0"/>
        <v>2.7983510482830987E-2</v>
      </c>
    </row>
    <row r="49" spans="1:12" s="9" customFormat="1">
      <c r="A49" s="9" t="s">
        <v>14</v>
      </c>
      <c r="B49">
        <v>129.58000000000001</v>
      </c>
      <c r="C49">
        <v>130.86000000000001</v>
      </c>
      <c r="D49">
        <v>163.63</v>
      </c>
      <c r="E49">
        <v>115.94</v>
      </c>
      <c r="F49">
        <v>156.85</v>
      </c>
      <c r="G49">
        <v>165.11</v>
      </c>
      <c r="H49">
        <v>145.88999999999999</v>
      </c>
      <c r="I49">
        <v>125.72</v>
      </c>
      <c r="J49">
        <v>181.31</v>
      </c>
      <c r="K49">
        <v>127.82</v>
      </c>
      <c r="L49" s="67">
        <f t="shared" si="0"/>
        <v>-1.5183380233567689E-3</v>
      </c>
    </row>
    <row r="50" spans="1:12">
      <c r="A50" s="9"/>
      <c r="B50">
        <v>186.51</v>
      </c>
      <c r="C50">
        <v>194.6</v>
      </c>
      <c r="D50">
        <v>247.47</v>
      </c>
      <c r="E50">
        <v>172.47</v>
      </c>
      <c r="F50">
        <v>254.26</v>
      </c>
      <c r="G50">
        <v>238.7</v>
      </c>
      <c r="H50">
        <v>241.2</v>
      </c>
      <c r="I50">
        <v>211.73</v>
      </c>
      <c r="J50">
        <v>274.76</v>
      </c>
      <c r="K50">
        <v>214.06</v>
      </c>
      <c r="L50" s="67">
        <f t="shared" si="0"/>
        <v>1.5425710346736121E-2</v>
      </c>
    </row>
    <row r="51" spans="1:12">
      <c r="A51" s="9"/>
      <c r="L51" s="67"/>
    </row>
    <row r="52" spans="1:12">
      <c r="A52" s="9"/>
      <c r="L52" s="67"/>
    </row>
    <row r="53" spans="1:12">
      <c r="A53" s="9"/>
      <c r="L53" s="67"/>
    </row>
    <row r="54" spans="1:12">
      <c r="A54" s="9"/>
      <c r="L54" s="67"/>
    </row>
    <row r="55" spans="1:12">
      <c r="A55" s="1" t="s">
        <v>40</v>
      </c>
      <c r="L55" s="67"/>
    </row>
    <row r="56" spans="1:12" s="24" customFormat="1">
      <c r="A56" s="23" t="s">
        <v>38</v>
      </c>
      <c r="B56" s="16">
        <v>39172</v>
      </c>
      <c r="C56" s="16">
        <v>39538</v>
      </c>
      <c r="D56" s="16">
        <v>39903</v>
      </c>
      <c r="E56" s="16">
        <v>40268</v>
      </c>
      <c r="F56" s="16">
        <v>40633</v>
      </c>
      <c r="G56" s="16">
        <v>40999</v>
      </c>
      <c r="H56" s="16">
        <v>41364</v>
      </c>
      <c r="I56" s="16">
        <v>41729</v>
      </c>
      <c r="J56" s="16">
        <v>42094</v>
      </c>
      <c r="K56" s="16">
        <v>42460</v>
      </c>
      <c r="L56" s="66" t="s">
        <v>272</v>
      </c>
    </row>
    <row r="57" spans="1:12">
      <c r="A57" s="9" t="s">
        <v>24</v>
      </c>
      <c r="B57">
        <v>135.99</v>
      </c>
      <c r="C57">
        <v>13.6</v>
      </c>
      <c r="D57">
        <v>13.6</v>
      </c>
      <c r="E57">
        <v>13.6</v>
      </c>
      <c r="F57">
        <v>13.6</v>
      </c>
      <c r="G57">
        <v>13.6</v>
      </c>
      <c r="H57">
        <v>13.6</v>
      </c>
      <c r="I57">
        <v>13.6</v>
      </c>
      <c r="J57">
        <v>13.6</v>
      </c>
      <c r="K57">
        <v>27.2</v>
      </c>
      <c r="L57" s="67">
        <f t="shared" si="0"/>
        <v>-0.16374213665425641</v>
      </c>
    </row>
    <row r="58" spans="1:12">
      <c r="A58" s="9" t="s">
        <v>25</v>
      </c>
      <c r="B58">
        <v>144.53</v>
      </c>
      <c r="C58">
        <v>148.61000000000001</v>
      </c>
      <c r="D58">
        <v>202.7</v>
      </c>
      <c r="E58">
        <v>312.51</v>
      </c>
      <c r="F58">
        <v>370.45</v>
      </c>
      <c r="G58">
        <v>421.79</v>
      </c>
      <c r="H58">
        <v>475.99</v>
      </c>
      <c r="I58">
        <v>586.28</v>
      </c>
      <c r="J58">
        <v>756.72</v>
      </c>
      <c r="K58">
        <v>992.27</v>
      </c>
      <c r="L58" s="67">
        <f t="shared" si="0"/>
        <v>0.23869259067036208</v>
      </c>
    </row>
    <row r="59" spans="1:12">
      <c r="A59" s="9" t="s">
        <v>62</v>
      </c>
      <c r="B59">
        <v>4.28</v>
      </c>
      <c r="C59">
        <v>4.6900000000000004</v>
      </c>
      <c r="D59">
        <v>4.6900000000000004</v>
      </c>
      <c r="E59">
        <v>4.59</v>
      </c>
      <c r="F59">
        <v>0.05</v>
      </c>
      <c r="G59">
        <v>0.05</v>
      </c>
      <c r="L59" s="67">
        <f t="shared" si="0"/>
        <v>-1</v>
      </c>
    </row>
    <row r="60" spans="1:12">
      <c r="A60" s="9" t="s">
        <v>63</v>
      </c>
      <c r="B60">
        <v>434.89</v>
      </c>
      <c r="C60">
        <v>549.53</v>
      </c>
      <c r="D60">
        <v>568.73</v>
      </c>
      <c r="E60">
        <v>570.77</v>
      </c>
      <c r="F60">
        <v>667.84</v>
      </c>
      <c r="G60">
        <v>711.3</v>
      </c>
      <c r="H60">
        <v>835.31</v>
      </c>
      <c r="I60">
        <v>918.37</v>
      </c>
      <c r="J60">
        <v>962.54</v>
      </c>
      <c r="K60">
        <v>953.96</v>
      </c>
      <c r="L60" s="67">
        <f t="shared" si="0"/>
        <v>9.120321823689137E-2</v>
      </c>
    </row>
    <row r="61" spans="1:12" s="1" customFormat="1">
      <c r="A61" s="1" t="s">
        <v>26</v>
      </c>
      <c r="B61">
        <v>719.69</v>
      </c>
      <c r="C61">
        <v>716.43</v>
      </c>
      <c r="D61">
        <v>789.72</v>
      </c>
      <c r="E61">
        <v>901.47</v>
      </c>
      <c r="F61">
        <v>1051.94</v>
      </c>
      <c r="G61">
        <v>1146.74</v>
      </c>
      <c r="H61">
        <v>1324.9</v>
      </c>
      <c r="I61">
        <v>1518.25</v>
      </c>
      <c r="J61">
        <v>1732.86</v>
      </c>
      <c r="K61">
        <v>1973.43</v>
      </c>
      <c r="L61" s="67">
        <f t="shared" si="0"/>
        <v>0.11860083647815522</v>
      </c>
    </row>
    <row r="62" spans="1:12">
      <c r="A62" s="9" t="s">
        <v>27</v>
      </c>
      <c r="B62">
        <v>167.69</v>
      </c>
      <c r="C62">
        <v>191.4</v>
      </c>
      <c r="D62">
        <v>173.93</v>
      </c>
      <c r="E62">
        <v>246.95</v>
      </c>
      <c r="F62">
        <v>255.05</v>
      </c>
      <c r="G62">
        <v>254.42</v>
      </c>
      <c r="H62">
        <v>280.66000000000003</v>
      </c>
      <c r="I62">
        <v>555.91</v>
      </c>
      <c r="J62">
        <v>781.58</v>
      </c>
      <c r="K62">
        <v>1008.14</v>
      </c>
      <c r="L62" s="67">
        <f t="shared" si="0"/>
        <v>0.22055421763941108</v>
      </c>
    </row>
    <row r="63" spans="1:12">
      <c r="A63" s="9" t="s">
        <v>28</v>
      </c>
      <c r="B63">
        <v>24.34</v>
      </c>
      <c r="C63">
        <v>7.59</v>
      </c>
      <c r="D63">
        <v>4.67</v>
      </c>
      <c r="E63">
        <v>6.19</v>
      </c>
      <c r="F63">
        <v>8.2100000000000009</v>
      </c>
      <c r="G63">
        <v>69.38</v>
      </c>
      <c r="H63">
        <v>101.96</v>
      </c>
      <c r="I63">
        <v>141.51</v>
      </c>
      <c r="J63">
        <v>141.18</v>
      </c>
      <c r="K63">
        <v>78.37</v>
      </c>
      <c r="L63" s="67">
        <f t="shared" si="0"/>
        <v>0.13874235612542574</v>
      </c>
    </row>
    <row r="64" spans="1:12">
      <c r="A64" s="9" t="s">
        <v>29</v>
      </c>
      <c r="B64">
        <v>133.34</v>
      </c>
      <c r="C64">
        <v>72.59</v>
      </c>
      <c r="D64">
        <v>38.33</v>
      </c>
      <c r="E64">
        <v>21</v>
      </c>
      <c r="F64">
        <v>38.74</v>
      </c>
      <c r="G64">
        <v>47.12</v>
      </c>
      <c r="H64">
        <v>47.12</v>
      </c>
      <c r="I64">
        <v>37.130000000000003</v>
      </c>
      <c r="J64">
        <v>37.130000000000003</v>
      </c>
      <c r="K64">
        <v>30.13</v>
      </c>
      <c r="L64" s="67">
        <f t="shared" si="0"/>
        <v>-0.15233057219543511</v>
      </c>
    </row>
    <row r="65" spans="1:12">
      <c r="A65" s="9" t="s">
        <v>64</v>
      </c>
      <c r="B65">
        <v>394.32</v>
      </c>
      <c r="C65">
        <v>444.85</v>
      </c>
      <c r="D65">
        <v>572.79</v>
      </c>
      <c r="E65">
        <v>627.33000000000004</v>
      </c>
      <c r="F65">
        <v>749.94</v>
      </c>
      <c r="G65">
        <v>775.82</v>
      </c>
      <c r="H65">
        <v>895.16</v>
      </c>
      <c r="I65">
        <v>783.7</v>
      </c>
      <c r="J65">
        <v>772.97</v>
      </c>
      <c r="K65">
        <v>856.79</v>
      </c>
      <c r="L65" s="67">
        <f t="shared" si="0"/>
        <v>9.0052178236440517E-2</v>
      </c>
    </row>
    <row r="66" spans="1:12" s="1" customFormat="1">
      <c r="A66" s="1" t="s">
        <v>26</v>
      </c>
      <c r="B66">
        <v>719.69</v>
      </c>
      <c r="C66">
        <v>716.43</v>
      </c>
      <c r="D66">
        <v>789.72</v>
      </c>
      <c r="E66">
        <v>901.47</v>
      </c>
      <c r="F66">
        <v>1051.94</v>
      </c>
      <c r="G66">
        <v>1146.74</v>
      </c>
      <c r="H66">
        <v>1324.9</v>
      </c>
      <c r="I66">
        <v>1518.25</v>
      </c>
      <c r="J66">
        <v>1732.86</v>
      </c>
      <c r="K66">
        <v>1973.43</v>
      </c>
      <c r="L66" s="67">
        <f t="shared" si="0"/>
        <v>0.11860083647815522</v>
      </c>
    </row>
    <row r="67" spans="1:12" s="9" customFormat="1">
      <c r="A67" s="9" t="s">
        <v>69</v>
      </c>
      <c r="B67">
        <v>9.33</v>
      </c>
      <c r="C67">
        <v>9.19</v>
      </c>
      <c r="D67">
        <v>11.14</v>
      </c>
      <c r="E67">
        <v>9.77</v>
      </c>
      <c r="F67">
        <v>75.3</v>
      </c>
      <c r="G67">
        <v>87.27</v>
      </c>
      <c r="H67">
        <v>81.209999999999994</v>
      </c>
      <c r="I67">
        <v>54.73</v>
      </c>
      <c r="J67">
        <v>69.64</v>
      </c>
      <c r="K67">
        <v>101.54</v>
      </c>
      <c r="L67" s="67">
        <f t="shared" si="0"/>
        <v>0.30375220894033772</v>
      </c>
    </row>
    <row r="68" spans="1:12">
      <c r="A68" s="9" t="s">
        <v>45</v>
      </c>
      <c r="B68">
        <v>80.33</v>
      </c>
      <c r="C68">
        <v>75.64</v>
      </c>
      <c r="D68">
        <v>82.42</v>
      </c>
      <c r="E68">
        <v>110.55</v>
      </c>
      <c r="F68">
        <v>153.69999999999999</v>
      </c>
      <c r="G68">
        <v>217.68</v>
      </c>
      <c r="H68">
        <v>185.3</v>
      </c>
      <c r="I68">
        <v>225.74</v>
      </c>
      <c r="J68">
        <v>252.23</v>
      </c>
      <c r="K68">
        <v>292.66000000000003</v>
      </c>
      <c r="L68" s="67">
        <f t="shared" si="0"/>
        <v>0.15448232694239517</v>
      </c>
    </row>
    <row r="69" spans="1:12">
      <c r="A69" s="5" t="s">
        <v>78</v>
      </c>
      <c r="B69">
        <v>111.72</v>
      </c>
      <c r="C69">
        <v>144.26</v>
      </c>
      <c r="D69">
        <v>251.14</v>
      </c>
      <c r="E69">
        <v>347.58</v>
      </c>
      <c r="F69">
        <v>395.15</v>
      </c>
      <c r="G69">
        <v>309.8</v>
      </c>
      <c r="H69">
        <v>428.8</v>
      </c>
      <c r="I69">
        <v>285.38</v>
      </c>
      <c r="J69">
        <v>254.45</v>
      </c>
      <c r="K69">
        <v>288.3</v>
      </c>
      <c r="L69" s="67">
        <f t="shared" si="0"/>
        <v>0.111081632816592</v>
      </c>
    </row>
    <row r="70" spans="1:12">
      <c r="A70" s="5" t="s">
        <v>65</v>
      </c>
      <c r="B70">
        <v>135992817</v>
      </c>
      <c r="C70">
        <v>135992817</v>
      </c>
      <c r="D70">
        <v>135992817</v>
      </c>
      <c r="E70">
        <v>135992817</v>
      </c>
      <c r="F70">
        <v>135992817</v>
      </c>
      <c r="G70">
        <v>135992817</v>
      </c>
      <c r="H70">
        <v>135992817</v>
      </c>
      <c r="I70">
        <v>135992817</v>
      </c>
      <c r="J70">
        <v>135992817</v>
      </c>
      <c r="K70">
        <v>271985634</v>
      </c>
      <c r="L70" s="67">
        <f t="shared" si="0"/>
        <v>8.0059738892306109E-2</v>
      </c>
    </row>
    <row r="71" spans="1:12">
      <c r="A71" s="5" t="s">
        <v>66</v>
      </c>
      <c r="K71">
        <v>135992817</v>
      </c>
      <c r="L71" s="67"/>
    </row>
    <row r="72" spans="1:12">
      <c r="A72" s="5" t="s">
        <v>79</v>
      </c>
      <c r="B72">
        <v>10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 s="67">
        <f t="shared" si="0"/>
        <v>-0.22573631731887289</v>
      </c>
    </row>
    <row r="73" spans="1:12">
      <c r="L73" s="67"/>
    </row>
    <row r="74" spans="1:12">
      <c r="A74" s="9"/>
      <c r="L74" s="67"/>
    </row>
    <row r="75" spans="1:12">
      <c r="A75" s="9"/>
      <c r="L75" s="67"/>
    </row>
    <row r="76" spans="1:12">
      <c r="A76" s="9"/>
      <c r="L76" s="67"/>
    </row>
    <row r="77" spans="1:12">
      <c r="A77" s="9"/>
      <c r="L77" s="67"/>
    </row>
    <row r="78" spans="1:12">
      <c r="A78" s="9"/>
      <c r="L78" s="67"/>
    </row>
    <row r="79" spans="1:12">
      <c r="A79" s="9"/>
      <c r="L79" s="67"/>
    </row>
    <row r="80" spans="1:12">
      <c r="A80" s="1" t="s">
        <v>41</v>
      </c>
      <c r="L80" s="67"/>
    </row>
    <row r="81" spans="1:12" s="24" customFormat="1">
      <c r="A81" s="23" t="s">
        <v>38</v>
      </c>
      <c r="B81" s="16">
        <v>39172</v>
      </c>
      <c r="C81" s="16">
        <v>39538</v>
      </c>
      <c r="D81" s="16">
        <v>39903</v>
      </c>
      <c r="E81" s="16">
        <v>40268</v>
      </c>
      <c r="F81" s="16">
        <v>40633</v>
      </c>
      <c r="G81" s="16">
        <v>40999</v>
      </c>
      <c r="H81" s="16">
        <v>41364</v>
      </c>
      <c r="I81" s="16">
        <v>41729</v>
      </c>
      <c r="J81" s="16">
        <v>42094</v>
      </c>
      <c r="K81" s="16">
        <v>42460</v>
      </c>
      <c r="L81" s="66" t="s">
        <v>272</v>
      </c>
    </row>
    <row r="82" spans="1:12" s="1" customFormat="1">
      <c r="A82" s="9" t="s">
        <v>32</v>
      </c>
      <c r="B82">
        <v>154.24</v>
      </c>
      <c r="C82">
        <v>281.39999999999998</v>
      </c>
      <c r="D82">
        <v>319.38</v>
      </c>
      <c r="E82">
        <v>397.35</v>
      </c>
      <c r="F82">
        <v>357.91</v>
      </c>
      <c r="G82">
        <v>402.84</v>
      </c>
      <c r="H82">
        <v>614.9</v>
      </c>
      <c r="I82">
        <v>457.38</v>
      </c>
      <c r="J82">
        <v>638.15</v>
      </c>
      <c r="K82">
        <v>672.93</v>
      </c>
      <c r="L82" s="67">
        <f t="shared" ref="L82:L93" si="1">POWER(K82/B82,1/9)-1</f>
        <v>0.17783884942240991</v>
      </c>
    </row>
    <row r="83" spans="1:12" s="9" customFormat="1">
      <c r="A83" s="9" t="s">
        <v>33</v>
      </c>
      <c r="B83">
        <v>5.55</v>
      </c>
      <c r="C83">
        <v>26.09</v>
      </c>
      <c r="D83">
        <v>42.63</v>
      </c>
      <c r="E83">
        <v>36.549999999999997</v>
      </c>
      <c r="F83">
        <v>60.13</v>
      </c>
      <c r="G83">
        <v>-10.24</v>
      </c>
      <c r="H83">
        <v>-47.25</v>
      </c>
      <c r="I83">
        <v>-180.37</v>
      </c>
      <c r="J83">
        <v>-271.63</v>
      </c>
      <c r="K83">
        <v>-236.62</v>
      </c>
      <c r="L83" s="67">
        <f t="shared" si="1"/>
        <v>-2.5173447770478221</v>
      </c>
    </row>
    <row r="84" spans="1:12" s="9" customFormat="1">
      <c r="A84" s="9" t="s">
        <v>34</v>
      </c>
      <c r="B84">
        <v>-136.04</v>
      </c>
      <c r="C84">
        <v>-274.95</v>
      </c>
      <c r="D84">
        <v>-255.13</v>
      </c>
      <c r="E84">
        <v>-337.46</v>
      </c>
      <c r="F84">
        <v>-322.99</v>
      </c>
      <c r="G84">
        <v>-398.05</v>
      </c>
      <c r="H84">
        <v>-427.6</v>
      </c>
      <c r="I84">
        <v>-422.07</v>
      </c>
      <c r="J84">
        <v>-384.79</v>
      </c>
      <c r="K84">
        <v>-375.78</v>
      </c>
      <c r="L84" s="67">
        <f t="shared" si="1"/>
        <v>0.1195143660282012</v>
      </c>
    </row>
    <row r="85" spans="1:12" s="1" customFormat="1">
      <c r="A85" s="9" t="s">
        <v>35</v>
      </c>
      <c r="B85">
        <v>23.75</v>
      </c>
      <c r="C85">
        <v>32.54</v>
      </c>
      <c r="D85">
        <v>106.88</v>
      </c>
      <c r="E85">
        <v>96.44</v>
      </c>
      <c r="F85">
        <v>95.05</v>
      </c>
      <c r="G85">
        <v>-5.45</v>
      </c>
      <c r="H85">
        <v>140.05000000000001</v>
      </c>
      <c r="I85">
        <v>-145.06</v>
      </c>
      <c r="J85">
        <v>-18.27</v>
      </c>
      <c r="K85">
        <v>60.53</v>
      </c>
      <c r="L85" s="67">
        <f t="shared" si="1"/>
        <v>0.10954578740963017</v>
      </c>
    </row>
    <row r="86" spans="1:12">
      <c r="A86" s="9"/>
      <c r="L86" s="67"/>
    </row>
    <row r="87" spans="1:12">
      <c r="A87" s="9"/>
      <c r="L87" s="67"/>
    </row>
    <row r="88" spans="1:12">
      <c r="A88" s="9"/>
      <c r="L88" s="67"/>
    </row>
    <row r="89" spans="1:12">
      <c r="A89" s="9"/>
      <c r="L89" s="67"/>
    </row>
    <row r="90" spans="1:12" s="1" customFormat="1">
      <c r="A90" s="1" t="s">
        <v>68</v>
      </c>
      <c r="B90">
        <v>172.46</v>
      </c>
      <c r="C90">
        <v>206.94</v>
      </c>
      <c r="D90">
        <v>230.56</v>
      </c>
      <c r="E90">
        <v>361.26</v>
      </c>
      <c r="F90">
        <v>436.97</v>
      </c>
      <c r="G90">
        <v>565.23</v>
      </c>
      <c r="H90">
        <v>674.87</v>
      </c>
      <c r="I90">
        <v>707.38</v>
      </c>
      <c r="J90">
        <v>1028.27</v>
      </c>
      <c r="K90">
        <v>837.49</v>
      </c>
      <c r="L90" s="67">
        <f t="shared" si="1"/>
        <v>0.19194051803749312</v>
      </c>
    </row>
    <row r="91" spans="1:12">
      <c r="L91" s="67"/>
    </row>
    <row r="92" spans="1:12" s="1" customFormat="1">
      <c r="A92" s="1" t="s">
        <v>67</v>
      </c>
      <c r="L92" s="67"/>
    </row>
    <row r="93" spans="1:12">
      <c r="A93" s="5" t="s">
        <v>80</v>
      </c>
      <c r="B93" s="28">
        <f>IF($B7&gt;0,(B70*B72/$B7)+SUM(C71:$K71),0)/10000000</f>
        <v>149.59209870000001</v>
      </c>
      <c r="C93" s="28">
        <f>IF($B7&gt;0,(C70*C72/$B7)+SUM(D71:$K71),0)/10000000</f>
        <v>27.198563400000001</v>
      </c>
      <c r="D93" s="28">
        <f>IF($B7&gt;0,(D70*D72/$B7)+SUM(E71:$K71),0)/10000000</f>
        <v>27.198563400000001</v>
      </c>
      <c r="E93" s="28">
        <f>IF($B7&gt;0,(E70*E72/$B7)+SUM(F71:$K71),0)/10000000</f>
        <v>27.198563400000001</v>
      </c>
      <c r="F93" s="28">
        <f>IF($B7&gt;0,(F70*F72/$B7)+SUM(G71:$K71),0)/10000000</f>
        <v>27.198563400000001</v>
      </c>
      <c r="G93" s="28">
        <f>IF($B7&gt;0,(G70*G72/$B7)+SUM(H71:$K71),0)/10000000</f>
        <v>27.198563400000001</v>
      </c>
      <c r="H93" s="28">
        <f>IF($B7&gt;0,(H70*H72/$B7)+SUM(I71:$K71),0)/10000000</f>
        <v>27.198563400000001</v>
      </c>
      <c r="I93" s="28">
        <f>IF($B7&gt;0,(I70*I72/$B7)+SUM(J71:$K71),0)/10000000</f>
        <v>27.198563400000001</v>
      </c>
      <c r="J93" s="28">
        <f>IF($B7&gt;0,(J70*J72/$B7)+SUM(K71:$K71),0)/10000000</f>
        <v>27.198563400000001</v>
      </c>
      <c r="K93" s="28">
        <f>IF($B7&gt;0,(K70*K72/$B7),0)/10000000</f>
        <v>27.198563400000001</v>
      </c>
      <c r="L93" s="67">
        <f t="shared" si="1"/>
        <v>-0.17255815710750211</v>
      </c>
    </row>
    <row r="94" spans="1:12">
      <c r="L94" s="67"/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Profit &amp; Loss</vt:lpstr>
      <vt:lpstr>Quarters</vt:lpstr>
      <vt:lpstr>Balance Sheet</vt:lpstr>
      <vt:lpstr>Cash Flow</vt:lpstr>
      <vt:lpstr>Customization</vt:lpstr>
      <vt:lpstr>Data Sheet</vt:lpstr>
      <vt:lpstr>Sheet1</vt:lpstr>
      <vt:lpstr>Customization!Print_Titles</vt:lpstr>
      <vt:lpstr>UPDATE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Desktop</cp:lastModifiedBy>
  <cp:lastPrinted>2017-04-10T16:04:58Z</cp:lastPrinted>
  <dcterms:created xsi:type="dcterms:W3CDTF">2012-08-17T09:55:37Z</dcterms:created>
  <dcterms:modified xsi:type="dcterms:W3CDTF">2017-04-15T14:00:55Z</dcterms:modified>
</cp:coreProperties>
</file>