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ms-office.vbaProject"/>
  <Default Extension="vml" ContentType="application/vnd.openxmlformats-officedocument.vmlDrawing"/>
  <Default Extension="rels" ContentType="application/vnd.openxmlformats-package.relationships+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421" codeName="{1563B04E-AB91-75FE-B8BC-B18F01832D57}"/>
  <workbookPr codeName="ThisWorkbook" autoCompressPictures="0"/>
  <bookViews>
    <workbookView xWindow="0" yWindow="0" windowWidth="25600" windowHeight="15460" tabRatio="697" firstSheet="1" activeTab="8"/>
  </bookViews>
  <sheets>
    <sheet name="Profit &amp; Loss" sheetId="1" r:id="rId1"/>
    <sheet name="Quarters" sheetId="3" r:id="rId2"/>
    <sheet name="Balance Sheet" sheetId="2" r:id="rId3"/>
    <sheet name="Cash Flow" sheetId="4" r:id="rId4"/>
    <sheet name="Customization" sheetId="5" r:id="rId5"/>
    <sheet name="Data Sheet" sheetId="6" r:id="rId6"/>
    <sheet name="Calculated Data" sheetId="15" r:id="rId7"/>
    <sheet name="Cost Analysis" sheetId="16" r:id="rId8"/>
    <sheet name="Price Implied Expectations" sheetId="19" r:id="rId9"/>
    <sheet name="Business Robustness" sheetId="17" r:id="rId10"/>
    <sheet name="Buffet-Valuation" sheetId="18" r:id="rId11"/>
  </sheets>
  <definedNames>
    <definedName name="FinCodes">#REF!</definedName>
    <definedName name="UPDATE">'Data Sheet'!$E$1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6" i="19" l="1"/>
  <c r="J15" i="19"/>
  <c r="I15" i="19"/>
  <c r="H15" i="19"/>
  <c r="G15" i="19"/>
  <c r="K15" i="19"/>
  <c r="K10" i="19"/>
  <c r="J9" i="19"/>
  <c r="I9" i="19"/>
  <c r="H9" i="19"/>
  <c r="G9" i="19"/>
  <c r="K9" i="19"/>
  <c r="Q15" i="19"/>
  <c r="B19" i="19"/>
  <c r="H4" i="3"/>
  <c r="I4" i="3"/>
  <c r="J4" i="3"/>
  <c r="K4" i="3"/>
  <c r="L4" i="1"/>
  <c r="K4" i="1"/>
  <c r="L31" i="1"/>
  <c r="R3" i="19"/>
  <c r="C19" i="19"/>
  <c r="D19" i="19"/>
  <c r="E19" i="19"/>
  <c r="F19" i="19"/>
  <c r="G19" i="19"/>
  <c r="H19" i="19"/>
  <c r="I19" i="19"/>
  <c r="J19" i="19"/>
  <c r="K19" i="19"/>
  <c r="L19" i="19"/>
  <c r="M19" i="19"/>
  <c r="N19" i="19"/>
  <c r="O19" i="19"/>
  <c r="P19" i="19"/>
  <c r="Q19" i="19"/>
  <c r="Q20" i="19"/>
  <c r="Q21" i="19"/>
  <c r="Q27" i="19"/>
  <c r="Q22" i="19"/>
  <c r="Q23" i="19"/>
  <c r="Q24" i="19"/>
  <c r="Q25" i="19"/>
  <c r="P20" i="19"/>
  <c r="P21" i="19"/>
  <c r="P22" i="19"/>
  <c r="P23" i="19"/>
  <c r="P24" i="19"/>
  <c r="P25" i="19"/>
  <c r="O20" i="19"/>
  <c r="O21" i="19"/>
  <c r="O22" i="19"/>
  <c r="O23" i="19"/>
  <c r="O24" i="19"/>
  <c r="O25" i="19"/>
  <c r="N20" i="19"/>
  <c r="N21" i="19"/>
  <c r="N22" i="19"/>
  <c r="N23" i="19"/>
  <c r="N24" i="19"/>
  <c r="N25" i="19"/>
  <c r="M20" i="19"/>
  <c r="M21" i="19"/>
  <c r="M22" i="19"/>
  <c r="M23" i="19"/>
  <c r="M24" i="19"/>
  <c r="M25" i="19"/>
  <c r="L20" i="19"/>
  <c r="L21" i="19"/>
  <c r="L22" i="19"/>
  <c r="L23" i="19"/>
  <c r="L24" i="19"/>
  <c r="L25" i="19"/>
  <c r="K20" i="19"/>
  <c r="K21" i="19"/>
  <c r="K22" i="19"/>
  <c r="K23" i="19"/>
  <c r="K24" i="19"/>
  <c r="K25" i="19"/>
  <c r="J20" i="19"/>
  <c r="J21" i="19"/>
  <c r="J22" i="19"/>
  <c r="J23" i="19"/>
  <c r="J24" i="19"/>
  <c r="J25" i="19"/>
  <c r="I20" i="19"/>
  <c r="I21" i="19"/>
  <c r="I22" i="19"/>
  <c r="I23" i="19"/>
  <c r="I24" i="19"/>
  <c r="I25" i="19"/>
  <c r="H20" i="19"/>
  <c r="H21" i="19"/>
  <c r="H22" i="19"/>
  <c r="H23" i="19"/>
  <c r="H24" i="19"/>
  <c r="H25" i="19"/>
  <c r="G20" i="19"/>
  <c r="G21" i="19"/>
  <c r="G22" i="19"/>
  <c r="G23" i="19"/>
  <c r="G24" i="19"/>
  <c r="G25" i="19"/>
  <c r="F20" i="19"/>
  <c r="F21" i="19"/>
  <c r="F22" i="19"/>
  <c r="F23" i="19"/>
  <c r="F24" i="19"/>
  <c r="F25" i="19"/>
  <c r="E20" i="19"/>
  <c r="E21" i="19"/>
  <c r="E22" i="19"/>
  <c r="E23" i="19"/>
  <c r="E24" i="19"/>
  <c r="E25" i="19"/>
  <c r="D20" i="19"/>
  <c r="D21" i="19"/>
  <c r="D22" i="19"/>
  <c r="D23" i="19"/>
  <c r="D24" i="19"/>
  <c r="D25" i="19"/>
  <c r="H10" i="3"/>
  <c r="I10" i="3"/>
  <c r="J10" i="3"/>
  <c r="K10" i="3"/>
  <c r="L10" i="1"/>
  <c r="H9" i="3"/>
  <c r="I9" i="3"/>
  <c r="J9" i="3"/>
  <c r="K9" i="3"/>
  <c r="L9" i="1"/>
  <c r="L17" i="1"/>
  <c r="L4" i="15"/>
  <c r="R4" i="19"/>
  <c r="C20" i="19"/>
  <c r="C21" i="19"/>
  <c r="C22" i="19"/>
  <c r="C23" i="19"/>
  <c r="C24" i="19"/>
  <c r="C25" i="19"/>
  <c r="C26" i="19"/>
  <c r="D26" i="19"/>
  <c r="E26" i="19"/>
  <c r="F26" i="19"/>
  <c r="G26" i="19"/>
  <c r="H26" i="19"/>
  <c r="I26" i="19"/>
  <c r="J26" i="19"/>
  <c r="K26" i="19"/>
  <c r="L26" i="19"/>
  <c r="M26" i="19"/>
  <c r="N26" i="19"/>
  <c r="O26" i="19"/>
  <c r="P26" i="19"/>
  <c r="Q26" i="19"/>
  <c r="Q29" i="19"/>
  <c r="K34" i="2"/>
  <c r="Q10" i="19"/>
  <c r="K12" i="2"/>
  <c r="Q11" i="19"/>
  <c r="Q12" i="19"/>
  <c r="Q30" i="19"/>
  <c r="K6" i="2"/>
  <c r="Q13" i="19"/>
  <c r="Q31" i="19"/>
  <c r="Q32" i="19"/>
  <c r="B6" i="6"/>
  <c r="Q14" i="19"/>
  <c r="Q34" i="19"/>
  <c r="C27" i="19"/>
  <c r="C29" i="19"/>
  <c r="C30" i="19"/>
  <c r="C31" i="19"/>
  <c r="C32" i="19"/>
  <c r="C34" i="19"/>
  <c r="J27" i="19"/>
  <c r="J29" i="19"/>
  <c r="J30" i="19"/>
  <c r="J31" i="19"/>
  <c r="J32" i="19"/>
  <c r="J34" i="19"/>
  <c r="F27" i="19"/>
  <c r="F29" i="19"/>
  <c r="F30" i="19"/>
  <c r="F31" i="19"/>
  <c r="F32" i="19"/>
  <c r="F34" i="19"/>
  <c r="D27" i="19"/>
  <c r="D29" i="19"/>
  <c r="D30" i="19"/>
  <c r="D31" i="19"/>
  <c r="D32" i="19"/>
  <c r="D34" i="19"/>
  <c r="E27" i="19"/>
  <c r="E29" i="19"/>
  <c r="E30" i="19"/>
  <c r="E31" i="19"/>
  <c r="E32" i="19"/>
  <c r="E34" i="19"/>
  <c r="G27" i="19"/>
  <c r="G29" i="19"/>
  <c r="G30" i="19"/>
  <c r="G31" i="19"/>
  <c r="G32" i="19"/>
  <c r="G34" i="19"/>
  <c r="H27" i="19"/>
  <c r="H29" i="19"/>
  <c r="H30" i="19"/>
  <c r="H31" i="19"/>
  <c r="H32" i="19"/>
  <c r="H34" i="19"/>
  <c r="I27" i="19"/>
  <c r="I29" i="19"/>
  <c r="I30" i="19"/>
  <c r="I31" i="19"/>
  <c r="I32" i="19"/>
  <c r="I34" i="19"/>
  <c r="K27" i="19"/>
  <c r="K29" i="19"/>
  <c r="K30" i="19"/>
  <c r="K31" i="19"/>
  <c r="K32" i="19"/>
  <c r="K34" i="19"/>
  <c r="L27" i="19"/>
  <c r="L29" i="19"/>
  <c r="L30" i="19"/>
  <c r="L31" i="19"/>
  <c r="L32" i="19"/>
  <c r="L34" i="19"/>
  <c r="M27" i="19"/>
  <c r="M29" i="19"/>
  <c r="M30" i="19"/>
  <c r="M31" i="19"/>
  <c r="M32" i="19"/>
  <c r="M34" i="19"/>
  <c r="N27" i="19"/>
  <c r="N29" i="19"/>
  <c r="N30" i="19"/>
  <c r="N31" i="19"/>
  <c r="N32" i="19"/>
  <c r="N34" i="19"/>
  <c r="O27" i="19"/>
  <c r="O29" i="19"/>
  <c r="O30" i="19"/>
  <c r="O31" i="19"/>
  <c r="O32" i="19"/>
  <c r="O34" i="19"/>
  <c r="P27" i="19"/>
  <c r="P29" i="19"/>
  <c r="P30" i="19"/>
  <c r="P31" i="19"/>
  <c r="P32" i="19"/>
  <c r="P34" i="19"/>
  <c r="C35" i="19"/>
  <c r="K4" i="15"/>
  <c r="K22" i="15"/>
  <c r="K23" i="15"/>
  <c r="B21" i="19"/>
  <c r="J4" i="1"/>
  <c r="K31" i="1"/>
  <c r="I4" i="1"/>
  <c r="J31" i="1"/>
  <c r="H4" i="1"/>
  <c r="I31" i="1"/>
  <c r="G4" i="1"/>
  <c r="H31" i="1"/>
  <c r="F4" i="1"/>
  <c r="G31" i="1"/>
  <c r="E4" i="1"/>
  <c r="F31" i="1"/>
  <c r="D4" i="1"/>
  <c r="E31" i="1"/>
  <c r="C4" i="1"/>
  <c r="D31" i="1"/>
  <c r="B4" i="1"/>
  <c r="C31" i="1"/>
  <c r="L36" i="5"/>
  <c r="C11" i="15"/>
  <c r="C12" i="19"/>
  <c r="B11" i="15"/>
  <c r="B12" i="19"/>
  <c r="C13" i="19"/>
  <c r="D11" i="15"/>
  <c r="D12" i="19"/>
  <c r="D13" i="19"/>
  <c r="E11" i="15"/>
  <c r="E12" i="19"/>
  <c r="E13" i="19"/>
  <c r="F11" i="15"/>
  <c r="F12" i="19"/>
  <c r="F13" i="19"/>
  <c r="G11" i="15"/>
  <c r="G12" i="19"/>
  <c r="G13" i="19"/>
  <c r="C3" i="19"/>
  <c r="B3" i="19"/>
  <c r="C7" i="19"/>
  <c r="D3" i="19"/>
  <c r="D7" i="19"/>
  <c r="E3" i="19"/>
  <c r="E7" i="19"/>
  <c r="F3" i="19"/>
  <c r="F7" i="19"/>
  <c r="G3" i="19"/>
  <c r="G7" i="19"/>
  <c r="H11" i="15"/>
  <c r="H12" i="19"/>
  <c r="H13" i="19"/>
  <c r="H3" i="19"/>
  <c r="H7" i="19"/>
  <c r="I11" i="15"/>
  <c r="I12" i="19"/>
  <c r="I13" i="19"/>
  <c r="I3" i="19"/>
  <c r="I7" i="19"/>
  <c r="J11" i="15"/>
  <c r="J12" i="19"/>
  <c r="J13" i="19"/>
  <c r="J3" i="19"/>
  <c r="J7" i="19"/>
  <c r="K11" i="15"/>
  <c r="K12" i="19"/>
  <c r="K13" i="19"/>
  <c r="K3" i="19"/>
  <c r="K7" i="19"/>
  <c r="P7" i="19"/>
  <c r="C18" i="15"/>
  <c r="C4" i="19"/>
  <c r="C5" i="19"/>
  <c r="C6" i="19"/>
  <c r="D18" i="15"/>
  <c r="D4" i="19"/>
  <c r="D5" i="19"/>
  <c r="D6" i="19"/>
  <c r="E18" i="15"/>
  <c r="E4" i="19"/>
  <c r="E5" i="19"/>
  <c r="E6" i="19"/>
  <c r="F18" i="15"/>
  <c r="F4" i="19"/>
  <c r="F5" i="19"/>
  <c r="F6" i="19"/>
  <c r="G18" i="15"/>
  <c r="G4" i="19"/>
  <c r="G5" i="19"/>
  <c r="G6" i="19"/>
  <c r="H18" i="15"/>
  <c r="H4" i="19"/>
  <c r="H5" i="19"/>
  <c r="H6" i="19"/>
  <c r="I18" i="15"/>
  <c r="I4" i="19"/>
  <c r="I5" i="19"/>
  <c r="I6" i="19"/>
  <c r="J18" i="15"/>
  <c r="J4" i="19"/>
  <c r="J5" i="19"/>
  <c r="J6" i="19"/>
  <c r="K18" i="15"/>
  <c r="K4" i="19"/>
  <c r="K5" i="19"/>
  <c r="K6" i="19"/>
  <c r="P6" i="19"/>
  <c r="G22" i="15"/>
  <c r="H22" i="15"/>
  <c r="I22" i="15"/>
  <c r="J22" i="15"/>
  <c r="P5" i="19"/>
  <c r="G4" i="15"/>
  <c r="G36" i="5"/>
  <c r="H4" i="15"/>
  <c r="H36" i="5"/>
  <c r="I4" i="15"/>
  <c r="I36" i="5"/>
  <c r="J4" i="15"/>
  <c r="J36" i="5"/>
  <c r="K36" i="5"/>
  <c r="P4" i="19"/>
  <c r="B14" i="5"/>
  <c r="P3" i="19"/>
  <c r="B20" i="19"/>
  <c r="K14" i="19"/>
  <c r="J14" i="19"/>
  <c r="I14" i="19"/>
  <c r="H14" i="19"/>
  <c r="G14" i="19"/>
  <c r="F14" i="19"/>
  <c r="E14" i="19"/>
  <c r="D14" i="19"/>
  <c r="C14" i="19"/>
  <c r="K8" i="19"/>
  <c r="J8" i="19"/>
  <c r="I8" i="19"/>
  <c r="H8" i="19"/>
  <c r="G8" i="19"/>
  <c r="F8" i="19"/>
  <c r="E8" i="19"/>
  <c r="D8" i="19"/>
  <c r="C8" i="19"/>
  <c r="K2" i="19"/>
  <c r="J2" i="19"/>
  <c r="I2" i="19"/>
  <c r="H2" i="19"/>
  <c r="G2" i="19"/>
  <c r="F2" i="19"/>
  <c r="E2" i="19"/>
  <c r="D2" i="19"/>
  <c r="C2" i="19"/>
  <c r="B2" i="19"/>
  <c r="A1" i="19"/>
  <c r="K13" i="2"/>
  <c r="K7" i="2"/>
  <c r="K16" i="2"/>
  <c r="K26" i="2"/>
  <c r="J13" i="2"/>
  <c r="J7" i="2"/>
  <c r="J16" i="2"/>
  <c r="J26" i="2"/>
  <c r="I13" i="2"/>
  <c r="I7" i="2"/>
  <c r="I16" i="2"/>
  <c r="I26" i="2"/>
  <c r="H13" i="2"/>
  <c r="H7" i="2"/>
  <c r="H16" i="2"/>
  <c r="H26" i="2"/>
  <c r="G13" i="2"/>
  <c r="G7" i="2"/>
  <c r="G16" i="2"/>
  <c r="G26" i="2"/>
  <c r="F13" i="2"/>
  <c r="F7" i="2"/>
  <c r="F16" i="2"/>
  <c r="F26" i="2"/>
  <c r="E13" i="2"/>
  <c r="E7" i="2"/>
  <c r="E16" i="2"/>
  <c r="E26" i="2"/>
  <c r="D13" i="2"/>
  <c r="D7" i="2"/>
  <c r="D16" i="2"/>
  <c r="D26" i="2"/>
  <c r="C13" i="2"/>
  <c r="C7" i="2"/>
  <c r="C16" i="2"/>
  <c r="C26" i="2"/>
  <c r="B13" i="2"/>
  <c r="B7" i="2"/>
  <c r="B16" i="2"/>
  <c r="B26" i="2"/>
  <c r="L29" i="17"/>
  <c r="K2" i="17"/>
  <c r="K29" i="17"/>
  <c r="J2" i="17"/>
  <c r="J29" i="17"/>
  <c r="I2" i="17"/>
  <c r="I29" i="17"/>
  <c r="H2" i="17"/>
  <c r="H29" i="17"/>
  <c r="G2" i="17"/>
  <c r="G29" i="17"/>
  <c r="F2" i="17"/>
  <c r="F29" i="17"/>
  <c r="E2" i="17"/>
  <c r="E29" i="17"/>
  <c r="D2" i="17"/>
  <c r="D29" i="17"/>
  <c r="C2" i="17"/>
  <c r="C29" i="17"/>
  <c r="B2" i="17"/>
  <c r="B29" i="17"/>
  <c r="L3" i="17"/>
  <c r="I3" i="17"/>
  <c r="L4" i="17"/>
  <c r="I10" i="1"/>
  <c r="I9" i="1"/>
  <c r="I4" i="17"/>
  <c r="L10" i="17"/>
  <c r="L9" i="17"/>
  <c r="L13" i="17"/>
  <c r="K3" i="17"/>
  <c r="H3" i="17"/>
  <c r="K10" i="1"/>
  <c r="K9" i="1"/>
  <c r="K4" i="17"/>
  <c r="H10" i="1"/>
  <c r="H9" i="1"/>
  <c r="H4" i="17"/>
  <c r="K10" i="17"/>
  <c r="K9" i="17"/>
  <c r="K13" i="17"/>
  <c r="J3" i="17"/>
  <c r="G3" i="17"/>
  <c r="J10" i="1"/>
  <c r="J9" i="1"/>
  <c r="J4" i="17"/>
  <c r="G10" i="1"/>
  <c r="G9" i="1"/>
  <c r="G4" i="17"/>
  <c r="J10" i="17"/>
  <c r="J9" i="17"/>
  <c r="J13" i="17"/>
  <c r="F3" i="17"/>
  <c r="F10" i="1"/>
  <c r="F9" i="1"/>
  <c r="F4" i="17"/>
  <c r="I10" i="17"/>
  <c r="I9" i="17"/>
  <c r="I13" i="17"/>
  <c r="E3" i="17"/>
  <c r="E10" i="1"/>
  <c r="E9" i="1"/>
  <c r="E4" i="17"/>
  <c r="H10" i="17"/>
  <c r="H9" i="17"/>
  <c r="H13" i="17"/>
  <c r="D3" i="17"/>
  <c r="D10" i="1"/>
  <c r="D9" i="1"/>
  <c r="D4" i="17"/>
  <c r="G10" i="17"/>
  <c r="G9" i="17"/>
  <c r="G13" i="17"/>
  <c r="C3" i="17"/>
  <c r="C10" i="1"/>
  <c r="C9" i="1"/>
  <c r="C4" i="17"/>
  <c r="F10" i="17"/>
  <c r="F9" i="17"/>
  <c r="F13" i="17"/>
  <c r="B3" i="17"/>
  <c r="B10" i="1"/>
  <c r="B9" i="1"/>
  <c r="B4" i="17"/>
  <c r="E10" i="17"/>
  <c r="E9" i="17"/>
  <c r="E13" i="17"/>
  <c r="K14" i="17"/>
  <c r="K30" i="17"/>
  <c r="K31" i="17"/>
  <c r="K32" i="17"/>
  <c r="K33" i="17"/>
  <c r="K34" i="17"/>
  <c r="J14" i="17"/>
  <c r="J30" i="17"/>
  <c r="J31" i="17"/>
  <c r="J32" i="17"/>
  <c r="J33" i="17"/>
  <c r="J34" i="17"/>
  <c r="I14" i="17"/>
  <c r="I30" i="17"/>
  <c r="I31" i="17"/>
  <c r="I32" i="17"/>
  <c r="I33" i="17"/>
  <c r="I34" i="17"/>
  <c r="H14" i="17"/>
  <c r="H30" i="17"/>
  <c r="H31" i="17"/>
  <c r="H32" i="17"/>
  <c r="H33" i="17"/>
  <c r="H34" i="17"/>
  <c r="G14" i="17"/>
  <c r="G30" i="17"/>
  <c r="G31" i="17"/>
  <c r="G32" i="17"/>
  <c r="G33" i="17"/>
  <c r="G34" i="17"/>
  <c r="F14" i="17"/>
  <c r="F30" i="17"/>
  <c r="F31" i="17"/>
  <c r="F22" i="15"/>
  <c r="F32" i="17"/>
  <c r="F33" i="17"/>
  <c r="F34" i="17"/>
  <c r="E14" i="17"/>
  <c r="E30" i="17"/>
  <c r="E31" i="17"/>
  <c r="E22" i="15"/>
  <c r="E32" i="17"/>
  <c r="E33" i="17"/>
  <c r="E34" i="17"/>
  <c r="D14" i="17"/>
  <c r="D30" i="17"/>
  <c r="D31" i="17"/>
  <c r="D22" i="15"/>
  <c r="D32" i="17"/>
  <c r="D33" i="17"/>
  <c r="D34" i="17"/>
  <c r="C14" i="17"/>
  <c r="C30" i="17"/>
  <c r="C31" i="17"/>
  <c r="C22" i="15"/>
  <c r="C32" i="17"/>
  <c r="C33" i="17"/>
  <c r="C34" i="17"/>
  <c r="K93" i="6"/>
  <c r="K33" i="15"/>
  <c r="I93" i="6"/>
  <c r="I33" i="15"/>
  <c r="K46" i="5"/>
  <c r="J93" i="6"/>
  <c r="J33" i="15"/>
  <c r="H93" i="6"/>
  <c r="H33" i="15"/>
  <c r="J46" i="5"/>
  <c r="G93" i="6"/>
  <c r="G33" i="15"/>
  <c r="I46" i="5"/>
  <c r="F93" i="6"/>
  <c r="F33" i="15"/>
  <c r="H46" i="5"/>
  <c r="E93" i="6"/>
  <c r="E33" i="15"/>
  <c r="G46" i="5"/>
  <c r="D93" i="6"/>
  <c r="D33" i="15"/>
  <c r="F46" i="5"/>
  <c r="C93" i="6"/>
  <c r="C33" i="15"/>
  <c r="E46" i="5"/>
  <c r="B93" i="6"/>
  <c r="B33" i="15"/>
  <c r="D46" i="5"/>
  <c r="K45" i="5"/>
  <c r="J45" i="5"/>
  <c r="I45" i="5"/>
  <c r="H45" i="5"/>
  <c r="G45" i="5"/>
  <c r="F45" i="5"/>
  <c r="K13" i="15"/>
  <c r="K24" i="15"/>
  <c r="K26" i="15"/>
  <c r="K42" i="5"/>
  <c r="I13" i="15"/>
  <c r="I24" i="15"/>
  <c r="I26" i="15"/>
  <c r="I42" i="5"/>
  <c r="K44" i="5"/>
  <c r="J13" i="15"/>
  <c r="J24" i="15"/>
  <c r="J26" i="15"/>
  <c r="J42" i="5"/>
  <c r="H13" i="15"/>
  <c r="H24" i="15"/>
  <c r="H26" i="15"/>
  <c r="H42" i="5"/>
  <c r="J44" i="5"/>
  <c r="G13" i="15"/>
  <c r="G24" i="15"/>
  <c r="G26" i="15"/>
  <c r="G42" i="5"/>
  <c r="I44" i="5"/>
  <c r="F13" i="15"/>
  <c r="F4" i="15"/>
  <c r="F24" i="15"/>
  <c r="F26" i="15"/>
  <c r="F42" i="5"/>
  <c r="H44" i="5"/>
  <c r="E13" i="15"/>
  <c r="E4" i="15"/>
  <c r="E24" i="15"/>
  <c r="E26" i="15"/>
  <c r="E42" i="5"/>
  <c r="G44" i="5"/>
  <c r="D13" i="15"/>
  <c r="D4" i="15"/>
  <c r="D24" i="15"/>
  <c r="D26" i="15"/>
  <c r="D42" i="5"/>
  <c r="F44" i="5"/>
  <c r="C13" i="15"/>
  <c r="C4" i="15"/>
  <c r="C24" i="15"/>
  <c r="C26" i="15"/>
  <c r="C42" i="5"/>
  <c r="E44" i="5"/>
  <c r="B13" i="15"/>
  <c r="B4" i="15"/>
  <c r="B22" i="15"/>
  <c r="B24" i="15"/>
  <c r="B26" i="15"/>
  <c r="B42" i="5"/>
  <c r="D44" i="5"/>
  <c r="K43" i="5"/>
  <c r="J43" i="5"/>
  <c r="I43" i="5"/>
  <c r="H43" i="5"/>
  <c r="G43" i="5"/>
  <c r="F43" i="5"/>
  <c r="H8" i="3"/>
  <c r="I8" i="3"/>
  <c r="J8" i="3"/>
  <c r="K8" i="3"/>
  <c r="L8" i="1"/>
  <c r="L18" i="1"/>
  <c r="H7" i="3"/>
  <c r="I7" i="3"/>
  <c r="J7" i="3"/>
  <c r="K7" i="3"/>
  <c r="L7" i="1"/>
  <c r="L19" i="1"/>
  <c r="L6" i="15"/>
  <c r="L5" i="15"/>
  <c r="K17" i="1"/>
  <c r="K8" i="1"/>
  <c r="K18" i="1"/>
  <c r="K7" i="1"/>
  <c r="K19" i="1"/>
  <c r="J17" i="1"/>
  <c r="J8" i="1"/>
  <c r="J18" i="1"/>
  <c r="J7" i="1"/>
  <c r="J19" i="1"/>
  <c r="I17" i="1"/>
  <c r="I8" i="1"/>
  <c r="I18" i="1"/>
  <c r="I7" i="1"/>
  <c r="I19" i="1"/>
  <c r="H17" i="1"/>
  <c r="H8" i="1"/>
  <c r="H18" i="1"/>
  <c r="H7" i="1"/>
  <c r="H19" i="1"/>
  <c r="G17" i="1"/>
  <c r="G8" i="1"/>
  <c r="G18" i="1"/>
  <c r="G7" i="1"/>
  <c r="G19" i="1"/>
  <c r="F17" i="1"/>
  <c r="F8" i="1"/>
  <c r="F18" i="1"/>
  <c r="F7" i="1"/>
  <c r="F19" i="1"/>
  <c r="E17" i="1"/>
  <c r="E8" i="1"/>
  <c r="E18" i="1"/>
  <c r="E7" i="1"/>
  <c r="E19" i="1"/>
  <c r="D17" i="1"/>
  <c r="D8" i="1"/>
  <c r="D18" i="1"/>
  <c r="D7" i="1"/>
  <c r="D19" i="1"/>
  <c r="C17" i="1"/>
  <c r="C8" i="1"/>
  <c r="C18" i="1"/>
  <c r="C7" i="1"/>
  <c r="C19" i="1"/>
  <c r="B17" i="1"/>
  <c r="B8" i="1"/>
  <c r="B18" i="1"/>
  <c r="B7" i="1"/>
  <c r="B19" i="1"/>
  <c r="A1" i="16"/>
  <c r="L15" i="15"/>
  <c r="L16" i="2"/>
  <c r="L13" i="15"/>
  <c r="L11" i="15"/>
  <c r="L14" i="2"/>
  <c r="L6" i="2"/>
  <c r="B19" i="18"/>
  <c r="H12" i="3"/>
  <c r="I12" i="3"/>
  <c r="J12" i="3"/>
  <c r="K12" i="3"/>
  <c r="L12" i="1"/>
  <c r="L13" i="1"/>
  <c r="K12" i="1"/>
  <c r="K13" i="1"/>
  <c r="B26" i="18"/>
  <c r="K8" i="2"/>
  <c r="K42" i="2"/>
  <c r="J34" i="2"/>
  <c r="J8" i="2"/>
  <c r="J42" i="2"/>
  <c r="I34" i="2"/>
  <c r="I8" i="2"/>
  <c r="I42" i="2"/>
  <c r="H34" i="2"/>
  <c r="H8" i="2"/>
  <c r="H42" i="2"/>
  <c r="G34" i="2"/>
  <c r="G8" i="2"/>
  <c r="G42" i="2"/>
  <c r="F34" i="2"/>
  <c r="F8" i="2"/>
  <c r="F42" i="2"/>
  <c r="E34" i="2"/>
  <c r="E8" i="2"/>
  <c r="E42" i="2"/>
  <c r="D34" i="2"/>
  <c r="D8" i="2"/>
  <c r="D42" i="2"/>
  <c r="C34" i="2"/>
  <c r="C8" i="2"/>
  <c r="C42" i="2"/>
  <c r="B34" i="2"/>
  <c r="B8" i="2"/>
  <c r="B42" i="2"/>
  <c r="K35" i="2"/>
  <c r="J35" i="2"/>
  <c r="I35" i="2"/>
  <c r="H35" i="2"/>
  <c r="G35" i="2"/>
  <c r="F35" i="2"/>
  <c r="E35" i="2"/>
  <c r="D35" i="2"/>
  <c r="C35" i="2"/>
  <c r="B35" i="2"/>
  <c r="A3" i="16"/>
  <c r="B3" i="16"/>
  <c r="C3" i="16"/>
  <c r="D3" i="16"/>
  <c r="E3" i="16"/>
  <c r="F3" i="16"/>
  <c r="G3" i="16"/>
  <c r="H3" i="16"/>
  <c r="I3" i="16"/>
  <c r="J3" i="16"/>
  <c r="K3" i="16"/>
  <c r="C2" i="16"/>
  <c r="B2" i="16"/>
  <c r="C4" i="16"/>
  <c r="D2" i="16"/>
  <c r="D4" i="16"/>
  <c r="E2" i="16"/>
  <c r="E4" i="16"/>
  <c r="F2" i="16"/>
  <c r="F4" i="16"/>
  <c r="G2" i="16"/>
  <c r="G4" i="16"/>
  <c r="H2" i="16"/>
  <c r="H4" i="16"/>
  <c r="I2" i="16"/>
  <c r="I4" i="16"/>
  <c r="J2" i="16"/>
  <c r="J4" i="16"/>
  <c r="K2" i="16"/>
  <c r="K4" i="16"/>
  <c r="A2" i="16"/>
  <c r="B5" i="16"/>
  <c r="C5" i="16"/>
  <c r="D5" i="16"/>
  <c r="E5" i="16"/>
  <c r="F5" i="16"/>
  <c r="G5" i="16"/>
  <c r="H5" i="16"/>
  <c r="I5" i="16"/>
  <c r="J5" i="16"/>
  <c r="K5" i="16"/>
  <c r="C6" i="16"/>
  <c r="D6" i="16"/>
  <c r="E6" i="16"/>
  <c r="F6" i="16"/>
  <c r="G6" i="16"/>
  <c r="H6" i="16"/>
  <c r="I6" i="16"/>
  <c r="J6" i="16"/>
  <c r="K6" i="16"/>
  <c r="B7" i="16"/>
  <c r="B1" i="16"/>
  <c r="C7" i="16"/>
  <c r="C1" i="16"/>
  <c r="D7" i="16"/>
  <c r="D1" i="16"/>
  <c r="E7" i="16"/>
  <c r="E1" i="16"/>
  <c r="F7" i="16"/>
  <c r="F1" i="16"/>
  <c r="G7" i="16"/>
  <c r="G1" i="16"/>
  <c r="H7" i="16"/>
  <c r="H1" i="16"/>
  <c r="I7" i="16"/>
  <c r="I1" i="16"/>
  <c r="J7" i="16"/>
  <c r="J1" i="16"/>
  <c r="K7" i="16"/>
  <c r="K1" i="16"/>
  <c r="B37" i="18"/>
  <c r="K4" i="2"/>
  <c r="K5" i="2"/>
  <c r="K31" i="2"/>
  <c r="K32" i="2"/>
  <c r="B6" i="18"/>
  <c r="E18" i="18"/>
  <c r="B4" i="18"/>
  <c r="F18" i="18"/>
  <c r="K22" i="1"/>
  <c r="B5" i="18"/>
  <c r="G18" i="18"/>
  <c r="E19" i="18"/>
  <c r="F19" i="18"/>
  <c r="G19" i="18"/>
  <c r="E20" i="18"/>
  <c r="F20" i="18"/>
  <c r="G20" i="18"/>
  <c r="E21" i="18"/>
  <c r="F21" i="18"/>
  <c r="G21" i="18"/>
  <c r="E22" i="18"/>
  <c r="F22" i="18"/>
  <c r="G22" i="18"/>
  <c r="E23" i="18"/>
  <c r="F23" i="18"/>
  <c r="G23" i="18"/>
  <c r="E24" i="18"/>
  <c r="F24" i="18"/>
  <c r="G24" i="18"/>
  <c r="E25" i="18"/>
  <c r="F25" i="18"/>
  <c r="G25" i="18"/>
  <c r="E26" i="18"/>
  <c r="F26" i="18"/>
  <c r="G26" i="18"/>
  <c r="E27" i="18"/>
  <c r="F27" i="18"/>
  <c r="G27" i="18"/>
  <c r="E28" i="18"/>
  <c r="F28" i="18"/>
  <c r="H18" i="18"/>
  <c r="H21" i="18"/>
  <c r="E4" i="18"/>
  <c r="E5" i="18"/>
  <c r="E6" i="18"/>
  <c r="E7" i="18"/>
  <c r="E8" i="18"/>
  <c r="E9" i="18"/>
  <c r="E10" i="18"/>
  <c r="E11" i="18"/>
  <c r="E12" i="18"/>
  <c r="E13" i="18"/>
  <c r="E14" i="18"/>
  <c r="F14" i="18"/>
  <c r="F13" i="18"/>
  <c r="F12" i="18"/>
  <c r="F11" i="18"/>
  <c r="F10" i="18"/>
  <c r="F9" i="18"/>
  <c r="F8" i="18"/>
  <c r="F7" i="18"/>
  <c r="F6" i="18"/>
  <c r="F5" i="18"/>
  <c r="G28" i="18"/>
  <c r="G38" i="15"/>
  <c r="H38" i="15"/>
  <c r="I38" i="15"/>
  <c r="J38" i="15"/>
  <c r="K38" i="15"/>
  <c r="G10" i="15"/>
  <c r="G39" i="15"/>
  <c r="H10" i="15"/>
  <c r="H39" i="15"/>
  <c r="I10" i="15"/>
  <c r="I39" i="15"/>
  <c r="J10" i="15"/>
  <c r="J39" i="15"/>
  <c r="K10" i="15"/>
  <c r="K39" i="15"/>
  <c r="B32" i="18"/>
  <c r="B31" i="18"/>
  <c r="B30" i="18"/>
  <c r="G23" i="1"/>
  <c r="H23" i="1"/>
  <c r="I23" i="1"/>
  <c r="J23" i="1"/>
  <c r="K23" i="1"/>
  <c r="B29" i="18"/>
  <c r="G7" i="15"/>
  <c r="G39" i="5"/>
  <c r="G15" i="15"/>
  <c r="G51" i="5"/>
  <c r="G19" i="5"/>
  <c r="G53" i="5"/>
  <c r="H7" i="15"/>
  <c r="H39" i="5"/>
  <c r="H15" i="15"/>
  <c r="H51" i="5"/>
  <c r="H19" i="5"/>
  <c r="H53" i="5"/>
  <c r="I7" i="15"/>
  <c r="I39" i="5"/>
  <c r="I15" i="15"/>
  <c r="I51" i="5"/>
  <c r="I19" i="5"/>
  <c r="I53" i="5"/>
  <c r="J7" i="15"/>
  <c r="J39" i="5"/>
  <c r="J15" i="15"/>
  <c r="J51" i="5"/>
  <c r="J19" i="5"/>
  <c r="J53" i="5"/>
  <c r="K7" i="15"/>
  <c r="K39" i="5"/>
  <c r="K15" i="15"/>
  <c r="K51" i="5"/>
  <c r="K19" i="5"/>
  <c r="K53" i="5"/>
  <c r="B28" i="18"/>
  <c r="P4" i="18"/>
  <c r="P5" i="18"/>
  <c r="P6" i="18"/>
  <c r="P7" i="18"/>
  <c r="P8" i="18"/>
  <c r="P9" i="18"/>
  <c r="P10" i="18"/>
  <c r="P11" i="18"/>
  <c r="P12" i="18"/>
  <c r="P13" i="18"/>
  <c r="P14" i="18"/>
  <c r="B18" i="18"/>
  <c r="B17" i="18"/>
  <c r="B16" i="18"/>
  <c r="B15" i="18"/>
  <c r="B12" i="1"/>
  <c r="B13" i="1"/>
  <c r="B22" i="18"/>
  <c r="G12" i="1"/>
  <c r="G13" i="1"/>
  <c r="B23" i="18"/>
  <c r="I12" i="1"/>
  <c r="I13" i="1"/>
  <c r="B24" i="18"/>
  <c r="H4" i="18"/>
  <c r="H7" i="18"/>
  <c r="J12" i="1"/>
  <c r="J13" i="1"/>
  <c r="B25" i="18"/>
  <c r="L31" i="2"/>
  <c r="L32" i="2"/>
  <c r="J4" i="2"/>
  <c r="J5" i="2"/>
  <c r="J31" i="2"/>
  <c r="J32" i="2"/>
  <c r="I4" i="2"/>
  <c r="I5" i="2"/>
  <c r="I31" i="2"/>
  <c r="I32" i="2"/>
  <c r="H4" i="2"/>
  <c r="H5" i="2"/>
  <c r="H31" i="2"/>
  <c r="H32" i="2"/>
  <c r="G4" i="2"/>
  <c r="G5" i="2"/>
  <c r="G31" i="2"/>
  <c r="G32" i="2"/>
  <c r="F4" i="2"/>
  <c r="F5" i="2"/>
  <c r="F31" i="2"/>
  <c r="F32" i="2"/>
  <c r="E4" i="2"/>
  <c r="E5" i="2"/>
  <c r="E31" i="2"/>
  <c r="E32" i="2"/>
  <c r="D4" i="2"/>
  <c r="D5" i="2"/>
  <c r="D31" i="2"/>
  <c r="D32" i="2"/>
  <c r="C4" i="2"/>
  <c r="C5" i="2"/>
  <c r="C31" i="2"/>
  <c r="C32" i="2"/>
  <c r="B4" i="2"/>
  <c r="B5" i="2"/>
  <c r="B31" i="2"/>
  <c r="B32" i="2"/>
  <c r="J22" i="1"/>
  <c r="I22" i="1"/>
  <c r="H22" i="1"/>
  <c r="G22" i="1"/>
  <c r="F22" i="1"/>
  <c r="E22" i="1"/>
  <c r="D22" i="1"/>
  <c r="C22" i="1"/>
  <c r="B22" i="1"/>
  <c r="B3" i="18"/>
  <c r="A1" i="18"/>
  <c r="H19" i="18"/>
  <c r="H22" i="18"/>
  <c r="H24" i="18"/>
  <c r="H5" i="18"/>
  <c r="H8" i="18"/>
  <c r="H10" i="18"/>
  <c r="F4" i="18"/>
  <c r="B10" i="18"/>
  <c r="B9" i="18"/>
  <c r="B8" i="18"/>
  <c r="B7" i="18"/>
  <c r="K21" i="15"/>
  <c r="K20" i="15"/>
  <c r="K31" i="15"/>
  <c r="K21" i="17"/>
  <c r="J21" i="15"/>
  <c r="J20" i="15"/>
  <c r="J31" i="15"/>
  <c r="J21" i="17"/>
  <c r="I21" i="15"/>
  <c r="I20" i="15"/>
  <c r="I31" i="15"/>
  <c r="I21" i="17"/>
  <c r="H21" i="15"/>
  <c r="H20" i="15"/>
  <c r="H31" i="15"/>
  <c r="H21" i="17"/>
  <c r="G21" i="15"/>
  <c r="G20" i="15"/>
  <c r="G31" i="15"/>
  <c r="G21" i="17"/>
  <c r="F23" i="1"/>
  <c r="F21" i="15"/>
  <c r="F7" i="15"/>
  <c r="F39" i="5"/>
  <c r="F15" i="15"/>
  <c r="F51" i="5"/>
  <c r="F10" i="15"/>
  <c r="F19" i="5"/>
  <c r="F53" i="5"/>
  <c r="F20" i="15"/>
  <c r="F31" i="15"/>
  <c r="F21" i="17"/>
  <c r="E23" i="1"/>
  <c r="E21" i="15"/>
  <c r="E7" i="15"/>
  <c r="E39" i="5"/>
  <c r="E15" i="15"/>
  <c r="E51" i="5"/>
  <c r="E10" i="15"/>
  <c r="E19" i="5"/>
  <c r="E53" i="5"/>
  <c r="E20" i="15"/>
  <c r="E31" i="15"/>
  <c r="E21" i="17"/>
  <c r="D23" i="1"/>
  <c r="D21" i="15"/>
  <c r="D7" i="15"/>
  <c r="D39" i="5"/>
  <c r="D15" i="15"/>
  <c r="D51" i="5"/>
  <c r="D10" i="15"/>
  <c r="D19" i="5"/>
  <c r="D53" i="5"/>
  <c r="D20" i="15"/>
  <c r="D31" i="15"/>
  <c r="D21" i="17"/>
  <c r="C23" i="1"/>
  <c r="C21" i="15"/>
  <c r="C7" i="15"/>
  <c r="C39" i="5"/>
  <c r="C15" i="15"/>
  <c r="C51" i="5"/>
  <c r="C10" i="15"/>
  <c r="C19" i="5"/>
  <c r="C53" i="5"/>
  <c r="C20" i="15"/>
  <c r="C31" i="15"/>
  <c r="C21" i="17"/>
  <c r="B23" i="1"/>
  <c r="B21" i="15"/>
  <c r="B7" i="15"/>
  <c r="B39" i="5"/>
  <c r="B15" i="15"/>
  <c r="B51" i="5"/>
  <c r="B10" i="15"/>
  <c r="B19" i="5"/>
  <c r="B53" i="5"/>
  <c r="B20" i="15"/>
  <c r="B31" i="15"/>
  <c r="B21" i="17"/>
  <c r="L25" i="2"/>
  <c r="L24" i="2"/>
  <c r="L21" i="2"/>
  <c r="K38" i="16"/>
  <c r="J38" i="16"/>
  <c r="I38" i="16"/>
  <c r="H38" i="16"/>
  <c r="G38" i="16"/>
  <c r="F38" i="16"/>
  <c r="E38" i="16"/>
  <c r="D38" i="16"/>
  <c r="C38" i="16"/>
  <c r="M14" i="2"/>
  <c r="K24" i="2"/>
  <c r="K18" i="2"/>
  <c r="K22" i="2"/>
  <c r="K17" i="2"/>
  <c r="K23" i="2"/>
  <c r="K25" i="2"/>
  <c r="J24" i="2"/>
  <c r="J18" i="2"/>
  <c r="J22" i="2"/>
  <c r="J17" i="2"/>
  <c r="J23" i="2"/>
  <c r="J25" i="2"/>
  <c r="I24" i="2"/>
  <c r="I18" i="2"/>
  <c r="I22" i="2"/>
  <c r="I17" i="2"/>
  <c r="I23" i="2"/>
  <c r="I25" i="2"/>
  <c r="H24" i="2"/>
  <c r="H18" i="2"/>
  <c r="H22" i="2"/>
  <c r="H17" i="2"/>
  <c r="H23" i="2"/>
  <c r="H25" i="2"/>
  <c r="G24" i="2"/>
  <c r="G18" i="2"/>
  <c r="G22" i="2"/>
  <c r="G17" i="2"/>
  <c r="G23" i="2"/>
  <c r="G25" i="2"/>
  <c r="F24" i="2"/>
  <c r="F18" i="2"/>
  <c r="F22" i="2"/>
  <c r="F17" i="2"/>
  <c r="F23" i="2"/>
  <c r="F25" i="2"/>
  <c r="E24" i="2"/>
  <c r="E18" i="2"/>
  <c r="E22" i="2"/>
  <c r="E17" i="2"/>
  <c r="E23" i="2"/>
  <c r="E25" i="2"/>
  <c r="D25" i="2"/>
  <c r="C25" i="2"/>
  <c r="B25" i="2"/>
  <c r="D24" i="2"/>
  <c r="C24" i="2"/>
  <c r="B24" i="2"/>
  <c r="K8" i="17"/>
  <c r="K7" i="17"/>
  <c r="K12" i="17"/>
  <c r="J8" i="17"/>
  <c r="J7" i="17"/>
  <c r="J12" i="17"/>
  <c r="I8" i="17"/>
  <c r="I7" i="17"/>
  <c r="I12" i="17"/>
  <c r="H8" i="17"/>
  <c r="H7" i="17"/>
  <c r="H12" i="17"/>
  <c r="G8" i="17"/>
  <c r="G7" i="17"/>
  <c r="G12" i="17"/>
  <c r="F8" i="17"/>
  <c r="F7" i="17"/>
  <c r="F12" i="17"/>
  <c r="E8" i="17"/>
  <c r="E7" i="17"/>
  <c r="E12" i="17"/>
  <c r="D8" i="17"/>
  <c r="D7" i="17"/>
  <c r="D12" i="17"/>
  <c r="C8" i="17"/>
  <c r="C7" i="17"/>
  <c r="C12" i="17"/>
  <c r="L8" i="17"/>
  <c r="L7" i="17"/>
  <c r="L12" i="17"/>
  <c r="K15" i="16"/>
  <c r="K24" i="16"/>
  <c r="J15" i="16"/>
  <c r="J24" i="16"/>
  <c r="I15" i="16"/>
  <c r="I24" i="16"/>
  <c r="H15" i="16"/>
  <c r="H24" i="16"/>
  <c r="G15" i="16"/>
  <c r="G24" i="16"/>
  <c r="F15" i="16"/>
  <c r="F24" i="16"/>
  <c r="E15" i="16"/>
  <c r="E24" i="16"/>
  <c r="D15" i="16"/>
  <c r="D24" i="16"/>
  <c r="C15" i="16"/>
  <c r="C24" i="16"/>
  <c r="B15" i="16"/>
  <c r="B24" i="16"/>
  <c r="L10" i="15"/>
  <c r="L15" i="17"/>
  <c r="L16" i="17"/>
  <c r="L14" i="17"/>
  <c r="L55" i="5"/>
  <c r="L7" i="15"/>
  <c r="L39" i="5"/>
  <c r="L51" i="5"/>
  <c r="L52" i="5"/>
  <c r="L19" i="5"/>
  <c r="L53" i="5"/>
  <c r="H6" i="3"/>
  <c r="I6" i="3"/>
  <c r="J6" i="3"/>
  <c r="K6" i="3"/>
  <c r="L6" i="1"/>
  <c r="L5" i="17"/>
  <c r="K19" i="17"/>
  <c r="K20" i="17"/>
  <c r="J19" i="17"/>
  <c r="J20" i="17"/>
  <c r="I19" i="17"/>
  <c r="I20" i="17"/>
  <c r="H19" i="17"/>
  <c r="H20" i="17"/>
  <c r="G19" i="17"/>
  <c r="G20" i="17"/>
  <c r="F19" i="17"/>
  <c r="F20" i="17"/>
  <c r="E19" i="17"/>
  <c r="E20" i="17"/>
  <c r="D19" i="17"/>
  <c r="D20" i="17"/>
  <c r="C19" i="17"/>
  <c r="C20" i="17"/>
  <c r="B19" i="17"/>
  <c r="B20" i="17"/>
  <c r="K17" i="17"/>
  <c r="J17" i="17"/>
  <c r="I17" i="17"/>
  <c r="H17" i="17"/>
  <c r="G17" i="17"/>
  <c r="F17" i="17"/>
  <c r="E17" i="17"/>
  <c r="D17" i="17"/>
  <c r="C17" i="17"/>
  <c r="B17" i="17"/>
  <c r="K15" i="17"/>
  <c r="K16" i="17"/>
  <c r="J15" i="17"/>
  <c r="J16" i="17"/>
  <c r="I15" i="17"/>
  <c r="I16" i="17"/>
  <c r="H15" i="17"/>
  <c r="H16" i="17"/>
  <c r="G15" i="17"/>
  <c r="G16" i="17"/>
  <c r="F15" i="17"/>
  <c r="F16" i="17"/>
  <c r="E15" i="17"/>
  <c r="E16" i="17"/>
  <c r="D15" i="17"/>
  <c r="D16" i="17"/>
  <c r="C15" i="17"/>
  <c r="C16" i="17"/>
  <c r="B15" i="17"/>
  <c r="B16" i="17"/>
  <c r="K5" i="15"/>
  <c r="K6" i="15"/>
  <c r="K5" i="17"/>
  <c r="J5" i="15"/>
  <c r="J6" i="15"/>
  <c r="J5" i="17"/>
  <c r="I5" i="15"/>
  <c r="I6" i="15"/>
  <c r="I5" i="17"/>
  <c r="H5" i="15"/>
  <c r="H6" i="15"/>
  <c r="H5" i="17"/>
  <c r="G5" i="15"/>
  <c r="G6" i="15"/>
  <c r="G5" i="17"/>
  <c r="F5" i="15"/>
  <c r="F6" i="15"/>
  <c r="F5" i="17"/>
  <c r="E5" i="15"/>
  <c r="E6" i="15"/>
  <c r="E5" i="17"/>
  <c r="D5" i="15"/>
  <c r="D6" i="15"/>
  <c r="D5" i="17"/>
  <c r="C5" i="15"/>
  <c r="C6" i="15"/>
  <c r="C5" i="17"/>
  <c r="B5" i="15"/>
  <c r="B6" i="15"/>
  <c r="B5" i="17"/>
  <c r="B14" i="17"/>
  <c r="L17" i="17"/>
  <c r="L19" i="17"/>
  <c r="L20" i="17"/>
  <c r="L28" i="2"/>
  <c r="L23" i="2"/>
  <c r="L22" i="2"/>
  <c r="H5" i="3"/>
  <c r="I5" i="3"/>
  <c r="J5" i="3"/>
  <c r="K5" i="3"/>
  <c r="L5" i="1"/>
  <c r="L6" i="17"/>
  <c r="K6" i="17"/>
  <c r="J6" i="17"/>
  <c r="I6" i="17"/>
  <c r="H6" i="17"/>
  <c r="G6" i="17"/>
  <c r="F6" i="17"/>
  <c r="E6" i="17"/>
  <c r="D6" i="17"/>
  <c r="C6" i="17"/>
  <c r="B6" i="17"/>
  <c r="K26" i="17"/>
  <c r="K24" i="17"/>
  <c r="K28" i="17"/>
  <c r="J26" i="17"/>
  <c r="J24" i="17"/>
  <c r="J28" i="17"/>
  <c r="I26" i="17"/>
  <c r="I24" i="17"/>
  <c r="I28" i="17"/>
  <c r="H26" i="17"/>
  <c r="H24" i="17"/>
  <c r="H28" i="17"/>
  <c r="G6" i="3"/>
  <c r="G26" i="17"/>
  <c r="G24" i="17"/>
  <c r="G28" i="17"/>
  <c r="F6" i="3"/>
  <c r="F26" i="17"/>
  <c r="F24" i="17"/>
  <c r="F28" i="17"/>
  <c r="E6" i="3"/>
  <c r="E26" i="17"/>
  <c r="E24" i="17"/>
  <c r="E28" i="17"/>
  <c r="D6" i="3"/>
  <c r="D26" i="17"/>
  <c r="D24" i="17"/>
  <c r="D28" i="17"/>
  <c r="C6" i="3"/>
  <c r="C26" i="17"/>
  <c r="C24" i="17"/>
  <c r="C28" i="17"/>
  <c r="B6" i="3"/>
  <c r="B26" i="17"/>
  <c r="B24" i="17"/>
  <c r="B28" i="17"/>
  <c r="K16" i="3"/>
  <c r="K25" i="17"/>
  <c r="K27" i="17"/>
  <c r="J16" i="3"/>
  <c r="J25" i="17"/>
  <c r="J27" i="17"/>
  <c r="I16" i="3"/>
  <c r="I25" i="17"/>
  <c r="I27" i="17"/>
  <c r="H16" i="3"/>
  <c r="H25" i="17"/>
  <c r="H27" i="17"/>
  <c r="G10" i="3"/>
  <c r="G9" i="3"/>
  <c r="G16" i="3"/>
  <c r="G25" i="17"/>
  <c r="G27" i="17"/>
  <c r="F10" i="3"/>
  <c r="F9" i="3"/>
  <c r="F16" i="3"/>
  <c r="F25" i="17"/>
  <c r="F27" i="17"/>
  <c r="E10" i="3"/>
  <c r="E9" i="3"/>
  <c r="E16" i="3"/>
  <c r="E25" i="17"/>
  <c r="E27" i="17"/>
  <c r="D10" i="3"/>
  <c r="D9" i="3"/>
  <c r="D16" i="3"/>
  <c r="D25" i="17"/>
  <c r="D27" i="17"/>
  <c r="C10" i="3"/>
  <c r="C9" i="3"/>
  <c r="C16" i="3"/>
  <c r="C25" i="17"/>
  <c r="C27" i="17"/>
  <c r="B10" i="3"/>
  <c r="B9" i="3"/>
  <c r="B16" i="3"/>
  <c r="B25" i="17"/>
  <c r="B27" i="17"/>
  <c r="K17" i="3"/>
  <c r="J17" i="3"/>
  <c r="I17" i="3"/>
  <c r="H17" i="3"/>
  <c r="G8" i="3"/>
  <c r="G17" i="3"/>
  <c r="F8" i="3"/>
  <c r="F17" i="3"/>
  <c r="E8" i="3"/>
  <c r="E17" i="3"/>
  <c r="D8" i="3"/>
  <c r="D17" i="3"/>
  <c r="C8" i="3"/>
  <c r="C17" i="3"/>
  <c r="B8" i="3"/>
  <c r="B17" i="3"/>
  <c r="K23" i="17"/>
  <c r="J23" i="17"/>
  <c r="I23" i="17"/>
  <c r="H23" i="17"/>
  <c r="G23" i="17"/>
  <c r="F23" i="17"/>
  <c r="E23" i="17"/>
  <c r="D23" i="17"/>
  <c r="C23" i="17"/>
  <c r="B23" i="17"/>
  <c r="A2" i="17"/>
  <c r="A23" i="17"/>
  <c r="F23" i="15"/>
  <c r="K29" i="15"/>
  <c r="K58" i="5"/>
  <c r="K18" i="17"/>
  <c r="J23" i="15"/>
  <c r="E23" i="15"/>
  <c r="J29" i="15"/>
  <c r="J58" i="5"/>
  <c r="J18" i="17"/>
  <c r="I23" i="15"/>
  <c r="D23" i="15"/>
  <c r="I29" i="15"/>
  <c r="I58" i="5"/>
  <c r="I18" i="17"/>
  <c r="H23" i="15"/>
  <c r="C23" i="15"/>
  <c r="H29" i="15"/>
  <c r="H58" i="5"/>
  <c r="H18" i="17"/>
  <c r="G58" i="5"/>
  <c r="G18" i="17"/>
  <c r="F18" i="17"/>
  <c r="E18" i="17"/>
  <c r="D18" i="17"/>
  <c r="C18" i="17"/>
  <c r="B18" i="17"/>
  <c r="K41" i="16"/>
  <c r="J41" i="16"/>
  <c r="I41" i="16"/>
  <c r="H41" i="16"/>
  <c r="G41" i="16"/>
  <c r="F41" i="16"/>
  <c r="E41" i="16"/>
  <c r="D41" i="16"/>
  <c r="C41" i="16"/>
  <c r="K40" i="16"/>
  <c r="J40" i="16"/>
  <c r="I40" i="16"/>
  <c r="H40" i="16"/>
  <c r="G40" i="16"/>
  <c r="F40" i="16"/>
  <c r="E40" i="16"/>
  <c r="D40" i="16"/>
  <c r="C40" i="16"/>
  <c r="B40" i="16"/>
  <c r="K37" i="16"/>
  <c r="J37" i="16"/>
  <c r="I37" i="16"/>
  <c r="H37" i="16"/>
  <c r="G37" i="16"/>
  <c r="F37" i="16"/>
  <c r="D18" i="2"/>
  <c r="E37" i="16"/>
  <c r="C18" i="2"/>
  <c r="D37" i="16"/>
  <c r="B18" i="2"/>
  <c r="C37" i="16"/>
  <c r="K36" i="16"/>
  <c r="J36" i="16"/>
  <c r="I36" i="16"/>
  <c r="H36" i="16"/>
  <c r="G36" i="16"/>
  <c r="F36" i="16"/>
  <c r="D17" i="2"/>
  <c r="E36" i="16"/>
  <c r="C17" i="2"/>
  <c r="D36" i="16"/>
  <c r="B17" i="2"/>
  <c r="C36" i="16"/>
  <c r="K39" i="16"/>
  <c r="J39" i="16"/>
  <c r="I39" i="16"/>
  <c r="H39" i="16"/>
  <c r="G39" i="16"/>
  <c r="F39" i="16"/>
  <c r="E39" i="16"/>
  <c r="D39" i="16"/>
  <c r="C39" i="16"/>
  <c r="K35" i="16"/>
  <c r="J35" i="16"/>
  <c r="I35" i="16"/>
  <c r="H35" i="16"/>
  <c r="G35" i="16"/>
  <c r="F35" i="16"/>
  <c r="E35" i="16"/>
  <c r="D35" i="16"/>
  <c r="C35" i="16"/>
  <c r="K16" i="16"/>
  <c r="K26" i="16"/>
  <c r="K34" i="16"/>
  <c r="J16" i="16"/>
  <c r="J26" i="16"/>
  <c r="J34" i="16"/>
  <c r="I16" i="16"/>
  <c r="I26" i="16"/>
  <c r="I34" i="16"/>
  <c r="H16" i="16"/>
  <c r="H26" i="16"/>
  <c r="H34" i="16"/>
  <c r="G16" i="16"/>
  <c r="G26" i="16"/>
  <c r="G34" i="16"/>
  <c r="F16" i="16"/>
  <c r="F26" i="16"/>
  <c r="F34" i="16"/>
  <c r="E16" i="16"/>
  <c r="E26" i="16"/>
  <c r="E34" i="16"/>
  <c r="D16" i="16"/>
  <c r="D26" i="16"/>
  <c r="D34" i="16"/>
  <c r="C16" i="16"/>
  <c r="C26" i="16"/>
  <c r="C34" i="16"/>
  <c r="B16" i="16"/>
  <c r="B26" i="16"/>
  <c r="B34" i="16"/>
  <c r="K14" i="16"/>
  <c r="J14" i="16"/>
  <c r="K33" i="16"/>
  <c r="I14" i="16"/>
  <c r="J33" i="16"/>
  <c r="H14" i="16"/>
  <c r="I33" i="16"/>
  <c r="G14" i="16"/>
  <c r="H33" i="16"/>
  <c r="F14" i="16"/>
  <c r="G33" i="16"/>
  <c r="E14" i="16"/>
  <c r="F33" i="16"/>
  <c r="D14" i="16"/>
  <c r="E33" i="16"/>
  <c r="C14" i="16"/>
  <c r="D33" i="16"/>
  <c r="B14" i="16"/>
  <c r="C33" i="16"/>
  <c r="K13" i="16"/>
  <c r="J13" i="16"/>
  <c r="K32" i="16"/>
  <c r="I13" i="16"/>
  <c r="J32" i="16"/>
  <c r="H13" i="16"/>
  <c r="I32" i="16"/>
  <c r="G13" i="16"/>
  <c r="H32" i="16"/>
  <c r="F13" i="16"/>
  <c r="G32" i="16"/>
  <c r="E13" i="16"/>
  <c r="F32" i="16"/>
  <c r="D13" i="16"/>
  <c r="E32" i="16"/>
  <c r="C13" i="16"/>
  <c r="D32" i="16"/>
  <c r="B13" i="16"/>
  <c r="C32" i="16"/>
  <c r="K12" i="16"/>
  <c r="J12" i="16"/>
  <c r="K31" i="16"/>
  <c r="I12" i="16"/>
  <c r="J31" i="16"/>
  <c r="H12" i="16"/>
  <c r="I31" i="16"/>
  <c r="G12" i="16"/>
  <c r="H31" i="16"/>
  <c r="F12" i="16"/>
  <c r="G31" i="16"/>
  <c r="E12" i="16"/>
  <c r="F31" i="16"/>
  <c r="D12" i="16"/>
  <c r="E31" i="16"/>
  <c r="C12" i="16"/>
  <c r="D31" i="16"/>
  <c r="B12" i="16"/>
  <c r="C31" i="16"/>
  <c r="K11" i="16"/>
  <c r="J11" i="16"/>
  <c r="K30" i="16"/>
  <c r="I11" i="16"/>
  <c r="J30" i="16"/>
  <c r="H11" i="16"/>
  <c r="I30" i="16"/>
  <c r="G11" i="16"/>
  <c r="H30" i="16"/>
  <c r="F11" i="16"/>
  <c r="G30" i="16"/>
  <c r="E11" i="16"/>
  <c r="F30" i="16"/>
  <c r="D11" i="16"/>
  <c r="E30" i="16"/>
  <c r="C11" i="16"/>
  <c r="D30" i="16"/>
  <c r="B11" i="16"/>
  <c r="C30" i="16"/>
  <c r="K10" i="16"/>
  <c r="J10" i="16"/>
  <c r="K29" i="16"/>
  <c r="I10" i="16"/>
  <c r="J29" i="16"/>
  <c r="H10" i="16"/>
  <c r="I29" i="16"/>
  <c r="G10" i="16"/>
  <c r="H29" i="16"/>
  <c r="F10" i="16"/>
  <c r="G29" i="16"/>
  <c r="E10" i="16"/>
  <c r="F29" i="16"/>
  <c r="D10" i="16"/>
  <c r="E29" i="16"/>
  <c r="C10" i="16"/>
  <c r="D29" i="16"/>
  <c r="B10" i="16"/>
  <c r="C29" i="16"/>
  <c r="K9" i="16"/>
  <c r="J9" i="16"/>
  <c r="K28" i="16"/>
  <c r="I9" i="16"/>
  <c r="J28" i="16"/>
  <c r="H9" i="16"/>
  <c r="I28" i="16"/>
  <c r="G9" i="16"/>
  <c r="H28" i="16"/>
  <c r="F9" i="16"/>
  <c r="G28" i="16"/>
  <c r="E9" i="16"/>
  <c r="F28" i="16"/>
  <c r="D9" i="16"/>
  <c r="E28" i="16"/>
  <c r="C9" i="16"/>
  <c r="D28" i="16"/>
  <c r="B9" i="16"/>
  <c r="C28" i="16"/>
  <c r="K8" i="16"/>
  <c r="J8" i="16"/>
  <c r="K27" i="16"/>
  <c r="I8" i="16"/>
  <c r="J27" i="16"/>
  <c r="H8" i="16"/>
  <c r="I27" i="16"/>
  <c r="G8" i="16"/>
  <c r="H27" i="16"/>
  <c r="F8" i="16"/>
  <c r="G27" i="16"/>
  <c r="E8" i="16"/>
  <c r="F27" i="16"/>
  <c r="D8" i="16"/>
  <c r="E27" i="16"/>
  <c r="C8" i="16"/>
  <c r="D27" i="16"/>
  <c r="B8" i="16"/>
  <c r="C27" i="16"/>
  <c r="K23" i="16"/>
  <c r="J23" i="16"/>
  <c r="I23" i="16"/>
  <c r="H23" i="16"/>
  <c r="G23" i="16"/>
  <c r="F23" i="16"/>
  <c r="E23" i="16"/>
  <c r="D23" i="16"/>
  <c r="C23" i="16"/>
  <c r="B23" i="16"/>
  <c r="K22" i="16"/>
  <c r="J22" i="16"/>
  <c r="I22" i="16"/>
  <c r="H22" i="16"/>
  <c r="G22" i="16"/>
  <c r="F22" i="16"/>
  <c r="E22" i="16"/>
  <c r="D22" i="16"/>
  <c r="C22" i="16"/>
  <c r="B22" i="16"/>
  <c r="K21" i="16"/>
  <c r="J21" i="16"/>
  <c r="I21" i="16"/>
  <c r="H21" i="16"/>
  <c r="G21" i="16"/>
  <c r="F21" i="16"/>
  <c r="E21" i="16"/>
  <c r="D21" i="16"/>
  <c r="C21" i="16"/>
  <c r="B21" i="16"/>
  <c r="K20" i="16"/>
  <c r="J20" i="16"/>
  <c r="I20" i="16"/>
  <c r="H20" i="16"/>
  <c r="G20" i="16"/>
  <c r="F20" i="16"/>
  <c r="E20" i="16"/>
  <c r="D20" i="16"/>
  <c r="C20" i="16"/>
  <c r="B20" i="16"/>
  <c r="K19" i="16"/>
  <c r="J19" i="16"/>
  <c r="I19" i="16"/>
  <c r="H19" i="16"/>
  <c r="G19" i="16"/>
  <c r="F19" i="16"/>
  <c r="E19" i="16"/>
  <c r="D19" i="16"/>
  <c r="C19" i="16"/>
  <c r="B19" i="16"/>
  <c r="K18" i="16"/>
  <c r="J18" i="16"/>
  <c r="I18" i="16"/>
  <c r="H18" i="16"/>
  <c r="G18" i="16"/>
  <c r="F18" i="16"/>
  <c r="E18" i="16"/>
  <c r="D18" i="16"/>
  <c r="C18" i="16"/>
  <c r="B18" i="16"/>
  <c r="K17" i="16"/>
  <c r="J17" i="16"/>
  <c r="I17" i="16"/>
  <c r="H17" i="16"/>
  <c r="G17" i="16"/>
  <c r="F17" i="16"/>
  <c r="E17" i="16"/>
  <c r="D17" i="16"/>
  <c r="C17" i="16"/>
  <c r="B17" i="16"/>
  <c r="A14" i="16"/>
  <c r="A13" i="16"/>
  <c r="A12" i="16"/>
  <c r="A11" i="16"/>
  <c r="A10" i="16"/>
  <c r="A9" i="16"/>
  <c r="A8" i="16"/>
  <c r="A23" i="16"/>
  <c r="A22" i="16"/>
  <c r="A21" i="16"/>
  <c r="A20" i="16"/>
  <c r="A19" i="16"/>
  <c r="A18" i="16"/>
  <c r="A17" i="16"/>
  <c r="K30" i="5"/>
  <c r="J30" i="5"/>
  <c r="I30" i="5"/>
  <c r="H30" i="5"/>
  <c r="G30" i="5"/>
  <c r="F30" i="5"/>
  <c r="E30" i="5"/>
  <c r="D30" i="5"/>
  <c r="C30" i="5"/>
  <c r="K29" i="5"/>
  <c r="J29" i="5"/>
  <c r="I29" i="5"/>
  <c r="H29" i="5"/>
  <c r="G29" i="5"/>
  <c r="F29" i="5"/>
  <c r="E29" i="5"/>
  <c r="D29" i="5"/>
  <c r="C29" i="5"/>
  <c r="B30" i="5"/>
  <c r="B29" i="5"/>
  <c r="K30" i="15"/>
  <c r="J30" i="15"/>
  <c r="I30" i="15"/>
  <c r="H30" i="15"/>
  <c r="G30" i="15"/>
  <c r="F30" i="15"/>
  <c r="E30" i="15"/>
  <c r="D30" i="15"/>
  <c r="C30" i="15"/>
  <c r="F36" i="5"/>
  <c r="E36" i="5"/>
  <c r="D36" i="5"/>
  <c r="C36" i="5"/>
  <c r="B36" i="5"/>
  <c r="K2" i="15"/>
  <c r="J2" i="15"/>
  <c r="I2" i="15"/>
  <c r="H2" i="15"/>
  <c r="G2" i="15"/>
  <c r="F2" i="15"/>
  <c r="E2" i="15"/>
  <c r="D2" i="15"/>
  <c r="C2" i="15"/>
  <c r="B2" i="15"/>
  <c r="A58" i="5"/>
  <c r="K28" i="15"/>
  <c r="K57" i="5"/>
  <c r="G23" i="15"/>
  <c r="J28" i="15"/>
  <c r="J57" i="5"/>
  <c r="I28" i="15"/>
  <c r="I57" i="5"/>
  <c r="H28" i="15"/>
  <c r="H57" i="5"/>
  <c r="G28" i="15"/>
  <c r="G57" i="5"/>
  <c r="A57" i="5"/>
  <c r="K27" i="15"/>
  <c r="J27" i="15"/>
  <c r="I27" i="15"/>
  <c r="H27" i="15"/>
  <c r="G27" i="15"/>
  <c r="F27" i="15"/>
  <c r="E27" i="15"/>
  <c r="D27" i="15"/>
  <c r="K56" i="5"/>
  <c r="J56" i="5"/>
  <c r="I56" i="5"/>
  <c r="H56" i="5"/>
  <c r="G56" i="5"/>
  <c r="F56" i="5"/>
  <c r="E56" i="5"/>
  <c r="D56" i="5"/>
  <c r="B23" i="15"/>
  <c r="A1" i="15"/>
  <c r="A2" i="15"/>
  <c r="K17" i="15"/>
  <c r="J17" i="15"/>
  <c r="I17" i="15"/>
  <c r="H17" i="15"/>
  <c r="G17" i="15"/>
  <c r="F17" i="15"/>
  <c r="E17" i="15"/>
  <c r="D17" i="15"/>
  <c r="C17" i="15"/>
  <c r="B17" i="15"/>
  <c r="B36" i="15"/>
  <c r="K36" i="15"/>
  <c r="J36" i="15"/>
  <c r="I36" i="15"/>
  <c r="H36" i="15"/>
  <c r="G36" i="15"/>
  <c r="F36" i="15"/>
  <c r="E36" i="15"/>
  <c r="D36" i="15"/>
  <c r="C36" i="15"/>
  <c r="A1" i="5"/>
  <c r="A18" i="5"/>
  <c r="A12" i="5"/>
  <c r="K45" i="15"/>
  <c r="K35" i="15"/>
  <c r="K46" i="15"/>
  <c r="K47" i="15"/>
  <c r="K48" i="15"/>
  <c r="K49" i="15"/>
  <c r="K50" i="15"/>
  <c r="K60" i="5"/>
  <c r="J45" i="15"/>
  <c r="J35" i="15"/>
  <c r="J46" i="15"/>
  <c r="J47" i="15"/>
  <c r="J48" i="15"/>
  <c r="J49" i="15"/>
  <c r="J50" i="15"/>
  <c r="J60" i="5"/>
  <c r="I45" i="15"/>
  <c r="I35" i="15"/>
  <c r="I46" i="15"/>
  <c r="I47" i="15"/>
  <c r="I48" i="15"/>
  <c r="I49" i="15"/>
  <c r="I50" i="15"/>
  <c r="I60" i="5"/>
  <c r="H45" i="15"/>
  <c r="H35" i="15"/>
  <c r="H46" i="15"/>
  <c r="H47" i="15"/>
  <c r="H48" i="15"/>
  <c r="H49" i="15"/>
  <c r="H50" i="15"/>
  <c r="H60" i="5"/>
  <c r="G45" i="15"/>
  <c r="G35" i="15"/>
  <c r="G46" i="15"/>
  <c r="G47" i="15"/>
  <c r="G48" i="15"/>
  <c r="G49" i="15"/>
  <c r="G50" i="15"/>
  <c r="G60" i="5"/>
  <c r="F45" i="15"/>
  <c r="F35" i="15"/>
  <c r="F46" i="15"/>
  <c r="F47" i="15"/>
  <c r="F48" i="15"/>
  <c r="F49" i="15"/>
  <c r="F50" i="15"/>
  <c r="F60" i="5"/>
  <c r="E45" i="15"/>
  <c r="E35" i="15"/>
  <c r="E46" i="15"/>
  <c r="E47" i="15"/>
  <c r="E48" i="15"/>
  <c r="E49" i="15"/>
  <c r="E50" i="15"/>
  <c r="E60" i="5"/>
  <c r="D45" i="15"/>
  <c r="D35" i="15"/>
  <c r="D46" i="15"/>
  <c r="D47" i="15"/>
  <c r="D48" i="15"/>
  <c r="D49" i="15"/>
  <c r="D50" i="15"/>
  <c r="D60" i="5"/>
  <c r="C45" i="15"/>
  <c r="C35" i="15"/>
  <c r="C46" i="15"/>
  <c r="C47" i="15"/>
  <c r="C48" i="15"/>
  <c r="C49" i="15"/>
  <c r="C50" i="15"/>
  <c r="C60" i="5"/>
  <c r="B45" i="15"/>
  <c r="B35" i="15"/>
  <c r="B46" i="15"/>
  <c r="B47" i="15"/>
  <c r="B48" i="15"/>
  <c r="B49" i="15"/>
  <c r="B50" i="15"/>
  <c r="B60" i="5"/>
  <c r="K61" i="5"/>
  <c r="J61" i="5"/>
  <c r="I61" i="5"/>
  <c r="H61" i="5"/>
  <c r="G61" i="5"/>
  <c r="F61" i="5"/>
  <c r="E61" i="5"/>
  <c r="D61" i="5"/>
  <c r="C61" i="5"/>
  <c r="B61" i="5"/>
  <c r="K20" i="5"/>
  <c r="J20" i="5"/>
  <c r="I20" i="5"/>
  <c r="H20" i="5"/>
  <c r="G20" i="5"/>
  <c r="F20" i="5"/>
  <c r="E20" i="5"/>
  <c r="D20" i="5"/>
  <c r="C20" i="5"/>
  <c r="B20" i="5"/>
  <c r="K21" i="5"/>
  <c r="J21" i="5"/>
  <c r="I21" i="5"/>
  <c r="H21" i="5"/>
  <c r="G21" i="5"/>
  <c r="F21" i="5"/>
  <c r="E21" i="5"/>
  <c r="D21" i="5"/>
  <c r="C21" i="5"/>
  <c r="B21" i="5"/>
  <c r="K22" i="5"/>
  <c r="J22" i="5"/>
  <c r="I22" i="5"/>
  <c r="H22" i="5"/>
  <c r="G22" i="5"/>
  <c r="F22" i="5"/>
  <c r="E22" i="5"/>
  <c r="D22" i="5"/>
  <c r="C22" i="5"/>
  <c r="B22" i="5"/>
  <c r="K23" i="5"/>
  <c r="J23" i="5"/>
  <c r="I23" i="5"/>
  <c r="H23" i="5"/>
  <c r="G23" i="5"/>
  <c r="F23" i="5"/>
  <c r="E23" i="5"/>
  <c r="D23" i="5"/>
  <c r="C23" i="5"/>
  <c r="B23" i="5"/>
  <c r="K32" i="5"/>
  <c r="J32" i="5"/>
  <c r="I32" i="5"/>
  <c r="H32" i="5"/>
  <c r="G32" i="5"/>
  <c r="F32" i="5"/>
  <c r="E32" i="5"/>
  <c r="D32" i="5"/>
  <c r="C32" i="5"/>
  <c r="B32" i="5"/>
  <c r="K31" i="5"/>
  <c r="J31" i="5"/>
  <c r="I31" i="5"/>
  <c r="H31" i="5"/>
  <c r="G31" i="5"/>
  <c r="F31" i="5"/>
  <c r="E31" i="5"/>
  <c r="D31" i="5"/>
  <c r="C31" i="5"/>
  <c r="B31" i="5"/>
  <c r="K44" i="2"/>
  <c r="J6" i="2"/>
  <c r="J44" i="2"/>
  <c r="I6" i="2"/>
  <c r="I44" i="2"/>
  <c r="H6" i="2"/>
  <c r="H44" i="2"/>
  <c r="G6" i="2"/>
  <c r="G44" i="2"/>
  <c r="F6" i="2"/>
  <c r="F44" i="2"/>
  <c r="E6" i="2"/>
  <c r="E44" i="2"/>
  <c r="D6" i="2"/>
  <c r="D44" i="2"/>
  <c r="C6" i="2"/>
  <c r="C44" i="2"/>
  <c r="K41" i="2"/>
  <c r="J41" i="2"/>
  <c r="I41" i="2"/>
  <c r="H41" i="2"/>
  <c r="G41" i="2"/>
  <c r="F41" i="2"/>
  <c r="E41" i="2"/>
  <c r="D41" i="2"/>
  <c r="C41" i="2"/>
  <c r="K40" i="2"/>
  <c r="J40" i="2"/>
  <c r="I40" i="2"/>
  <c r="H40" i="2"/>
  <c r="G40" i="2"/>
  <c r="F40" i="2"/>
  <c r="E40" i="2"/>
  <c r="D40" i="2"/>
  <c r="C40" i="2"/>
  <c r="K39" i="2"/>
  <c r="J39" i="2"/>
  <c r="I39" i="2"/>
  <c r="H39" i="2"/>
  <c r="G39" i="2"/>
  <c r="F39" i="2"/>
  <c r="E39" i="2"/>
  <c r="D39" i="2"/>
  <c r="C39" i="2"/>
  <c r="K10" i="2"/>
  <c r="K38" i="2"/>
  <c r="J10" i="2"/>
  <c r="J38" i="2"/>
  <c r="I10" i="2"/>
  <c r="I38" i="2"/>
  <c r="H10" i="2"/>
  <c r="H38" i="2"/>
  <c r="G10" i="2"/>
  <c r="G38" i="2"/>
  <c r="F10" i="2"/>
  <c r="F38" i="2"/>
  <c r="E10" i="2"/>
  <c r="E38" i="2"/>
  <c r="D10" i="2"/>
  <c r="D38" i="2"/>
  <c r="C10" i="2"/>
  <c r="C38" i="2"/>
  <c r="B6" i="2"/>
  <c r="B44" i="2"/>
  <c r="B41" i="2"/>
  <c r="B40" i="2"/>
  <c r="B39" i="2"/>
  <c r="B10" i="2"/>
  <c r="B38" i="2"/>
  <c r="K3" i="2"/>
  <c r="K37" i="2"/>
  <c r="J3" i="2"/>
  <c r="J37" i="2"/>
  <c r="I3" i="2"/>
  <c r="I37" i="2"/>
  <c r="H3" i="2"/>
  <c r="H37" i="2"/>
  <c r="G3" i="2"/>
  <c r="G37" i="2"/>
  <c r="F3" i="2"/>
  <c r="F37" i="2"/>
  <c r="E3" i="2"/>
  <c r="E37" i="2"/>
  <c r="D3" i="2"/>
  <c r="D37" i="2"/>
  <c r="C3" i="2"/>
  <c r="C37" i="2"/>
  <c r="B3" i="2"/>
  <c r="B37" i="2"/>
  <c r="K24" i="5"/>
  <c r="J24" i="5"/>
  <c r="I24" i="5"/>
  <c r="H24" i="5"/>
  <c r="G24" i="5"/>
  <c r="F24" i="5"/>
  <c r="E24" i="5"/>
  <c r="D24" i="5"/>
  <c r="C24" i="5"/>
  <c r="B24" i="5"/>
  <c r="K25" i="5"/>
  <c r="J25" i="5"/>
  <c r="I25" i="5"/>
  <c r="H25" i="5"/>
  <c r="G25" i="5"/>
  <c r="F25" i="5"/>
  <c r="E25" i="5"/>
  <c r="D25" i="5"/>
  <c r="C25" i="5"/>
  <c r="B25" i="5"/>
  <c r="K33" i="5"/>
  <c r="J33" i="5"/>
  <c r="I33" i="5"/>
  <c r="H33" i="5"/>
  <c r="G33" i="5"/>
  <c r="F33" i="5"/>
  <c r="E33" i="5"/>
  <c r="D33" i="5"/>
  <c r="C33" i="5"/>
  <c r="B33" i="5"/>
  <c r="K27" i="5"/>
  <c r="J27" i="5"/>
  <c r="I27" i="5"/>
  <c r="H27" i="5"/>
  <c r="G27" i="5"/>
  <c r="F27" i="5"/>
  <c r="E27" i="5"/>
  <c r="D22" i="2"/>
  <c r="D27" i="5"/>
  <c r="C22" i="2"/>
  <c r="C27" i="5"/>
  <c r="B22" i="2"/>
  <c r="B27" i="5"/>
  <c r="K28" i="5"/>
  <c r="J28" i="5"/>
  <c r="I28" i="5"/>
  <c r="H28" i="5"/>
  <c r="G28" i="5"/>
  <c r="F28" i="5"/>
  <c r="E28" i="5"/>
  <c r="D23" i="2"/>
  <c r="D28" i="5"/>
  <c r="C23" i="2"/>
  <c r="C28" i="5"/>
  <c r="B23" i="2"/>
  <c r="B28" i="5"/>
  <c r="B73" i="5"/>
  <c r="B72" i="5"/>
  <c r="B71" i="5"/>
  <c r="B70" i="5"/>
  <c r="B69" i="5"/>
  <c r="K65" i="5"/>
  <c r="J65" i="5"/>
  <c r="K66" i="5"/>
  <c r="I65" i="5"/>
  <c r="J66" i="5"/>
  <c r="H65" i="5"/>
  <c r="I66" i="5"/>
  <c r="G65" i="5"/>
  <c r="H66" i="5"/>
  <c r="F65" i="5"/>
  <c r="G66" i="5"/>
  <c r="E65" i="5"/>
  <c r="F66" i="5"/>
  <c r="D65" i="5"/>
  <c r="E66" i="5"/>
  <c r="C65" i="5"/>
  <c r="D66" i="5"/>
  <c r="B65" i="5"/>
  <c r="C66" i="5"/>
  <c r="K64" i="5"/>
  <c r="J64" i="5"/>
  <c r="I64" i="5"/>
  <c r="H64" i="5"/>
  <c r="G64" i="5"/>
  <c r="F64" i="5"/>
  <c r="E64" i="5"/>
  <c r="D64" i="5"/>
  <c r="C64" i="5"/>
  <c r="B64" i="5"/>
  <c r="K63" i="5"/>
  <c r="J63" i="5"/>
  <c r="I63" i="5"/>
  <c r="H63" i="5"/>
  <c r="G63" i="5"/>
  <c r="F63" i="5"/>
  <c r="E63" i="5"/>
  <c r="D63" i="5"/>
  <c r="C63" i="5"/>
  <c r="B63" i="5"/>
  <c r="K62" i="5"/>
  <c r="J62" i="5"/>
  <c r="I62" i="5"/>
  <c r="H62" i="5"/>
  <c r="G62" i="5"/>
  <c r="F62" i="5"/>
  <c r="E62" i="5"/>
  <c r="D62" i="5"/>
  <c r="C62" i="5"/>
  <c r="B62" i="5"/>
  <c r="K14" i="15"/>
  <c r="K54" i="5"/>
  <c r="J14" i="15"/>
  <c r="J54" i="5"/>
  <c r="I14" i="15"/>
  <c r="I54" i="5"/>
  <c r="H14" i="15"/>
  <c r="H54" i="5"/>
  <c r="G14" i="15"/>
  <c r="G54" i="5"/>
  <c r="F14" i="15"/>
  <c r="F54" i="5"/>
  <c r="E14" i="15"/>
  <c r="E54" i="5"/>
  <c r="D14" i="15"/>
  <c r="D54" i="5"/>
  <c r="C14" i="15"/>
  <c r="C54" i="5"/>
  <c r="B14" i="15"/>
  <c r="B54" i="5"/>
  <c r="K49" i="5"/>
  <c r="K55" i="5"/>
  <c r="J49" i="5"/>
  <c r="J55" i="5"/>
  <c r="I49" i="5"/>
  <c r="I55" i="5"/>
  <c r="H49" i="5"/>
  <c r="H55" i="5"/>
  <c r="G49" i="5"/>
  <c r="G55" i="5"/>
  <c r="F49" i="5"/>
  <c r="F55" i="5"/>
  <c r="E49" i="5"/>
  <c r="E55" i="5"/>
  <c r="D49" i="5"/>
  <c r="D55" i="5"/>
  <c r="C49" i="5"/>
  <c r="C55" i="5"/>
  <c r="B49" i="5"/>
  <c r="B55" i="5"/>
  <c r="K52" i="5"/>
  <c r="J52" i="5"/>
  <c r="I52" i="5"/>
  <c r="H52" i="5"/>
  <c r="G52" i="5"/>
  <c r="F52" i="5"/>
  <c r="E52" i="5"/>
  <c r="D52" i="5"/>
  <c r="C52" i="5"/>
  <c r="B52" i="5"/>
  <c r="K50" i="5"/>
  <c r="J50" i="5"/>
  <c r="I50" i="5"/>
  <c r="H50" i="5"/>
  <c r="G50" i="5"/>
  <c r="F50" i="5"/>
  <c r="E50" i="5"/>
  <c r="D50" i="5"/>
  <c r="C50" i="5"/>
  <c r="B50" i="5"/>
  <c r="K40" i="5"/>
  <c r="J40" i="5"/>
  <c r="I40" i="5"/>
  <c r="H40" i="5"/>
  <c r="G40" i="5"/>
  <c r="F40" i="5"/>
  <c r="E40" i="5"/>
  <c r="D40" i="5"/>
  <c r="C40" i="5"/>
  <c r="B40" i="5"/>
  <c r="K19" i="15"/>
  <c r="K41" i="5"/>
  <c r="J19" i="15"/>
  <c r="J41" i="5"/>
  <c r="I19" i="15"/>
  <c r="I41" i="5"/>
  <c r="H19" i="15"/>
  <c r="H41" i="5"/>
  <c r="G19" i="15"/>
  <c r="G41" i="5"/>
  <c r="F19" i="15"/>
  <c r="F41" i="5"/>
  <c r="E19" i="15"/>
  <c r="E41" i="5"/>
  <c r="D19" i="15"/>
  <c r="D41" i="5"/>
  <c r="C19" i="15"/>
  <c r="C41" i="5"/>
  <c r="B41" i="5"/>
  <c r="K38" i="5"/>
  <c r="J38" i="5"/>
  <c r="I38" i="5"/>
  <c r="H38" i="5"/>
  <c r="G38" i="5"/>
  <c r="F38" i="5"/>
  <c r="E38" i="5"/>
  <c r="D38" i="5"/>
  <c r="C38" i="5"/>
  <c r="K37" i="5"/>
  <c r="J37" i="5"/>
  <c r="I37" i="5"/>
  <c r="H37" i="5"/>
  <c r="G37" i="5"/>
  <c r="F37" i="5"/>
  <c r="E37" i="5"/>
  <c r="D37" i="5"/>
  <c r="C37" i="5"/>
  <c r="B37" i="5"/>
  <c r="K3" i="15"/>
  <c r="K35" i="5"/>
  <c r="J3" i="15"/>
  <c r="J35" i="5"/>
  <c r="I3" i="15"/>
  <c r="I35" i="5"/>
  <c r="H3" i="15"/>
  <c r="H35" i="5"/>
  <c r="G3" i="15"/>
  <c r="G35" i="5"/>
  <c r="F3" i="15"/>
  <c r="F35" i="5"/>
  <c r="E3" i="15"/>
  <c r="E35" i="5"/>
  <c r="D3" i="15"/>
  <c r="D35" i="5"/>
  <c r="C3" i="15"/>
  <c r="C35" i="5"/>
  <c r="B3" i="15"/>
  <c r="B35" i="5"/>
  <c r="B38" i="5"/>
  <c r="K34" i="15"/>
  <c r="J34" i="15"/>
  <c r="L16" i="5"/>
  <c r="I34" i="15"/>
  <c r="L15" i="5"/>
  <c r="G34" i="15"/>
  <c r="L14" i="5"/>
  <c r="B34" i="15"/>
  <c r="L13" i="5"/>
  <c r="K16" i="5"/>
  <c r="K15" i="5"/>
  <c r="K14" i="5"/>
  <c r="K13" i="5"/>
  <c r="J13" i="5"/>
  <c r="J16" i="5"/>
  <c r="J15" i="5"/>
  <c r="J14" i="5"/>
  <c r="I16" i="5"/>
  <c r="I15" i="5"/>
  <c r="I14" i="5"/>
  <c r="I13" i="5"/>
  <c r="H16" i="5"/>
  <c r="H15" i="5"/>
  <c r="H14" i="5"/>
  <c r="H13" i="5"/>
  <c r="G16" i="5"/>
  <c r="G15" i="5"/>
  <c r="G14" i="5"/>
  <c r="G13" i="5"/>
  <c r="K8" i="15"/>
  <c r="J8" i="15"/>
  <c r="F16" i="5"/>
  <c r="I8" i="15"/>
  <c r="F15" i="5"/>
  <c r="G8" i="15"/>
  <c r="F14" i="5"/>
  <c r="B8" i="15"/>
  <c r="F13" i="5"/>
  <c r="H8" i="15"/>
  <c r="F8" i="15"/>
  <c r="E8" i="15"/>
  <c r="D8" i="15"/>
  <c r="C8" i="15"/>
  <c r="E16" i="5"/>
  <c r="E15" i="5"/>
  <c r="E14" i="5"/>
  <c r="E13" i="5"/>
  <c r="D16" i="5"/>
  <c r="D15" i="5"/>
  <c r="D14" i="5"/>
  <c r="D13" i="5"/>
  <c r="C16" i="5"/>
  <c r="C15" i="5"/>
  <c r="C14" i="5"/>
  <c r="C13" i="5"/>
  <c r="B16" i="5"/>
  <c r="B15" i="5"/>
  <c r="B13" i="5"/>
  <c r="N7" i="5"/>
  <c r="N6" i="5"/>
  <c r="L33" i="15"/>
  <c r="K8" i="5"/>
  <c r="B43" i="15"/>
  <c r="C43" i="15"/>
  <c r="D43" i="15"/>
  <c r="E43" i="15"/>
  <c r="F43" i="15"/>
  <c r="G43" i="15"/>
  <c r="H43" i="15"/>
  <c r="I43" i="15"/>
  <c r="J43" i="15"/>
  <c r="K43" i="15"/>
  <c r="K7" i="5"/>
  <c r="K6" i="5"/>
  <c r="J8" i="5"/>
  <c r="B41" i="15"/>
  <c r="C41" i="15"/>
  <c r="D41" i="15"/>
  <c r="E41" i="15"/>
  <c r="F41" i="15"/>
  <c r="G41" i="15"/>
  <c r="H41" i="15"/>
  <c r="I41" i="15"/>
  <c r="J41" i="15"/>
  <c r="K41" i="15"/>
  <c r="J7" i="5"/>
  <c r="J6" i="5"/>
  <c r="K42" i="15"/>
  <c r="I8" i="5"/>
  <c r="B42" i="15"/>
  <c r="C42" i="15"/>
  <c r="D42" i="15"/>
  <c r="E42" i="15"/>
  <c r="F42" i="15"/>
  <c r="G42" i="15"/>
  <c r="H42" i="15"/>
  <c r="I42" i="15"/>
  <c r="J42" i="15"/>
  <c r="I7" i="5"/>
  <c r="I6" i="5"/>
  <c r="H8" i="5"/>
  <c r="G8" i="5"/>
  <c r="B39" i="15"/>
  <c r="C39" i="15"/>
  <c r="D39" i="15"/>
  <c r="E39" i="15"/>
  <c r="F39" i="15"/>
  <c r="H7" i="5"/>
  <c r="H6" i="5"/>
  <c r="B38" i="15"/>
  <c r="C38" i="15"/>
  <c r="D38" i="15"/>
  <c r="E38" i="15"/>
  <c r="F38" i="15"/>
  <c r="G7" i="5"/>
  <c r="G6" i="5"/>
  <c r="C9" i="5"/>
  <c r="B9" i="5"/>
  <c r="C8" i="5"/>
  <c r="B8" i="5"/>
  <c r="C7" i="5"/>
  <c r="B7" i="5"/>
  <c r="C6" i="5"/>
  <c r="B6" i="5"/>
  <c r="C5" i="5"/>
  <c r="B5" i="5"/>
  <c r="K9" i="15"/>
  <c r="J9" i="15"/>
  <c r="I9" i="15"/>
  <c r="H9" i="15"/>
  <c r="G9" i="15"/>
  <c r="F9" i="15"/>
  <c r="E9" i="15"/>
  <c r="D9" i="15"/>
  <c r="C9" i="15"/>
  <c r="B9" i="15"/>
  <c r="K44" i="15"/>
  <c r="J44" i="15"/>
  <c r="I44" i="15"/>
  <c r="H44" i="15"/>
  <c r="G44" i="15"/>
  <c r="F44" i="15"/>
  <c r="E44" i="15"/>
  <c r="D44" i="15"/>
  <c r="C44" i="15"/>
  <c r="B44" i="15"/>
  <c r="K37" i="15"/>
  <c r="J37" i="15"/>
  <c r="I37" i="15"/>
  <c r="H37" i="15"/>
  <c r="G37" i="15"/>
  <c r="F37" i="15"/>
  <c r="E37" i="15"/>
  <c r="D37" i="15"/>
  <c r="C37" i="15"/>
  <c r="B37" i="15"/>
  <c r="K32" i="15"/>
  <c r="J32" i="15"/>
  <c r="I32" i="15"/>
  <c r="H32" i="15"/>
  <c r="G32" i="15"/>
  <c r="F32" i="15"/>
  <c r="E32" i="15"/>
  <c r="D32" i="15"/>
  <c r="C32" i="15"/>
  <c r="B32" i="15"/>
  <c r="K16" i="15"/>
  <c r="J16" i="15"/>
  <c r="I16" i="15"/>
  <c r="H16" i="15"/>
  <c r="G16" i="15"/>
  <c r="F16" i="15"/>
  <c r="E16" i="15"/>
  <c r="D16" i="15"/>
  <c r="C16" i="15"/>
  <c r="B16" i="15"/>
  <c r="K40" i="15"/>
  <c r="J40" i="15"/>
  <c r="I40" i="15"/>
  <c r="H40" i="15"/>
  <c r="G40" i="15"/>
  <c r="F40" i="15"/>
  <c r="E40" i="15"/>
  <c r="D40" i="15"/>
  <c r="C40" i="15"/>
  <c r="B40" i="15"/>
  <c r="H34" i="15"/>
  <c r="F34" i="15"/>
  <c r="E34" i="15"/>
  <c r="D34" i="15"/>
  <c r="C34" i="15"/>
  <c r="K18" i="5"/>
  <c r="J18" i="5"/>
  <c r="I18" i="5"/>
  <c r="H18" i="5"/>
  <c r="G18" i="5"/>
  <c r="F18" i="5"/>
  <c r="E18" i="5"/>
  <c r="D18" i="5"/>
  <c r="C18" i="5"/>
  <c r="B18" i="5"/>
  <c r="K67" i="5"/>
  <c r="J67" i="5"/>
  <c r="I67" i="5"/>
  <c r="H67" i="5"/>
  <c r="G67" i="5"/>
  <c r="F67" i="5"/>
  <c r="E67" i="5"/>
  <c r="D67" i="5"/>
  <c r="C67" i="5"/>
  <c r="K26" i="5"/>
  <c r="J26" i="5"/>
  <c r="I26" i="5"/>
  <c r="H26" i="5"/>
  <c r="G26" i="5"/>
  <c r="F26" i="5"/>
  <c r="E26" i="5"/>
  <c r="D26" i="5"/>
  <c r="C26" i="5"/>
  <c r="B26" i="5"/>
  <c r="D9" i="5"/>
  <c r="D8" i="5"/>
  <c r="D7" i="5"/>
  <c r="D6" i="5"/>
  <c r="D5" i="5"/>
  <c r="C5" i="1"/>
  <c r="D5" i="1"/>
  <c r="E5" i="1"/>
  <c r="F5" i="1"/>
  <c r="G5" i="1"/>
  <c r="H5" i="1"/>
  <c r="I5" i="1"/>
  <c r="J5" i="1"/>
  <c r="K5" i="1"/>
  <c r="B5" i="1"/>
  <c r="C11" i="2"/>
  <c r="D11" i="2"/>
  <c r="E11" i="2"/>
  <c r="F11" i="2"/>
  <c r="G11" i="2"/>
  <c r="H11" i="2"/>
  <c r="I11" i="2"/>
  <c r="J11" i="2"/>
  <c r="K11" i="2"/>
  <c r="C12" i="2"/>
  <c r="D12" i="2"/>
  <c r="E12" i="2"/>
  <c r="F12" i="2"/>
  <c r="G12" i="2"/>
  <c r="H12" i="2"/>
  <c r="I12" i="2"/>
  <c r="J12" i="2"/>
  <c r="C14" i="2"/>
  <c r="D14" i="2"/>
  <c r="E14" i="2"/>
  <c r="F14" i="2"/>
  <c r="G14" i="2"/>
  <c r="H14" i="2"/>
  <c r="I14" i="2"/>
  <c r="J14" i="2"/>
  <c r="K14" i="2"/>
  <c r="B14" i="2"/>
  <c r="C4" i="4"/>
  <c r="D4" i="4"/>
  <c r="E4" i="4"/>
  <c r="F4" i="4"/>
  <c r="G4" i="4"/>
  <c r="H4" i="4"/>
  <c r="I4" i="4"/>
  <c r="J4" i="4"/>
  <c r="K4" i="4"/>
  <c r="C5" i="4"/>
  <c r="D5" i="4"/>
  <c r="E5" i="4"/>
  <c r="F5" i="4"/>
  <c r="G5" i="4"/>
  <c r="H5" i="4"/>
  <c r="I5" i="4"/>
  <c r="J5" i="4"/>
  <c r="K5" i="4"/>
  <c r="C6" i="4"/>
  <c r="D6" i="4"/>
  <c r="E6" i="4"/>
  <c r="F6" i="4"/>
  <c r="G6" i="4"/>
  <c r="H6" i="4"/>
  <c r="I6" i="4"/>
  <c r="J6" i="4"/>
  <c r="K6" i="4"/>
  <c r="C7" i="4"/>
  <c r="D7" i="4"/>
  <c r="E7" i="4"/>
  <c r="F7" i="4"/>
  <c r="G7" i="4"/>
  <c r="H7" i="4"/>
  <c r="I7" i="4"/>
  <c r="J7" i="4"/>
  <c r="K7" i="4"/>
  <c r="C4" i="3"/>
  <c r="D4" i="3"/>
  <c r="E4" i="3"/>
  <c r="F4" i="3"/>
  <c r="G4" i="3"/>
  <c r="C5" i="3"/>
  <c r="D5" i="3"/>
  <c r="E5" i="3"/>
  <c r="F5" i="3"/>
  <c r="G5" i="3"/>
  <c r="C7" i="3"/>
  <c r="D7" i="3"/>
  <c r="E7" i="3"/>
  <c r="F7" i="3"/>
  <c r="G7" i="3"/>
  <c r="C11" i="3"/>
  <c r="D11" i="3"/>
  <c r="E11" i="3"/>
  <c r="F11" i="3"/>
  <c r="G11" i="3"/>
  <c r="H11" i="3"/>
  <c r="I11" i="3"/>
  <c r="J11" i="3"/>
  <c r="K11" i="3"/>
  <c r="C12" i="3"/>
  <c r="D12" i="3"/>
  <c r="E12" i="3"/>
  <c r="F12" i="3"/>
  <c r="G12" i="3"/>
  <c r="B5" i="3"/>
  <c r="C11" i="1"/>
  <c r="D11" i="1"/>
  <c r="E11" i="1"/>
  <c r="F11" i="1"/>
  <c r="G11" i="1"/>
  <c r="H11" i="1"/>
  <c r="I11" i="1"/>
  <c r="J11" i="1"/>
  <c r="K11" i="1"/>
  <c r="C12" i="1"/>
  <c r="D12" i="1"/>
  <c r="E12" i="1"/>
  <c r="F12" i="1"/>
  <c r="H12" i="1"/>
  <c r="C15" i="1"/>
  <c r="D15" i="1"/>
  <c r="E15" i="1"/>
  <c r="F15" i="1"/>
  <c r="G15" i="1"/>
  <c r="H15" i="1"/>
  <c r="I15" i="1"/>
  <c r="J15" i="1"/>
  <c r="K15" i="1"/>
  <c r="B15" i="1"/>
  <c r="A1" i="1"/>
  <c r="A1" i="2"/>
  <c r="E1" i="6"/>
  <c r="D13" i="1"/>
  <c r="D14" i="1"/>
  <c r="I14" i="1"/>
  <c r="J14" i="1"/>
  <c r="E13" i="1"/>
  <c r="E14" i="1"/>
  <c r="H13" i="1"/>
  <c r="H14" i="1"/>
  <c r="K14" i="1"/>
  <c r="C13" i="1"/>
  <c r="C14" i="1"/>
  <c r="J28" i="2"/>
  <c r="G14" i="1"/>
  <c r="F13" i="1"/>
  <c r="F14" i="1"/>
  <c r="E28" i="2"/>
  <c r="I28" i="2"/>
  <c r="E1" i="2"/>
  <c r="E1" i="4"/>
  <c r="E1" i="3"/>
  <c r="K28" i="2"/>
  <c r="F28" i="2"/>
  <c r="C28" i="2"/>
  <c r="G28" i="2"/>
  <c r="E6" i="1"/>
  <c r="H28" i="2"/>
  <c r="D28" i="2"/>
  <c r="I6" i="1"/>
  <c r="J6" i="1"/>
  <c r="F6" i="1"/>
  <c r="K6" i="1"/>
  <c r="G6" i="1"/>
  <c r="C6" i="1"/>
  <c r="H6" i="1"/>
  <c r="D6" i="1"/>
  <c r="B6" i="1"/>
  <c r="H1" i="1"/>
  <c r="D24" i="1"/>
  <c r="K24" i="1"/>
  <c r="E24" i="1"/>
  <c r="H24" i="1"/>
  <c r="F24" i="1"/>
  <c r="C24" i="1"/>
  <c r="J24" i="1"/>
  <c r="G24" i="1"/>
  <c r="I24" i="1"/>
  <c r="I29" i="2"/>
  <c r="C29" i="2"/>
  <c r="D29" i="2"/>
  <c r="F29" i="2"/>
  <c r="K29" i="2"/>
  <c r="J29" i="2"/>
  <c r="H29" i="2"/>
  <c r="E29" i="2"/>
  <c r="G29" i="2"/>
  <c r="C3" i="4"/>
  <c r="D3" i="4"/>
  <c r="E3" i="4"/>
  <c r="F3" i="4"/>
  <c r="G3" i="4"/>
  <c r="H3" i="4"/>
  <c r="I3" i="4"/>
  <c r="J3" i="4"/>
  <c r="K3" i="4"/>
  <c r="C3" i="3"/>
  <c r="D3" i="3"/>
  <c r="E3" i="3"/>
  <c r="F3" i="3"/>
  <c r="G3" i="3"/>
  <c r="H3" i="3"/>
  <c r="I3" i="3"/>
  <c r="J3" i="3"/>
  <c r="K3" i="3"/>
  <c r="C3" i="1"/>
  <c r="D3" i="1"/>
  <c r="E3" i="1"/>
  <c r="F3" i="1"/>
  <c r="G3" i="1"/>
  <c r="H3" i="1"/>
  <c r="I3" i="1"/>
  <c r="J3" i="1"/>
  <c r="K3" i="1"/>
  <c r="B7" i="4"/>
  <c r="B6" i="4"/>
  <c r="B5" i="4"/>
  <c r="B4" i="4"/>
  <c r="B3" i="4"/>
  <c r="K21" i="2"/>
  <c r="J21" i="2"/>
  <c r="I21" i="2"/>
  <c r="H21" i="2"/>
  <c r="G21" i="2"/>
  <c r="F21" i="2"/>
  <c r="E21" i="2"/>
  <c r="D21" i="2"/>
  <c r="C21" i="2"/>
  <c r="B21" i="2"/>
  <c r="B12" i="2"/>
  <c r="B11" i="2"/>
  <c r="J14" i="3"/>
  <c r="H14" i="3"/>
  <c r="F14" i="3"/>
  <c r="D14" i="3"/>
  <c r="B12" i="3"/>
  <c r="B11" i="3"/>
  <c r="B7" i="3"/>
  <c r="B4" i="3"/>
  <c r="B3" i="3"/>
  <c r="L15" i="1"/>
  <c r="B11" i="1"/>
  <c r="B3" i="1"/>
  <c r="B14" i="1"/>
  <c r="B28" i="2"/>
  <c r="B29" i="2"/>
  <c r="B14" i="3"/>
  <c r="E14" i="3"/>
  <c r="I14" i="3"/>
  <c r="C14" i="3"/>
  <c r="G14" i="3"/>
  <c r="K14" i="3"/>
  <c r="K27" i="1"/>
  <c r="L14" i="1"/>
  <c r="L29" i="1"/>
  <c r="K28" i="1"/>
  <c r="L11" i="1"/>
  <c r="M9" i="1"/>
  <c r="M8" i="1"/>
  <c r="L27" i="1"/>
  <c r="A1" i="3"/>
  <c r="A1" i="4"/>
  <c r="H27" i="1"/>
  <c r="I28" i="1"/>
  <c r="I27" i="1"/>
  <c r="J28" i="1"/>
  <c r="J27" i="1"/>
  <c r="B24" i="1"/>
  <c r="H28" i="1"/>
  <c r="L24" i="1"/>
  <c r="L28" i="1"/>
  <c r="M28" i="1"/>
  <c r="N11" i="1"/>
  <c r="M11" i="1"/>
  <c r="M27" i="1"/>
  <c r="M4" i="1"/>
  <c r="N27" i="1"/>
  <c r="N4" i="1"/>
  <c r="H29" i="1"/>
  <c r="J29" i="1"/>
  <c r="K29" i="1"/>
  <c r="M29" i="1"/>
  <c r="I29" i="1"/>
  <c r="N9" i="1"/>
  <c r="N8" i="1"/>
  <c r="N28" i="1"/>
  <c r="N29" i="1"/>
  <c r="M6" i="1"/>
  <c r="N6" i="1"/>
  <c r="M10" i="1"/>
  <c r="M12" i="1"/>
  <c r="M13" i="1"/>
  <c r="N10" i="1"/>
  <c r="N12" i="1"/>
  <c r="N13" i="1"/>
  <c r="N5" i="1"/>
  <c r="M5" i="1"/>
  <c r="M14" i="1"/>
  <c r="M15" i="1"/>
  <c r="N14" i="1"/>
  <c r="N15" i="1"/>
</calcChain>
</file>

<file path=xl/comments1.xml><?xml version="1.0" encoding="utf-8"?>
<comments xmlns="http://schemas.openxmlformats.org/spreadsheetml/2006/main">
  <authors>
    <author/>
  </authors>
  <commentList>
    <comment ref="A22" authorId="0">
      <text>
        <r>
          <rPr>
            <b/>
            <sz val="9"/>
            <color indexed="8"/>
            <rFont val="Tahoma"/>
            <family val="2"/>
            <charset val="1"/>
          </rPr>
          <t xml:space="preserve">Shrey Sao:
</t>
        </r>
        <r>
          <rPr>
            <sz val="9"/>
            <color indexed="8"/>
            <rFont val="Tahoma"/>
            <family val="2"/>
            <charset val="1"/>
          </rPr>
          <t>measures potential credit risk.</t>
        </r>
      </text>
    </comment>
    <comment ref="A23" authorId="0">
      <text>
        <r>
          <rPr>
            <b/>
            <sz val="9"/>
            <color indexed="8"/>
            <rFont val="Tahoma"/>
            <family val="2"/>
            <charset val="1"/>
          </rPr>
          <t>Shrey Sao</t>
        </r>
      </text>
    </comment>
    <comment ref="A25" authorId="0">
      <text>
        <r>
          <rPr>
            <sz val="9"/>
            <color indexed="8"/>
            <rFont val="Tahoma"/>
            <family val="2"/>
            <charset val="1"/>
          </rPr>
          <t xml:space="preserve">
</t>
        </r>
      </text>
    </comment>
    <comment ref="A26" authorId="0">
      <text>
        <r>
          <rPr>
            <b/>
            <sz val="9"/>
            <color indexed="8"/>
            <rFont val="Tahoma"/>
            <family val="2"/>
            <charset val="1"/>
          </rPr>
          <t>Shrey</t>
        </r>
      </text>
    </comment>
    <comment ref="A49" authorId="0">
      <text/>
    </comment>
    <comment ref="A55" authorId="0">
      <text>
        <r>
          <rPr>
            <b/>
            <sz val="9"/>
            <color indexed="8"/>
            <rFont val="Tahoma"/>
            <family val="2"/>
            <charset val="1"/>
          </rPr>
          <t>Shrey Sao:</t>
        </r>
      </text>
    </comment>
  </commentList>
</comments>
</file>

<file path=xl/sharedStrings.xml><?xml version="1.0" encoding="utf-8"?>
<sst xmlns="http://schemas.openxmlformats.org/spreadsheetml/2006/main" count="529" uniqueCount="377">
  <si>
    <t>COMPANY NAME</t>
  </si>
  <si>
    <t>SCREENER.IN</t>
  </si>
  <si>
    <t>Narration</t>
  </si>
  <si>
    <t>Trailing</t>
  </si>
  <si>
    <t>Best Case</t>
  </si>
  <si>
    <t>Worst Case</t>
  </si>
  <si>
    <t>Sales</t>
  </si>
  <si>
    <t>Expenses</t>
  </si>
  <si>
    <t>Operating Profit</t>
  </si>
  <si>
    <t>Other Income</t>
  </si>
  <si>
    <t>Depreciation</t>
  </si>
  <si>
    <t>Interest</t>
  </si>
  <si>
    <t>Profit before tax</t>
  </si>
  <si>
    <t>Tax</t>
  </si>
  <si>
    <t>Net profit</t>
  </si>
  <si>
    <t>RATIOS:</t>
  </si>
  <si>
    <t>Price to earning</t>
  </si>
  <si>
    <t>Dividend Payout</t>
  </si>
  <si>
    <t>OPM</t>
  </si>
  <si>
    <t>TRENDS:</t>
  </si>
  <si>
    <t>BEST</t>
  </si>
  <si>
    <t>WORST</t>
  </si>
  <si>
    <t>Sales Growth</t>
  </si>
  <si>
    <t>Price to Earning</t>
  </si>
  <si>
    <t>Equity Share Capital</t>
  </si>
  <si>
    <t>Reserves</t>
  </si>
  <si>
    <t>Total</t>
  </si>
  <si>
    <t>Net Block</t>
  </si>
  <si>
    <t>Capital Work in Progress</t>
  </si>
  <si>
    <t>Investments</t>
  </si>
  <si>
    <t>Working Capital</t>
  </si>
  <si>
    <t>Face Value</t>
  </si>
  <si>
    <t>Cash from Operating Activity</t>
  </si>
  <si>
    <t>Cash from Investing Activity</t>
  </si>
  <si>
    <t>Cash from Financing Activity</t>
  </si>
  <si>
    <t>Net Cash Flow</t>
  </si>
  <si>
    <t>PLEASE DO NOT MAKE ANY CHANGES TO THIS SHEET</t>
  </si>
  <si>
    <t>PROFIT &amp; LOSS</t>
  </si>
  <si>
    <t>Report Date</t>
  </si>
  <si>
    <t>Quarters</t>
  </si>
  <si>
    <t>BALANCE SHEET</t>
  </si>
  <si>
    <t>CASH FLOW:</t>
  </si>
  <si>
    <t>Number of shares</t>
  </si>
  <si>
    <t>Current Price</t>
  </si>
  <si>
    <t>Debtors</t>
  </si>
  <si>
    <t>Inventory</t>
  </si>
  <si>
    <t>Debtor Days</t>
  </si>
  <si>
    <t>Inventory Turnover</t>
  </si>
  <si>
    <t>EPS</t>
  </si>
  <si>
    <t>Price</t>
  </si>
  <si>
    <t>Return on Equity</t>
  </si>
  <si>
    <t>Return on Capital Emp</t>
  </si>
  <si>
    <t>LATEST VERSION</t>
  </si>
  <si>
    <t>CURRENT VERSION</t>
  </si>
  <si>
    <t>AVANTI FEEDS LTD</t>
  </si>
  <si>
    <t>META</t>
  </si>
  <si>
    <t>10 YEARS</t>
  </si>
  <si>
    <t>7 YEARS</t>
  </si>
  <si>
    <t>5 YEARS</t>
  </si>
  <si>
    <t>3 YEARS</t>
  </si>
  <si>
    <t>RECENT</t>
  </si>
  <si>
    <t>Dividend Amount</t>
  </si>
  <si>
    <t>Borrowings</t>
  </si>
  <si>
    <t>Other Liabilities</t>
  </si>
  <si>
    <t>Other Assets</t>
  </si>
  <si>
    <t>No. of Equity Shares</t>
  </si>
  <si>
    <t>New Bonus Shares</t>
  </si>
  <si>
    <t>DERIVED:</t>
  </si>
  <si>
    <t>PRICE:</t>
  </si>
  <si>
    <t>Receivables</t>
  </si>
  <si>
    <t>Market Capitalization</t>
  </si>
  <si>
    <t>Raw Material Cost</t>
  </si>
  <si>
    <t>Change in Inventory</t>
  </si>
  <si>
    <t>Power and Fuel</t>
  </si>
  <si>
    <t>Other Mfr. Exp</t>
  </si>
  <si>
    <t>Employee Cost</t>
  </si>
  <si>
    <t>Selling and admin</t>
  </si>
  <si>
    <t>Other Expenses</t>
  </si>
  <si>
    <t>Cash &amp; Bank</t>
  </si>
  <si>
    <t>Face value</t>
  </si>
  <si>
    <t>Adjusted Equity Shares in Cr</t>
  </si>
  <si>
    <t>Total Assets</t>
  </si>
  <si>
    <t>PAT</t>
  </si>
  <si>
    <t>Free Cash Flow</t>
  </si>
  <si>
    <t>1 YR</t>
  </si>
  <si>
    <t>Dividend</t>
  </si>
  <si>
    <t>EBIT</t>
  </si>
  <si>
    <t xml:space="preserve"> </t>
  </si>
  <si>
    <t>DELTA NETWORTH</t>
  </si>
  <si>
    <t>DELTA MKTCAP</t>
  </si>
  <si>
    <t>IMPACT*</t>
  </si>
  <si>
    <t>HISTORICAL VALUATIONS</t>
  </si>
  <si>
    <t>PRE-TAX BOND</t>
  </si>
  <si>
    <t>10 YR</t>
  </si>
  <si>
    <t>P/E</t>
  </si>
  <si>
    <t>P/B</t>
  </si>
  <si>
    <t>EV/EBITDA</t>
  </si>
  <si>
    <t>P/SALES</t>
  </si>
  <si>
    <t>YIELD</t>
  </si>
  <si>
    <t>LongTerm Bond</t>
  </si>
  <si>
    <t>7 YR</t>
  </si>
  <si>
    <t>MIN</t>
  </si>
  <si>
    <t>LTB Quote</t>
  </si>
  <si>
    <t>5 YR</t>
  </si>
  <si>
    <t>MAX</t>
  </si>
  <si>
    <t>3 YR</t>
  </si>
  <si>
    <t>TRAILING</t>
  </si>
  <si>
    <t>* IMPACT – Every Rupee retained added xx.yy in incremental market value</t>
  </si>
  <si>
    <t>SALES</t>
  </si>
  <si>
    <t>GROSS PROFIT</t>
  </si>
  <si>
    <t>DIVIDEND</t>
  </si>
  <si>
    <t>EPA</t>
  </si>
  <si>
    <t>MKTCAP</t>
  </si>
  <si>
    <t>NETWORTH</t>
  </si>
  <si>
    <t>TOTAL RETURNS</t>
  </si>
  <si>
    <t>10 YR CAGR</t>
  </si>
  <si>
    <t>5 YR CAGR</t>
  </si>
  <si>
    <t>3 YR CAGR</t>
  </si>
  <si>
    <t>1 YR GROWTH</t>
  </si>
  <si>
    <t>Long term debt/Earning</t>
  </si>
  <si>
    <t>Current liablility/Earning</t>
  </si>
  <si>
    <t>Total liability/Earning</t>
  </si>
  <si>
    <t>Debt/Equity</t>
  </si>
  <si>
    <t>Interest Coverage</t>
  </si>
  <si>
    <t>Working Capital/Sales</t>
  </si>
  <si>
    <t>Inventory Days</t>
  </si>
  <si>
    <t>Cash In/Cash Out Ratio</t>
  </si>
  <si>
    <t xml:space="preserve">  </t>
  </si>
  <si>
    <t>Current Ratio</t>
  </si>
  <si>
    <t>CFO/PAT</t>
  </si>
  <si>
    <t>Free Cash Flow/Sales</t>
  </si>
  <si>
    <t>RoCE</t>
  </si>
  <si>
    <t>RoIC</t>
  </si>
  <si>
    <t>Altman Z-Score</t>
  </si>
  <si>
    <t>Tax Rate</t>
  </si>
  <si>
    <t>Cash/Assets</t>
  </si>
  <si>
    <t>EBIT/Invested Capital</t>
  </si>
  <si>
    <t>WACC</t>
  </si>
  <si>
    <t>EPA/Sales</t>
  </si>
  <si>
    <t>MktCap</t>
  </si>
  <si>
    <t>MktCap Change</t>
  </si>
  <si>
    <t>MktCap Change - EPA</t>
  </si>
  <si>
    <t>Capex/Net Profits 10 yr</t>
  </si>
  <si>
    <t>Capex/Net Profits 7 yr</t>
  </si>
  <si>
    <t>Capex/Net Profits 5 yr</t>
  </si>
  <si>
    <t>Capex/Net Profits 3 yr</t>
  </si>
  <si>
    <t>Capex/Depreciation 10 yr</t>
  </si>
  <si>
    <t>Capex</t>
  </si>
  <si>
    <t>Gross Profit</t>
  </si>
  <si>
    <t>EBITDA</t>
  </si>
  <si>
    <t>Networth</t>
  </si>
  <si>
    <t>Invested Capital</t>
  </si>
  <si>
    <t>Capital Employed</t>
  </si>
  <si>
    <t>Operating Cash Flow</t>
  </si>
  <si>
    <t>NOPLAT</t>
  </si>
  <si>
    <t>MktCap+Dividend</t>
  </si>
  <si>
    <t>Retained Profit</t>
  </si>
  <si>
    <t>Price/Book</t>
  </si>
  <si>
    <t>Price/CashFlow</t>
  </si>
  <si>
    <t>Price/Sales</t>
  </si>
  <si>
    <t>Dividend Yield</t>
  </si>
  <si>
    <t>Z-Weights</t>
  </si>
  <si>
    <t>Working Capital/Total Assets</t>
  </si>
  <si>
    <t>Retained Profits/Total Assets</t>
  </si>
  <si>
    <t>EBIT/Total Assets</t>
  </si>
  <si>
    <t>Market Cap/Total Liabilities</t>
  </si>
  <si>
    <t>Sales/Total Assets</t>
  </si>
  <si>
    <t>Z &gt; 2.99 -“Safe” Zones</t>
  </si>
  <si>
    <t>1.81 &lt; Z &lt; 2.99 -“Grey” Zones</t>
  </si>
  <si>
    <t>Z &lt; 1.81 -“Distress” Zones</t>
  </si>
  <si>
    <t>Operating Profit (excl Other Income)</t>
  </si>
  <si>
    <t>EV</t>
  </si>
  <si>
    <t>Price/Earnings</t>
  </si>
  <si>
    <t>CURRENT</t>
  </si>
  <si>
    <t>EPA (Economic Profit Added)</t>
  </si>
  <si>
    <t>CHECK?</t>
  </si>
  <si>
    <t>derived from BS</t>
  </si>
  <si>
    <t>EBIT/Sales</t>
  </si>
  <si>
    <t>EBITDA/Sales</t>
  </si>
  <si>
    <t>Op Profit (Ex Other Income)/Sales</t>
  </si>
  <si>
    <t>Op Cash Flow/Sales</t>
  </si>
  <si>
    <t>Net Margin =PAT/Sales</t>
  </si>
  <si>
    <t>Gross Margin =Gross Profit/Sales</t>
  </si>
  <si>
    <t>Net Margin*Asset Turns= RoA</t>
  </si>
  <si>
    <t>Net Margin*Asset Turn*Fin Leverage= RoE</t>
  </si>
  <si>
    <t>Sales/Invested Capital =Capital Turns</t>
  </si>
  <si>
    <t>Sales/Fixed Assets= Fixed Asset Turns</t>
  </si>
  <si>
    <t>Sales/Total Assets= Asset Turns</t>
  </si>
  <si>
    <t>Total Assets/Networth= Financial Leverage</t>
  </si>
  <si>
    <t>EBIT Margin*Cap Turns*(1-Tax rate)= RoIC</t>
  </si>
  <si>
    <t>Check back what is really driving RoA (Net Margins or Asset Turns, or both)</t>
  </si>
  <si>
    <t>Check back what is really driving RoE (Net Margins, Asset Turns, or Financial Leverage)</t>
  </si>
  <si>
    <t>Check back what is really driving RoIC (Op Margins or Capital Turns, or both)</t>
  </si>
  <si>
    <t>Check back what is really driving EPA (Invested Capital or RoIC, or both)</t>
  </si>
  <si>
    <t xml:space="preserve">Check back the significant role of EBIT/Invested Capital </t>
  </si>
  <si>
    <t>Creditor Days</t>
  </si>
  <si>
    <t>Cash Conversion Cycle</t>
  </si>
  <si>
    <t>Common Size Balance Sheet</t>
  </si>
  <si>
    <t>Net Block/Total Assets</t>
  </si>
  <si>
    <t>Debtors/Total Assets</t>
  </si>
  <si>
    <t>Inventory/Total Assets</t>
  </si>
  <si>
    <t>Borrowings/Total Assets</t>
  </si>
  <si>
    <t>Check back how Assets are being put to use</t>
  </si>
  <si>
    <t>Inventory Turns</t>
  </si>
  <si>
    <t>Equity Quoting @</t>
  </si>
  <si>
    <t>FCF**</t>
  </si>
  <si>
    <t>CFO**</t>
  </si>
  <si>
    <t>EPA**</t>
  </si>
  <si>
    <t>**modify (if, then) for negative values</t>
  </si>
  <si>
    <t>Check for improving or deteriorating picture</t>
  </si>
  <si>
    <t>Check back to see if Creditor policy change is impacting Working Cap cycle</t>
  </si>
  <si>
    <t>Payables (Creditors)</t>
  </si>
  <si>
    <t>RoIIC</t>
  </si>
  <si>
    <t>Return on Incremental Invested Cap= RoIIC</t>
  </si>
  <si>
    <t>5Yr Rolling RoIIC</t>
  </si>
  <si>
    <t xml:space="preserve">3Yr Rolling RoIIC </t>
  </si>
  <si>
    <t>Operating Leverage</t>
  </si>
  <si>
    <t>Operating Expenses</t>
  </si>
  <si>
    <t>Coomon Size Expenses</t>
  </si>
  <si>
    <t>Equity Capital Increase/Decrease</t>
  </si>
  <si>
    <t xml:space="preserve">Dilution </t>
  </si>
  <si>
    <t>Sales Increase</t>
  </si>
  <si>
    <t>EBIT Increase</t>
  </si>
  <si>
    <t>Raw Material Increase/Sales Increase</t>
  </si>
  <si>
    <t>Change in Inventory Increase/Sales Increase</t>
  </si>
  <si>
    <t>Power &amp; Fuel Increase/Sales Increase</t>
  </si>
  <si>
    <t>Other Mfg Increase/Sales Increase</t>
  </si>
  <si>
    <t>Employee Cost Increase/Sales Increase</t>
  </si>
  <si>
    <t>Selling &amp; Admin Cost Increase/Sales Increase</t>
  </si>
  <si>
    <t>Other Expenses Increase/Sales Increase</t>
  </si>
  <si>
    <t>Year on Year Escalation</t>
  </si>
  <si>
    <t>Working Capital Increase/Sales Increase</t>
  </si>
  <si>
    <t>Debtors Increase/Sales Increase</t>
  </si>
  <si>
    <t>Inventory Increase/Sales Increase</t>
  </si>
  <si>
    <t>Creditors Increase/Sales Increase</t>
  </si>
  <si>
    <t>Invested Capital Increase/Sales Increase</t>
  </si>
  <si>
    <t>EBIT Margin</t>
  </si>
  <si>
    <t>Capital Turns</t>
  </si>
  <si>
    <t>Annual Historical Performance</t>
  </si>
  <si>
    <t>Latest 10 Quarters Performance</t>
  </si>
  <si>
    <t>Operating Profit Margin (ex Other Income)</t>
  </si>
  <si>
    <t>Operating Profit (ex Other Income)</t>
  </si>
  <si>
    <t>TTM</t>
  </si>
  <si>
    <t>1HFY17</t>
  </si>
  <si>
    <t>input TTM BS data in Balance Sheet from Half yearly results</t>
  </si>
  <si>
    <t>Interest Expense</t>
  </si>
  <si>
    <t>input Creditors (Payables) data from Annual Reports</t>
  </si>
  <si>
    <t>def tax liab+oth long term liab+other current liab</t>
  </si>
  <si>
    <t>total current assets+long term loans and advances+other non current assets</t>
  </si>
  <si>
    <t>check TA matching</t>
  </si>
  <si>
    <t>better to check when NOPLAT and/or Investments are Lumpy</t>
  </si>
  <si>
    <t>Interest Expense Capitalised</t>
  </si>
  <si>
    <t>Add back from AR - any interest costs capitalised</t>
  </si>
  <si>
    <t>Sustainable Growth Rate</t>
  </si>
  <si>
    <t>RoE</t>
  </si>
  <si>
    <t>coy can grow at this rate safely with internal accruals</t>
  </si>
  <si>
    <t>5Yr Averages</t>
  </si>
  <si>
    <t>Year</t>
  </si>
  <si>
    <t>DPS</t>
  </si>
  <si>
    <t>BVPS</t>
  </si>
  <si>
    <t>Return on Equity:</t>
  </si>
  <si>
    <t>EPS:</t>
  </si>
  <si>
    <t>Payout Ratio:</t>
  </si>
  <si>
    <t>DPS:</t>
  </si>
  <si>
    <t>P/E Ratio-High:</t>
  </si>
  <si>
    <t>BVPS:</t>
  </si>
  <si>
    <t>P/E Ratio-Low:</t>
  </si>
  <si>
    <t>P/E:</t>
  </si>
  <si>
    <t>Avg. P/E Ratio:</t>
  </si>
  <si>
    <t>Earnings Yield:</t>
  </si>
  <si>
    <t>Sustainable Growth</t>
  </si>
  <si>
    <t>Dividend Yield:</t>
  </si>
  <si>
    <t>P/BV:</t>
  </si>
  <si>
    <t>EPS 5yr CAGR</t>
  </si>
  <si>
    <t>EPS 3yr CAGR</t>
  </si>
  <si>
    <t>EPS Y-o-Y growth</t>
  </si>
  <si>
    <t>10yr Sales Projection</t>
  </si>
  <si>
    <t>Current</t>
  </si>
  <si>
    <t>Earnings after 10 years</t>
  </si>
  <si>
    <t>Year 1</t>
  </si>
  <si>
    <t>Dividends paid over 10 years</t>
  </si>
  <si>
    <t>Year 2</t>
  </si>
  <si>
    <t>Year 3</t>
  </si>
  <si>
    <t>Year 4</t>
  </si>
  <si>
    <t>Total Gain [Projected Price+Dividends]</t>
  </si>
  <si>
    <t>Year 5</t>
  </si>
  <si>
    <t>Year 6</t>
  </si>
  <si>
    <t>Year 7</t>
  </si>
  <si>
    <t>[(Total Gain/Current Price)^1/9)-1]</t>
  </si>
  <si>
    <t>Year 8</t>
  </si>
  <si>
    <t>Year 9</t>
  </si>
  <si>
    <t>Year 10</t>
  </si>
  <si>
    <t>Book Value</t>
  </si>
  <si>
    <t>EPS 10 Yr CAGR</t>
  </si>
  <si>
    <t>Med Term Visibility</t>
  </si>
  <si>
    <t>Avg Sustainable P/E</t>
  </si>
  <si>
    <t>Sales 10 Yr CAGR</t>
  </si>
  <si>
    <t>Sales 5yr CAGR</t>
  </si>
  <si>
    <t>Sales 3yr CAGR</t>
  </si>
  <si>
    <t>Sales Y-o-Y growth</t>
  </si>
  <si>
    <t>RoE Visibility</t>
  </si>
  <si>
    <t>Payout Visbility</t>
  </si>
  <si>
    <t>RoE/Payout Visibility</t>
  </si>
  <si>
    <t>10 yr Projected Company data using historical earnings growth rate/current visibility</t>
  </si>
  <si>
    <t>10 yr Projected Company data using sustainable growth rate based on current visibility</t>
  </si>
  <si>
    <t>Projected price [Avg Sustainable P/E*EPS]</t>
  </si>
  <si>
    <t>Projected annual return using current EPS growth visibility</t>
  </si>
  <si>
    <t>Current Data</t>
  </si>
  <si>
    <t xml:space="preserve">Input Visibility data </t>
  </si>
  <si>
    <t>*Assuming current capital structure is maintained - business's inherent ability to grow with internal accruals from here</t>
  </si>
  <si>
    <t>Projected annual return using sustainable growth visbility*</t>
  </si>
  <si>
    <t>Cash &amp; Bank Balances</t>
  </si>
  <si>
    <t>Cash/Sales</t>
  </si>
  <si>
    <t>Cash/Total Assets</t>
  </si>
  <si>
    <t>below</t>
  </si>
  <si>
    <t>Input data from 2QFY BS</t>
  </si>
  <si>
    <t>EPS TTM Growth</t>
  </si>
  <si>
    <t>Sales TTM Growth</t>
  </si>
  <si>
    <t>(adapted from the methodology described in the book "Buffetology" by Mary Buffet - using current Visibility aided by Historicals)</t>
  </si>
  <si>
    <t>EPA/Sales Increase - last 5 Years</t>
  </si>
  <si>
    <t>EPA/Sales Increase - last 3 Years</t>
  </si>
  <si>
    <t>MktCap Cagr  - last 5 years</t>
  </si>
  <si>
    <t>MktCap Cagr  - last 3 years</t>
  </si>
  <si>
    <t>Incremental Fixed Capital Investment Rate</t>
  </si>
  <si>
    <t>Incremental Working Capital Investment Rate</t>
  </si>
  <si>
    <t>Incremental Threshold Margin</t>
  </si>
  <si>
    <t>Threshold Exceed Rate</t>
  </si>
  <si>
    <t>1Yr Sales Increase</t>
  </si>
  <si>
    <t>1Yr EBIT Increase</t>
  </si>
  <si>
    <t>3Yr Sales Increase</t>
  </si>
  <si>
    <t>3Yr EBIT Increase</t>
  </si>
  <si>
    <t>1 Yr Operating Leverage</t>
  </si>
  <si>
    <t>3Yr Operating Leverage</t>
  </si>
  <si>
    <t>Threshold Margin (Value Neutral Operating Margin)</t>
  </si>
  <si>
    <t>Sustainable Growth Rate (without addl financing?)</t>
  </si>
  <si>
    <t>Abnormal margin exclusion (RM cycle)</t>
  </si>
  <si>
    <t>Exclude one-off excess Cash (if any)</t>
  </si>
  <si>
    <t>check for excluding excess cash (over and above historical normalised levels)</t>
  </si>
  <si>
    <t>check historical normalised levels of cash/total assets for excluding one-off excess cash for RoIC calculations</t>
  </si>
  <si>
    <t>high historical Fixed Assets/Total Assets - strong correlation high Op Leverage</t>
  </si>
  <si>
    <t>check lower RM/Sales - high correlation with Op Leverage</t>
  </si>
  <si>
    <t>check high Emp Cost/Sales - high correlation with Op Leverage</t>
  </si>
  <si>
    <t>Threshold Margin Snapshot</t>
  </si>
  <si>
    <t>Business Robustness Snapshot (Annual)</t>
  </si>
  <si>
    <t>Business Robustness Snapshot (Quarterly)</t>
  </si>
  <si>
    <t>higher capital intensity business demands higher threshold margin (to break even) than lower cap intensive</t>
  </si>
  <si>
    <t>Incremental Fixed Capital Investment</t>
  </si>
  <si>
    <t>Incremental Sales</t>
  </si>
  <si>
    <t>5 Yr Avg</t>
  </si>
  <si>
    <t>9 Yr Avg</t>
  </si>
  <si>
    <t>Incremental Working Capital</t>
  </si>
  <si>
    <t>Years in Future</t>
  </si>
  <si>
    <t>Sales Growth Rate</t>
  </si>
  <si>
    <t>Consensus Forecasts</t>
  </si>
  <si>
    <t>Inputs</t>
  </si>
  <si>
    <t>Inc Fixed Capital Rate</t>
  </si>
  <si>
    <t>Inc Working Capital Rate</t>
  </si>
  <si>
    <t>Year on Year Sales Growth</t>
  </si>
  <si>
    <t>NOPAT</t>
  </si>
  <si>
    <t>Incremental Working Capital Investment</t>
  </si>
  <si>
    <t>Cost of Capital</t>
  </si>
  <si>
    <t>Inflation Rate</t>
  </si>
  <si>
    <t>Present Value of Free Cash Flow</t>
  </si>
  <si>
    <t>Cumulative Present Value of Free Cash Flow</t>
  </si>
  <si>
    <t>Present Value of Residual Value</t>
  </si>
  <si>
    <t>Corporate Value</t>
  </si>
  <si>
    <t>Add: Non-Operative Assets</t>
  </si>
  <si>
    <t>Non-Operative Assets</t>
  </si>
  <si>
    <t>Debt</t>
  </si>
  <si>
    <t>Cash &amp; Bank Balance</t>
  </si>
  <si>
    <t>Less: Debt</t>
  </si>
  <si>
    <t>Shareholder Value</t>
  </si>
  <si>
    <t># Shares Outstanding</t>
  </si>
  <si>
    <t>Shareholder Value/Share</t>
  </si>
  <si>
    <t>Market-Implied-Forecast-Period</t>
  </si>
  <si>
    <t>CMP</t>
  </si>
  <si>
    <t>(CONSOLIDATED)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</si>
</sst>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64" formatCode="_ * #,##0.00_ ;_ * \-#,##0.00_ ;_ * &quot;-&quot;??_ ;_ @_ "/>
    <numFmt numFmtId="165" formatCode="_(* #,##0.00_);_(* \(#,##0.00\);_(* &quot;-&quot;??_);_(@_)"/>
    <numFmt numFmtId="166" formatCode="[$-409]mmm\-yy;@"/>
    <numFmt numFmtId="167" formatCode="_ * #,##0.0_ ;_ * \-#,##0.0_ ;_ * &quot;-&quot;??_ ;_ @_ "/>
    <numFmt numFmtId="168" formatCode="_ * #,##0_ ;_ * \-#,##0_ ;_ * &quot;-&quot;??_ ;_ @_ "/>
    <numFmt numFmtId="169" formatCode="0.0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1"/>
    </font>
    <font>
      <sz val="11"/>
      <name val="Calibri"/>
      <family val="2"/>
      <charset val="1"/>
    </font>
    <font>
      <b/>
      <sz val="11"/>
      <color indexed="9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b/>
      <sz val="9"/>
      <color indexed="8"/>
      <name val="Tahoma"/>
      <family val="2"/>
      <charset val="1"/>
    </font>
    <font>
      <sz val="9"/>
      <color indexed="8"/>
      <name val="Tahoma"/>
      <family val="2"/>
      <charset val="1"/>
    </font>
    <font>
      <sz val="10"/>
      <name val="Calibri"/>
      <family val="2"/>
      <charset val="1"/>
    </font>
    <font>
      <sz val="11"/>
      <color indexed="8"/>
      <name val="Calibri"/>
      <family val="2"/>
      <charset val="1"/>
    </font>
    <font>
      <sz val="10"/>
      <color indexed="8"/>
      <name val="Calibri"/>
      <family val="2"/>
      <charset val="1"/>
    </font>
    <font>
      <u/>
      <sz val="11"/>
      <color theme="11"/>
      <name val="Calibri"/>
      <family val="2"/>
      <scheme val="minor"/>
    </font>
    <font>
      <b/>
      <sz val="11"/>
      <name val="Calibri"/>
      <scheme val="minor"/>
    </font>
    <font>
      <sz val="10"/>
      <name val="Calibri"/>
      <scheme val="minor"/>
    </font>
    <font>
      <sz val="10"/>
      <color theme="1"/>
      <name val="Calibri"/>
      <scheme val="minor"/>
    </font>
    <font>
      <b/>
      <sz val="11"/>
      <name val="Arial"/>
      <family val="2"/>
    </font>
    <font>
      <sz val="11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theme="4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9"/>
      </patternFill>
    </fill>
    <fill>
      <patternFill patternType="solid">
        <fgColor rgb="FF0275D8"/>
        <bgColor indexed="64"/>
      </patternFill>
    </fill>
    <fill>
      <patternFill patternType="solid">
        <fgColor indexed="61"/>
        <bgColor indexed="25"/>
      </patternFill>
    </fill>
    <fill>
      <patternFill patternType="solid">
        <fgColor indexed="19"/>
        <bgColor indexed="23"/>
      </patternFill>
    </fill>
    <fill>
      <patternFill patternType="solid">
        <fgColor indexed="9"/>
        <bgColor indexed="27"/>
      </patternFill>
    </fill>
    <fill>
      <patternFill patternType="solid">
        <fgColor indexed="41"/>
        <bgColor indexed="31"/>
      </patternFill>
    </fill>
    <fill>
      <patternFill patternType="solid">
        <fgColor rgb="FF008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36">
    <xf numFmtId="0" fontId="0" fillId="0" borderId="0"/>
    <xf numFmtId="164" fontId="3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9" fontId="3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278">
    <xf numFmtId="0" fontId="0" fillId="0" borderId="0" xfId="0"/>
    <xf numFmtId="164" fontId="1" fillId="0" borderId="0" xfId="1" applyFont="1" applyBorder="1"/>
    <xf numFmtId="0" fontId="1" fillId="0" borderId="0" xfId="0" applyFont="1" applyFill="1" applyBorder="1"/>
    <xf numFmtId="0" fontId="6" fillId="0" borderId="0" xfId="0" applyFont="1" applyFill="1" applyBorder="1" applyAlignment="1"/>
    <xf numFmtId="0" fontId="1" fillId="0" borderId="0" xfId="0" applyFont="1" applyFill="1" applyBorder="1" applyAlignment="1"/>
    <xf numFmtId="164" fontId="0" fillId="0" borderId="0" xfId="1" applyFont="1" applyBorder="1"/>
    <xf numFmtId="0" fontId="0" fillId="0" borderId="0" xfId="0" applyFont="1" applyBorder="1"/>
    <xf numFmtId="10" fontId="0" fillId="0" borderId="0" xfId="0" applyNumberFormat="1" applyFont="1" applyBorder="1"/>
    <xf numFmtId="0" fontId="1" fillId="0" borderId="0" xfId="0" applyFont="1" applyBorder="1"/>
    <xf numFmtId="164" fontId="3" fillId="0" borderId="0" xfId="1" applyFont="1" applyBorder="1"/>
    <xf numFmtId="9" fontId="3" fillId="0" borderId="0" xfId="1" applyNumberFormat="1" applyFont="1" applyBorder="1"/>
    <xf numFmtId="0" fontId="0" fillId="0" borderId="0" xfId="0" applyBorder="1"/>
    <xf numFmtId="164" fontId="2" fillId="2" borderId="0" xfId="3" applyNumberFormat="1" applyFont="1" applyBorder="1"/>
    <xf numFmtId="164" fontId="2" fillId="3" borderId="0" xfId="4" applyNumberFormat="1" applyFont="1" applyBorder="1"/>
    <xf numFmtId="9" fontId="1" fillId="0" borderId="0" xfId="6" applyFont="1" applyBorder="1"/>
    <xf numFmtId="0" fontId="2" fillId="5" borderId="0" xfId="0" applyFont="1" applyFill="1" applyBorder="1"/>
    <xf numFmtId="166" fontId="2" fillId="5" borderId="0" xfId="0" applyNumberFormat="1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0" fillId="0" borderId="0" xfId="0" applyFill="1" applyBorder="1"/>
    <xf numFmtId="164" fontId="0" fillId="0" borderId="0" xfId="1" applyNumberFormat="1" applyFont="1" applyBorder="1" applyAlignment="1">
      <alignment horizontal="center"/>
    </xf>
    <xf numFmtId="164" fontId="1" fillId="0" borderId="0" xfId="1" applyNumberFormat="1" applyFont="1" applyBorder="1" applyAlignment="1">
      <alignment horizontal="center"/>
    </xf>
    <xf numFmtId="164" fontId="0" fillId="0" borderId="0" xfId="1" applyNumberFormat="1" applyFont="1" applyBorder="1"/>
    <xf numFmtId="10" fontId="1" fillId="0" borderId="0" xfId="0" applyNumberFormat="1" applyFont="1" applyBorder="1"/>
    <xf numFmtId="166" fontId="2" fillId="5" borderId="0" xfId="1" applyNumberFormat="1" applyFont="1" applyFill="1" applyBorder="1"/>
    <xf numFmtId="166" fontId="7" fillId="0" borderId="0" xfId="1" applyNumberFormat="1" applyFont="1" applyFill="1" applyBorder="1"/>
    <xf numFmtId="0" fontId="0" fillId="0" borderId="0" xfId="0" applyFont="1" applyFill="1" applyBorder="1"/>
    <xf numFmtId="0" fontId="7" fillId="0" borderId="0" xfId="0" applyFont="1" applyFill="1" applyBorder="1"/>
    <xf numFmtId="165" fontId="0" fillId="0" borderId="0" xfId="1" applyNumberFormat="1" applyFont="1" applyBorder="1"/>
    <xf numFmtId="0" fontId="8" fillId="0" borderId="0" xfId="0" applyFont="1" applyBorder="1"/>
    <xf numFmtId="0" fontId="9" fillId="0" borderId="0" xfId="0" applyFont="1" applyBorder="1"/>
    <xf numFmtId="0" fontId="9" fillId="0" borderId="0" xfId="0" applyFont="1"/>
    <xf numFmtId="0" fontId="8" fillId="0" borderId="0" xfId="0" applyFont="1"/>
    <xf numFmtId="0" fontId="11" fillId="0" borderId="1" xfId="0" applyFont="1" applyFill="1" applyBorder="1" applyAlignment="1">
      <alignment horizontal="right"/>
    </xf>
    <xf numFmtId="1" fontId="12" fillId="6" borderId="1" xfId="0" applyNumberFormat="1" applyFont="1" applyFill="1" applyBorder="1"/>
    <xf numFmtId="2" fontId="12" fillId="6" borderId="1" xfId="0" applyNumberFormat="1" applyFont="1" applyFill="1" applyBorder="1"/>
    <xf numFmtId="0" fontId="9" fillId="0" borderId="1" xfId="0" applyFont="1" applyBorder="1"/>
    <xf numFmtId="0" fontId="12" fillId="6" borderId="1" xfId="0" applyFont="1" applyFill="1" applyBorder="1" applyAlignment="1">
      <alignment horizontal="center" wrapText="1"/>
    </xf>
    <xf numFmtId="0" fontId="12" fillId="6" borderId="1" xfId="0" applyFont="1" applyFill="1" applyBorder="1" applyAlignment="1">
      <alignment horizontal="center"/>
    </xf>
    <xf numFmtId="0" fontId="12" fillId="6" borderId="1" xfId="0" applyFont="1" applyFill="1" applyBorder="1"/>
    <xf numFmtId="9" fontId="12" fillId="6" borderId="1" xfId="0" applyNumberFormat="1" applyFont="1" applyFill="1" applyBorder="1" applyAlignment="1">
      <alignment horizontal="center"/>
    </xf>
    <xf numFmtId="0" fontId="8" fillId="0" borderId="1" xfId="0" applyFont="1" applyBorder="1"/>
    <xf numFmtId="2" fontId="12" fillId="6" borderId="1" xfId="0" applyNumberFormat="1" applyFont="1" applyFill="1" applyBorder="1" applyAlignment="1">
      <alignment horizontal="center"/>
    </xf>
    <xf numFmtId="10" fontId="12" fillId="6" borderId="1" xfId="0" applyNumberFormat="1" applyFont="1" applyFill="1" applyBorder="1" applyAlignment="1">
      <alignment horizontal="center"/>
    </xf>
    <xf numFmtId="0" fontId="12" fillId="6" borderId="0" xfId="0" applyFont="1" applyFill="1"/>
    <xf numFmtId="0" fontId="12" fillId="6" borderId="1" xfId="0" applyFont="1" applyFill="1" applyBorder="1" applyAlignment="1">
      <alignment horizontal="left"/>
    </xf>
    <xf numFmtId="0" fontId="9" fillId="6" borderId="0" xfId="0" applyFont="1" applyFill="1"/>
    <xf numFmtId="2" fontId="9" fillId="0" borderId="1" xfId="0" applyNumberFormat="1" applyFont="1" applyBorder="1"/>
    <xf numFmtId="0" fontId="12" fillId="0" borderId="1" xfId="0" applyFont="1" applyBorder="1" applyAlignment="1">
      <alignment horizontal="center"/>
    </xf>
    <xf numFmtId="0" fontId="9" fillId="0" borderId="3" xfId="0" applyFont="1" applyBorder="1" applyAlignment="1">
      <alignment horizontal="left"/>
    </xf>
    <xf numFmtId="0" fontId="8" fillId="0" borderId="4" xfId="0" applyFont="1" applyBorder="1" applyAlignment="1">
      <alignment horizontal="right"/>
    </xf>
    <xf numFmtId="10" fontId="10" fillId="7" borderId="4" xfId="0" applyNumberFormat="1" applyFont="1" applyFill="1" applyBorder="1"/>
    <xf numFmtId="10" fontId="8" fillId="0" borderId="0" xfId="0" applyNumberFormat="1" applyFont="1" applyBorder="1"/>
    <xf numFmtId="2" fontId="10" fillId="6" borderId="4" xfId="0" applyNumberFormat="1" applyFont="1" applyFill="1" applyBorder="1"/>
    <xf numFmtId="0" fontId="8" fillId="8" borderId="4" xfId="0" applyFont="1" applyFill="1" applyBorder="1" applyAlignment="1">
      <alignment horizontal="right"/>
    </xf>
    <xf numFmtId="10" fontId="10" fillId="6" borderId="4" xfId="0" applyNumberFormat="1" applyFont="1" applyFill="1" applyBorder="1"/>
    <xf numFmtId="1" fontId="10" fillId="6" borderId="4" xfId="0" applyNumberFormat="1" applyFont="1" applyFill="1" applyBorder="1"/>
    <xf numFmtId="0" fontId="8" fillId="0" borderId="0" xfId="0" applyFont="1" applyAlignment="1">
      <alignment horizontal="right"/>
    </xf>
    <xf numFmtId="0" fontId="8" fillId="0" borderId="4" xfId="0" applyFont="1" applyFill="1" applyBorder="1" applyAlignment="1">
      <alignment horizontal="right"/>
    </xf>
    <xf numFmtId="10" fontId="12" fillId="7" borderId="4" xfId="0" applyNumberFormat="1" applyFont="1" applyFill="1" applyBorder="1" applyAlignment="1">
      <alignment horizontal="right"/>
    </xf>
    <xf numFmtId="10" fontId="9" fillId="0" borderId="0" xfId="0" applyNumberFormat="1" applyFont="1"/>
    <xf numFmtId="0" fontId="9" fillId="0" borderId="4" xfId="0" applyFont="1" applyFill="1" applyBorder="1" applyAlignment="1">
      <alignment horizontal="left"/>
    </xf>
    <xf numFmtId="2" fontId="9" fillId="0" borderId="4" xfId="0" applyNumberFormat="1" applyFont="1" applyFill="1" applyBorder="1" applyAlignment="1">
      <alignment horizontal="right"/>
    </xf>
    <xf numFmtId="0" fontId="9" fillId="0" borderId="4" xfId="0" applyFont="1" applyBorder="1"/>
    <xf numFmtId="10" fontId="9" fillId="0" borderId="4" xfId="0" applyNumberFormat="1" applyFont="1" applyBorder="1"/>
    <xf numFmtId="2" fontId="9" fillId="0" borderId="4" xfId="0" applyNumberFormat="1" applyFont="1" applyBorder="1"/>
    <xf numFmtId="0" fontId="9" fillId="0" borderId="4" xfId="0" applyFont="1" applyFill="1" applyBorder="1" applyAlignment="1"/>
    <xf numFmtId="0" fontId="9" fillId="0" borderId="1" xfId="0" applyFont="1" applyFill="1" applyBorder="1" applyAlignment="1"/>
    <xf numFmtId="2" fontId="9" fillId="0" borderId="0" xfId="0" applyNumberFormat="1" applyFont="1" applyBorder="1"/>
    <xf numFmtId="0" fontId="9" fillId="0" borderId="1" xfId="0" applyFont="1" applyFill="1" applyBorder="1"/>
    <xf numFmtId="2" fontId="9" fillId="0" borderId="0" xfId="0" applyNumberFormat="1" applyFont="1" applyFill="1" applyBorder="1" applyAlignment="1"/>
    <xf numFmtId="2" fontId="9" fillId="0" borderId="0" xfId="0" applyNumberFormat="1" applyFont="1" applyFill="1"/>
    <xf numFmtId="10" fontId="9" fillId="0" borderId="0" xfId="0" applyNumberFormat="1" applyFont="1" applyFill="1"/>
    <xf numFmtId="0" fontId="9" fillId="0" borderId="0" xfId="0" applyFont="1" applyFill="1"/>
    <xf numFmtId="0" fontId="15" fillId="0" borderId="0" xfId="0" applyFont="1"/>
    <xf numFmtId="0" fontId="15" fillId="0" borderId="2" xfId="0" applyFont="1" applyBorder="1"/>
    <xf numFmtId="0" fontId="15" fillId="0" borderId="2" xfId="0" applyFont="1" applyFill="1" applyBorder="1"/>
    <xf numFmtId="0" fontId="9" fillId="0" borderId="2" xfId="0" applyFont="1" applyBorder="1"/>
    <xf numFmtId="2" fontId="15" fillId="0" borderId="2" xfId="0" applyNumberFormat="1" applyFont="1" applyBorder="1"/>
    <xf numFmtId="9" fontId="17" fillId="0" borderId="2" xfId="6" applyFont="1" applyBorder="1"/>
    <xf numFmtId="0" fontId="15" fillId="0" borderId="5" xfId="0" applyFont="1" applyBorder="1"/>
    <xf numFmtId="2" fontId="15" fillId="0" borderId="5" xfId="0" applyNumberFormat="1" applyFont="1" applyBorder="1"/>
    <xf numFmtId="0" fontId="15" fillId="0" borderId="2" xfId="0" applyFont="1" applyBorder="1" applyAlignment="1">
      <alignment horizontal="left"/>
    </xf>
    <xf numFmtId="0" fontId="15" fillId="0" borderId="7" xfId="0" applyFont="1" applyBorder="1" applyAlignment="1"/>
    <xf numFmtId="0" fontId="15" fillId="0" borderId="6" xfId="0" applyFont="1" applyBorder="1" applyAlignment="1"/>
    <xf numFmtId="0" fontId="15" fillId="0" borderId="5" xfId="0" applyFont="1" applyBorder="1" applyAlignment="1"/>
    <xf numFmtId="9" fontId="15" fillId="0" borderId="2" xfId="0" applyNumberFormat="1" applyFont="1" applyBorder="1"/>
    <xf numFmtId="166" fontId="2" fillId="5" borderId="0" xfId="0" applyNumberFormat="1" applyFont="1" applyFill="1" applyBorder="1" applyAlignment="1">
      <alignment horizontal="center" wrapText="1"/>
    </xf>
    <xf numFmtId="10" fontId="9" fillId="0" borderId="4" xfId="6" applyNumberFormat="1" applyFont="1" applyBorder="1"/>
    <xf numFmtId="1" fontId="9" fillId="0" borderId="4" xfId="0" applyNumberFormat="1" applyFont="1" applyFill="1" applyBorder="1" applyAlignment="1"/>
    <xf numFmtId="1" fontId="9" fillId="0" borderId="1" xfId="0" applyNumberFormat="1" applyFont="1" applyFill="1" applyBorder="1" applyAlignment="1"/>
    <xf numFmtId="9" fontId="9" fillId="0" borderId="1" xfId="6" applyFont="1" applyFill="1" applyBorder="1" applyAlignment="1"/>
    <xf numFmtId="0" fontId="16" fillId="0" borderId="0" xfId="122"/>
    <xf numFmtId="10" fontId="16" fillId="0" borderId="0" xfId="122" applyNumberFormat="1"/>
    <xf numFmtId="0" fontId="16" fillId="0" borderId="0" xfId="122" applyFill="1"/>
    <xf numFmtId="2" fontId="0" fillId="0" borderId="0" xfId="0" applyNumberFormat="1" applyBorder="1"/>
    <xf numFmtId="166" fontId="2" fillId="10" borderId="0" xfId="0" applyNumberFormat="1" applyFont="1" applyFill="1" applyBorder="1" applyAlignment="1">
      <alignment horizontal="center"/>
    </xf>
    <xf numFmtId="9" fontId="15" fillId="0" borderId="2" xfId="6" applyFont="1" applyBorder="1"/>
    <xf numFmtId="166" fontId="2" fillId="5" borderId="2" xfId="0" applyNumberFormat="1" applyFont="1" applyFill="1" applyBorder="1" applyAlignment="1">
      <alignment horizontal="center"/>
    </xf>
    <xf numFmtId="2" fontId="15" fillId="0" borderId="2" xfId="6" applyNumberFormat="1" applyFont="1" applyBorder="1"/>
    <xf numFmtId="164" fontId="10" fillId="6" borderId="4" xfId="0" applyNumberFormat="1" applyFont="1" applyFill="1" applyBorder="1"/>
    <xf numFmtId="168" fontId="10" fillId="6" borderId="4" xfId="0" applyNumberFormat="1" applyFont="1" applyFill="1" applyBorder="1"/>
    <xf numFmtId="166" fontId="2" fillId="5" borderId="2" xfId="1" applyNumberFormat="1" applyFont="1" applyFill="1" applyBorder="1"/>
    <xf numFmtId="0" fontId="0" fillId="0" borderId="2" xfId="0" applyBorder="1"/>
    <xf numFmtId="10" fontId="0" fillId="0" borderId="2" xfId="6" applyNumberFormat="1" applyFont="1" applyBorder="1"/>
    <xf numFmtId="0" fontId="0" fillId="11" borderId="2" xfId="0" applyFill="1" applyBorder="1"/>
    <xf numFmtId="10" fontId="0" fillId="11" borderId="2" xfId="6" applyNumberFormat="1" applyFont="1" applyFill="1" applyBorder="1"/>
    <xf numFmtId="2" fontId="0" fillId="0" borderId="2" xfId="6" applyNumberFormat="1" applyFont="1" applyBorder="1"/>
    <xf numFmtId="2" fontId="0" fillId="0" borderId="2" xfId="6" applyNumberFormat="1" applyFont="1" applyFill="1" applyBorder="1"/>
    <xf numFmtId="2" fontId="0" fillId="0" borderId="2" xfId="0" applyNumberFormat="1" applyBorder="1"/>
    <xf numFmtId="167" fontId="0" fillId="0" borderId="2" xfId="0" applyNumberFormat="1" applyBorder="1"/>
    <xf numFmtId="0" fontId="0" fillId="0" borderId="2" xfId="0" applyFill="1" applyBorder="1"/>
    <xf numFmtId="0" fontId="0" fillId="12" borderId="2" xfId="0" applyFill="1" applyBorder="1"/>
    <xf numFmtId="10" fontId="0" fillId="12" borderId="2" xfId="6" applyNumberFormat="1" applyFont="1" applyFill="1" applyBorder="1"/>
    <xf numFmtId="2" fontId="0" fillId="12" borderId="2" xfId="6" applyNumberFormat="1" applyFont="1" applyFill="1" applyBorder="1"/>
    <xf numFmtId="0" fontId="7" fillId="11" borderId="2" xfId="0" applyFont="1" applyFill="1" applyBorder="1"/>
    <xf numFmtId="10" fontId="7" fillId="11" borderId="2" xfId="6" applyNumberFormat="1" applyFont="1" applyFill="1" applyBorder="1"/>
    <xf numFmtId="0" fontId="5" fillId="10" borderId="2" xfId="0" applyFont="1" applyFill="1" applyBorder="1"/>
    <xf numFmtId="9" fontId="0" fillId="0" borderId="2" xfId="0" applyNumberFormat="1" applyBorder="1"/>
    <xf numFmtId="10" fontId="0" fillId="0" borderId="2" xfId="0" applyNumberFormat="1" applyBorder="1"/>
    <xf numFmtId="2" fontId="5" fillId="10" borderId="2" xfId="6" applyNumberFormat="1" applyFont="1" applyFill="1" applyBorder="1"/>
    <xf numFmtId="166" fontId="2" fillId="5" borderId="2" xfId="0" applyNumberFormat="1" applyFont="1" applyFill="1" applyBorder="1" applyAlignment="1">
      <alignment horizontal="left"/>
    </xf>
    <xf numFmtId="166" fontId="2" fillId="5" borderId="2" xfId="0" applyNumberFormat="1" applyFont="1" applyFill="1" applyBorder="1" applyAlignment="1">
      <alignment horizontal="center"/>
    </xf>
    <xf numFmtId="168" fontId="0" fillId="0" borderId="2" xfId="0" applyNumberFormat="1" applyBorder="1"/>
    <xf numFmtId="166" fontId="19" fillId="13" borderId="2" xfId="0" applyNumberFormat="1" applyFont="1" applyFill="1" applyBorder="1" applyAlignment="1">
      <alignment horizontal="center"/>
    </xf>
    <xf numFmtId="43" fontId="0" fillId="0" borderId="0" xfId="0" applyNumberFormat="1" applyFont="1" applyBorder="1"/>
    <xf numFmtId="166" fontId="1" fillId="0" borderId="2" xfId="0" applyNumberFormat="1" applyFont="1" applyBorder="1"/>
    <xf numFmtId="43" fontId="0" fillId="0" borderId="2" xfId="0" applyNumberFormat="1" applyBorder="1"/>
    <xf numFmtId="10" fontId="0" fillId="0" borderId="2" xfId="6" applyNumberFormat="1" applyFont="1" applyFill="1" applyBorder="1"/>
    <xf numFmtId="2" fontId="0" fillId="0" borderId="2" xfId="0" applyNumberFormat="1" applyFill="1" applyBorder="1"/>
    <xf numFmtId="10" fontId="0" fillId="0" borderId="2" xfId="0" applyNumberFormat="1" applyFill="1" applyBorder="1"/>
    <xf numFmtId="2" fontId="0" fillId="11" borderId="2" xfId="0" applyNumberFormat="1" applyFill="1" applyBorder="1"/>
    <xf numFmtId="0" fontId="0" fillId="14" borderId="2" xfId="0" applyFill="1" applyBorder="1"/>
    <xf numFmtId="2" fontId="0" fillId="14" borderId="2" xfId="0" applyNumberFormat="1" applyFill="1" applyBorder="1"/>
    <xf numFmtId="0" fontId="0" fillId="15" borderId="2" xfId="0" applyFill="1" applyBorder="1"/>
    <xf numFmtId="10" fontId="0" fillId="15" borderId="2" xfId="6" applyNumberFormat="1" applyFont="1" applyFill="1" applyBorder="1"/>
    <xf numFmtId="0" fontId="0" fillId="16" borderId="2" xfId="0" applyFill="1" applyBorder="1"/>
    <xf numFmtId="9" fontId="0" fillId="16" borderId="2" xfId="0" applyNumberFormat="1" applyFill="1" applyBorder="1"/>
    <xf numFmtId="166" fontId="2" fillId="5" borderId="2" xfId="0" applyNumberFormat="1" applyFont="1" applyFill="1" applyBorder="1" applyAlignment="1">
      <alignment horizontal="center"/>
    </xf>
    <xf numFmtId="10" fontId="0" fillId="0" borderId="0" xfId="6" applyNumberFormat="1" applyFont="1"/>
    <xf numFmtId="0" fontId="7" fillId="13" borderId="2" xfId="0" applyFont="1" applyFill="1" applyBorder="1"/>
    <xf numFmtId="10" fontId="7" fillId="13" borderId="2" xfId="6" applyNumberFormat="1" applyFont="1" applyFill="1" applyBorder="1"/>
    <xf numFmtId="2" fontId="1" fillId="0" borderId="0" xfId="0" applyNumberFormat="1" applyFont="1" applyBorder="1"/>
    <xf numFmtId="2" fontId="5" fillId="10" borderId="2" xfId="0" applyNumberFormat="1" applyFont="1" applyFill="1" applyBorder="1"/>
    <xf numFmtId="0" fontId="1" fillId="0" borderId="2" xfId="0" applyFont="1" applyBorder="1"/>
    <xf numFmtId="2" fontId="2" fillId="10" borderId="2" xfId="0" applyNumberFormat="1" applyFont="1" applyFill="1" applyBorder="1"/>
    <xf numFmtId="2" fontId="7" fillId="13" borderId="2" xfId="0" applyNumberFormat="1" applyFont="1" applyFill="1" applyBorder="1"/>
    <xf numFmtId="9" fontId="19" fillId="13" borderId="2" xfId="6" applyFont="1" applyFill="1" applyBorder="1"/>
    <xf numFmtId="166" fontId="2" fillId="5" borderId="2" xfId="0" applyNumberFormat="1" applyFont="1" applyFill="1" applyBorder="1" applyAlignment="1">
      <alignment horizontal="center"/>
    </xf>
    <xf numFmtId="165" fontId="5" fillId="10" borderId="2" xfId="6" applyNumberFormat="1" applyFont="1" applyFill="1" applyBorder="1"/>
    <xf numFmtId="2" fontId="0" fillId="0" borderId="0" xfId="0" applyNumberFormat="1" applyFont="1" applyBorder="1"/>
    <xf numFmtId="10" fontId="5" fillId="10" borderId="2" xfId="6" applyNumberFormat="1" applyFont="1" applyFill="1" applyBorder="1"/>
    <xf numFmtId="9" fontId="15" fillId="0" borderId="2" xfId="6" applyNumberFormat="1" applyFont="1" applyBorder="1"/>
    <xf numFmtId="0" fontId="15" fillId="0" borderId="12" xfId="0" applyFont="1" applyBorder="1"/>
    <xf numFmtId="10" fontId="15" fillId="0" borderId="2" xfId="0" applyNumberFormat="1" applyFont="1" applyBorder="1"/>
    <xf numFmtId="0" fontId="9" fillId="0" borderId="13" xfId="0" applyFont="1" applyBorder="1"/>
    <xf numFmtId="0" fontId="15" fillId="0" borderId="13" xfId="0" applyFont="1" applyBorder="1"/>
    <xf numFmtId="2" fontId="15" fillId="0" borderId="13" xfId="0" applyNumberFormat="1" applyFont="1" applyBorder="1"/>
    <xf numFmtId="9" fontId="15" fillId="0" borderId="13" xfId="6" applyNumberFormat="1" applyFont="1" applyBorder="1"/>
    <xf numFmtId="9" fontId="17" fillId="0" borderId="13" xfId="6" applyFont="1" applyBorder="1"/>
    <xf numFmtId="9" fontId="15" fillId="0" borderId="13" xfId="6" applyFont="1" applyBorder="1"/>
    <xf numFmtId="2" fontId="15" fillId="0" borderId="13" xfId="6" applyNumberFormat="1" applyFont="1" applyBorder="1"/>
    <xf numFmtId="2" fontId="10" fillId="6" borderId="14" xfId="0" applyNumberFormat="1" applyFont="1" applyFill="1" applyBorder="1"/>
    <xf numFmtId="10" fontId="10" fillId="6" borderId="14" xfId="0" applyNumberFormat="1" applyFont="1" applyFill="1" applyBorder="1"/>
    <xf numFmtId="1" fontId="10" fillId="6" borderId="14" xfId="0" applyNumberFormat="1" applyFont="1" applyFill="1" applyBorder="1"/>
    <xf numFmtId="168" fontId="10" fillId="6" borderId="14" xfId="0" applyNumberFormat="1" applyFont="1" applyFill="1" applyBorder="1"/>
    <xf numFmtId="10" fontId="12" fillId="7" borderId="14" xfId="0" applyNumberFormat="1" applyFont="1" applyFill="1" applyBorder="1" applyAlignment="1">
      <alignment horizontal="right"/>
    </xf>
    <xf numFmtId="10" fontId="10" fillId="7" borderId="14" xfId="0" applyNumberFormat="1" applyFont="1" applyFill="1" applyBorder="1"/>
    <xf numFmtId="2" fontId="9" fillId="0" borderId="14" xfId="0" applyNumberFormat="1" applyFont="1" applyFill="1" applyBorder="1" applyAlignment="1">
      <alignment horizontal="right"/>
    </xf>
    <xf numFmtId="10" fontId="9" fillId="0" borderId="14" xfId="0" applyNumberFormat="1" applyFont="1" applyBorder="1"/>
    <xf numFmtId="10" fontId="9" fillId="0" borderId="14" xfId="6" applyNumberFormat="1" applyFont="1" applyBorder="1"/>
    <xf numFmtId="2" fontId="9" fillId="0" borderId="14" xfId="0" applyNumberFormat="1" applyFont="1" applyBorder="1"/>
    <xf numFmtId="1" fontId="9" fillId="0" borderId="14" xfId="0" applyNumberFormat="1" applyFont="1" applyFill="1" applyBorder="1" applyAlignment="1"/>
    <xf numFmtId="1" fontId="9" fillId="0" borderId="15" xfId="0" applyNumberFormat="1" applyFont="1" applyFill="1" applyBorder="1" applyAlignment="1"/>
    <xf numFmtId="2" fontId="9" fillId="0" borderId="15" xfId="0" applyNumberFormat="1" applyFont="1" applyBorder="1"/>
    <xf numFmtId="2" fontId="10" fillId="6" borderId="2" xfId="0" applyNumberFormat="1" applyFont="1" applyFill="1" applyBorder="1"/>
    <xf numFmtId="2" fontId="9" fillId="0" borderId="2" xfId="0" applyNumberFormat="1" applyFont="1" applyBorder="1"/>
    <xf numFmtId="0" fontId="8" fillId="0" borderId="2" xfId="0" applyFont="1" applyBorder="1"/>
    <xf numFmtId="10" fontId="9" fillId="0" borderId="2" xfId="0" applyNumberFormat="1" applyFont="1" applyBorder="1"/>
    <xf numFmtId="10" fontId="10" fillId="7" borderId="2" xfId="0" applyNumberFormat="1" applyFont="1" applyFill="1" applyBorder="1"/>
    <xf numFmtId="0" fontId="0" fillId="0" borderId="0" xfId="0" applyFont="1"/>
    <xf numFmtId="10" fontId="0" fillId="0" borderId="2" xfId="6" applyNumberFormat="1" applyFont="1" applyBorder="1" applyAlignment="1">
      <alignment horizontal="right"/>
    </xf>
    <xf numFmtId="9" fontId="0" fillId="18" borderId="2" xfId="6" applyFont="1" applyFill="1" applyBorder="1"/>
    <xf numFmtId="9" fontId="1" fillId="18" borderId="2" xfId="6" applyFont="1" applyFill="1" applyBorder="1"/>
    <xf numFmtId="1" fontId="1" fillId="18" borderId="2" xfId="6" applyNumberFormat="1" applyFont="1" applyFill="1" applyBorder="1"/>
    <xf numFmtId="10" fontId="3" fillId="0" borderId="0" xfId="6" applyNumberFormat="1" applyFont="1" applyBorder="1"/>
    <xf numFmtId="10" fontId="0" fillId="0" borderId="0" xfId="6" applyNumberFormat="1" applyFont="1" applyBorder="1"/>
    <xf numFmtId="0" fontId="20" fillId="0" borderId="0" xfId="0" applyFont="1" applyFill="1" applyBorder="1" applyAlignment="1">
      <alignment horizontal="right"/>
    </xf>
    <xf numFmtId="0" fontId="0" fillId="0" borderId="2" xfId="0" applyFont="1" applyBorder="1"/>
    <xf numFmtId="2" fontId="0" fillId="0" borderId="2" xfId="0" applyNumberFormat="1" applyFont="1" applyBorder="1"/>
    <xf numFmtId="0" fontId="0" fillId="0" borderId="2" xfId="0" applyFont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/>
    </xf>
    <xf numFmtId="9" fontId="21" fillId="18" borderId="2" xfId="6" applyFont="1" applyFill="1" applyBorder="1"/>
    <xf numFmtId="0" fontId="21" fillId="0" borderId="0" xfId="0" applyFont="1" applyFill="1" applyBorder="1"/>
    <xf numFmtId="0" fontId="21" fillId="0" borderId="0" xfId="0" applyFont="1" applyBorder="1"/>
    <xf numFmtId="0" fontId="22" fillId="0" borderId="0" xfId="0" applyFont="1"/>
    <xf numFmtId="0" fontId="19" fillId="17" borderId="13" xfId="0" applyFont="1" applyFill="1" applyBorder="1" applyAlignment="1">
      <alignment horizontal="left"/>
    </xf>
    <xf numFmtId="0" fontId="19" fillId="17" borderId="12" xfId="0" applyFont="1" applyFill="1" applyBorder="1" applyAlignment="1">
      <alignment horizontal="left"/>
    </xf>
    <xf numFmtId="0" fontId="7" fillId="0" borderId="2" xfId="0" applyFont="1" applyBorder="1" applyAlignment="1">
      <alignment horizontal="right"/>
    </xf>
    <xf numFmtId="0" fontId="0" fillId="13" borderId="2" xfId="0" applyFont="1" applyFill="1" applyBorder="1"/>
    <xf numFmtId="10" fontId="0" fillId="0" borderId="0" xfId="0" applyNumberFormat="1" applyFont="1"/>
    <xf numFmtId="2" fontId="23" fillId="0" borderId="2" xfId="0" applyNumberFormat="1" applyFont="1" applyBorder="1"/>
    <xf numFmtId="10" fontId="23" fillId="0" borderId="2" xfId="0" applyNumberFormat="1" applyFont="1" applyBorder="1"/>
    <xf numFmtId="10" fontId="19" fillId="11" borderId="2" xfId="0" applyNumberFormat="1" applyFont="1" applyFill="1" applyBorder="1"/>
    <xf numFmtId="0" fontId="19" fillId="11" borderId="2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right"/>
    </xf>
    <xf numFmtId="0" fontId="19" fillId="0" borderId="2" xfId="0" applyFont="1" applyFill="1" applyBorder="1" applyAlignment="1">
      <alignment horizontal="right"/>
    </xf>
    <xf numFmtId="0" fontId="7" fillId="0" borderId="2" xfId="0" applyFont="1" applyFill="1" applyBorder="1" applyAlignment="1">
      <alignment horizontal="right"/>
    </xf>
    <xf numFmtId="10" fontId="7" fillId="0" borderId="2" xfId="6" applyNumberFormat="1" applyFont="1" applyBorder="1" applyAlignment="1">
      <alignment horizontal="right"/>
    </xf>
    <xf numFmtId="0" fontId="19" fillId="0" borderId="2" xfId="0" applyFont="1" applyBorder="1" applyAlignment="1">
      <alignment horizontal="right"/>
    </xf>
    <xf numFmtId="10" fontId="7" fillId="0" borderId="2" xfId="0" applyNumberFormat="1" applyFont="1" applyBorder="1" applyAlignment="1">
      <alignment horizontal="right"/>
    </xf>
    <xf numFmtId="169" fontId="7" fillId="0" borderId="2" xfId="0" applyNumberFormat="1" applyFont="1" applyBorder="1" applyAlignment="1">
      <alignment horizontal="right"/>
    </xf>
    <xf numFmtId="10" fontId="19" fillId="0" borderId="2" xfId="0" applyNumberFormat="1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10" fontId="7" fillId="0" borderId="12" xfId="6" applyNumberFormat="1" applyFont="1" applyBorder="1" applyAlignment="1">
      <alignment horizontal="right"/>
    </xf>
    <xf numFmtId="2" fontId="5" fillId="10" borderId="0" xfId="0" applyNumberFormat="1" applyFont="1" applyFill="1" applyBorder="1"/>
    <xf numFmtId="10" fontId="9" fillId="0" borderId="0" xfId="0" applyNumberFormat="1" applyFont="1" applyBorder="1"/>
    <xf numFmtId="0" fontId="8" fillId="0" borderId="0" xfId="0" applyFont="1" applyBorder="1" applyAlignment="1">
      <alignment horizontal="right"/>
    </xf>
    <xf numFmtId="9" fontId="0" fillId="0" borderId="2" xfId="6" applyFont="1" applyBorder="1"/>
    <xf numFmtId="166" fontId="2" fillId="5" borderId="2" xfId="0" applyNumberFormat="1" applyFont="1" applyFill="1" applyBorder="1" applyAlignment="1">
      <alignment horizontal="center"/>
    </xf>
    <xf numFmtId="166" fontId="2" fillId="5" borderId="2" xfId="0" applyNumberFormat="1" applyFont="1" applyFill="1" applyBorder="1" applyAlignment="1">
      <alignment horizontal="center"/>
    </xf>
    <xf numFmtId="0" fontId="1" fillId="0" borderId="0" xfId="0" applyFont="1"/>
    <xf numFmtId="0" fontId="0" fillId="19" borderId="26" xfId="0" applyFill="1" applyBorder="1" applyAlignment="1">
      <alignment horizontal="center"/>
    </xf>
    <xf numFmtId="9" fontId="21" fillId="18" borderId="2" xfId="6" applyFont="1" applyFill="1" applyBorder="1" applyAlignment="1">
      <alignment horizontal="center"/>
    </xf>
    <xf numFmtId="0" fontId="1" fillId="19" borderId="0" xfId="0" applyFont="1" applyFill="1" applyAlignment="1">
      <alignment horizontal="right"/>
    </xf>
    <xf numFmtId="0" fontId="0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1" fillId="0" borderId="2" xfId="0" applyFont="1" applyBorder="1" applyAlignment="1">
      <alignment horizontal="right"/>
    </xf>
    <xf numFmtId="10" fontId="1" fillId="0" borderId="2" xfId="6" applyNumberFormat="1" applyFont="1" applyBorder="1"/>
    <xf numFmtId="0" fontId="0" fillId="19" borderId="2" xfId="0" applyFill="1" applyBorder="1"/>
    <xf numFmtId="0" fontId="0" fillId="19" borderId="27" xfId="0" applyFill="1" applyBorder="1" applyAlignment="1">
      <alignment horizontal="center"/>
    </xf>
    <xf numFmtId="0" fontId="0" fillId="0" borderId="2" xfId="0" applyBorder="1" applyAlignment="1">
      <alignment horizontal="right"/>
    </xf>
    <xf numFmtId="0" fontId="0" fillId="0" borderId="2" xfId="0" applyFill="1" applyBorder="1" applyAlignment="1">
      <alignment horizontal="right"/>
    </xf>
    <xf numFmtId="0" fontId="9" fillId="9" borderId="4" xfId="0" applyFont="1" applyFill="1" applyBorder="1" applyAlignment="1">
      <alignment horizontal="right"/>
    </xf>
    <xf numFmtId="0" fontId="9" fillId="9" borderId="14" xfId="0" applyFont="1" applyFill="1" applyBorder="1" applyAlignment="1">
      <alignment horizontal="right"/>
    </xf>
    <xf numFmtId="166" fontId="2" fillId="5" borderId="8" xfId="0" applyNumberFormat="1" applyFont="1" applyFill="1" applyBorder="1" applyAlignment="1">
      <alignment horizontal="center" wrapText="1"/>
    </xf>
    <xf numFmtId="166" fontId="2" fillId="5" borderId="9" xfId="0" applyNumberFormat="1" applyFont="1" applyFill="1" applyBorder="1" applyAlignment="1">
      <alignment horizontal="center" wrapText="1"/>
    </xf>
    <xf numFmtId="0" fontId="9" fillId="0" borderId="0" xfId="0" applyFont="1" applyBorder="1" applyAlignment="1">
      <alignment horizontal="left"/>
    </xf>
    <xf numFmtId="164" fontId="4" fillId="0" borderId="0" xfId="2" applyNumberFormat="1" applyBorder="1" applyAlignment="1" applyProtection="1">
      <alignment horizontal="center"/>
    </xf>
    <xf numFmtId="164" fontId="2" fillId="4" borderId="0" xfId="5" applyNumberFormat="1" applyFont="1" applyBorder="1" applyAlignment="1">
      <alignment horizontal="center"/>
    </xf>
    <xf numFmtId="0" fontId="0" fillId="0" borderId="2" xfId="0" applyBorder="1" applyAlignment="1">
      <alignment horizontal="right"/>
    </xf>
    <xf numFmtId="0" fontId="0" fillId="19" borderId="13" xfId="0" applyFill="1" applyBorder="1" applyAlignment="1">
      <alignment horizontal="center"/>
    </xf>
    <xf numFmtId="0" fontId="0" fillId="19" borderId="18" xfId="0" applyFill="1" applyBorder="1" applyAlignment="1">
      <alignment horizontal="center"/>
    </xf>
    <xf numFmtId="0" fontId="0" fillId="19" borderId="12" xfId="0" applyFill="1" applyBorder="1" applyAlignment="1">
      <alignment horizontal="center"/>
    </xf>
    <xf numFmtId="166" fontId="2" fillId="5" borderId="2" xfId="0" applyNumberFormat="1" applyFont="1" applyFill="1" applyBorder="1" applyAlignment="1">
      <alignment horizontal="center"/>
    </xf>
    <xf numFmtId="166" fontId="2" fillId="5" borderId="10" xfId="0" applyNumberFormat="1" applyFont="1" applyFill="1" applyBorder="1" applyAlignment="1">
      <alignment horizontal="center"/>
    </xf>
    <xf numFmtId="166" fontId="2" fillId="5" borderId="11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0" fillId="0" borderId="13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17" borderId="2" xfId="0" applyFont="1" applyFill="1" applyBorder="1" applyAlignment="1">
      <alignment horizontal="center"/>
    </xf>
    <xf numFmtId="0" fontId="0" fillId="0" borderId="2" xfId="0" applyFont="1" applyBorder="1" applyAlignment="1">
      <alignment horizontal="left"/>
    </xf>
    <xf numFmtId="0" fontId="0" fillId="17" borderId="13" xfId="0" applyFont="1" applyFill="1" applyBorder="1" applyAlignment="1">
      <alignment horizontal="center"/>
    </xf>
    <xf numFmtId="0" fontId="0" fillId="17" borderId="18" xfId="0" applyFont="1" applyFill="1" applyBorder="1" applyAlignment="1">
      <alignment horizontal="center"/>
    </xf>
    <xf numFmtId="0" fontId="0" fillId="17" borderId="12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19" fillId="11" borderId="2" xfId="0" applyFont="1" applyFill="1" applyBorder="1" applyAlignment="1">
      <alignment horizontal="left"/>
    </xf>
    <xf numFmtId="0" fontId="19" fillId="17" borderId="2" xfId="0" applyFont="1" applyFill="1" applyBorder="1" applyAlignment="1">
      <alignment horizontal="center"/>
    </xf>
    <xf numFmtId="0" fontId="19" fillId="17" borderId="13" xfId="0" applyFont="1" applyFill="1" applyBorder="1" applyAlignment="1">
      <alignment horizontal="center"/>
    </xf>
    <xf numFmtId="0" fontId="19" fillId="17" borderId="12" xfId="0" applyFont="1" applyFill="1" applyBorder="1" applyAlignment="1">
      <alignment horizontal="center"/>
    </xf>
    <xf numFmtId="0" fontId="19" fillId="17" borderId="2" xfId="0" applyFont="1" applyFill="1" applyBorder="1" applyAlignment="1">
      <alignment horizontal="left" wrapText="1"/>
    </xf>
    <xf numFmtId="0" fontId="0" fillId="0" borderId="23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25" xfId="0" applyFont="1" applyBorder="1" applyAlignment="1">
      <alignment horizontal="left"/>
    </xf>
  </cellXfs>
  <cellStyles count="436">
    <cellStyle name="60% - Accent1" xfId="3" builtinId="32"/>
    <cellStyle name="60% - Accent3" xfId="4" builtinId="40"/>
    <cellStyle name="Accent6" xfId="5" builtinId="49"/>
    <cellStyle name="Comma" xfId="1" builtinId="3"/>
    <cellStyle name="Excel Built-in Normal 1" xfId="122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Followed Hyperlink" xfId="240" builtinId="9" hidden="1"/>
    <cellStyle name="Followed Hyperlink" xfId="241" builtinId="9" hidden="1"/>
    <cellStyle name="Followed Hyperlink" xfId="242" builtinId="9" hidden="1"/>
    <cellStyle name="Followed Hyperlink" xfId="243" builtinId="9" hidden="1"/>
    <cellStyle name="Followed Hyperlink" xfId="244" builtinId="9" hidden="1"/>
    <cellStyle name="Followed Hyperlink" xfId="245" builtinId="9" hidden="1"/>
    <cellStyle name="Followed Hyperlink" xfId="246" builtinId="9" hidden="1"/>
    <cellStyle name="Followed Hyperlink" xfId="247" builtinId="9" hidden="1"/>
    <cellStyle name="Followed Hyperlink" xfId="248" builtinId="9" hidden="1"/>
    <cellStyle name="Followed Hyperlink" xfId="249" builtinId="9" hidden="1"/>
    <cellStyle name="Followed Hyperlink" xfId="250" builtinId="9" hidden="1"/>
    <cellStyle name="Followed Hyperlink" xfId="251" builtinId="9" hidden="1"/>
    <cellStyle name="Followed Hyperlink" xfId="252" builtinId="9" hidden="1"/>
    <cellStyle name="Followed Hyperlink" xfId="253" builtinId="9" hidden="1"/>
    <cellStyle name="Followed Hyperlink" xfId="254" builtinId="9" hidden="1"/>
    <cellStyle name="Followed Hyperlink" xfId="255" builtinId="9" hidden="1"/>
    <cellStyle name="Followed Hyperlink" xfId="256" builtinId="9" hidden="1"/>
    <cellStyle name="Followed Hyperlink" xfId="257" builtinId="9" hidden="1"/>
    <cellStyle name="Followed Hyperlink" xfId="258" builtinId="9" hidden="1"/>
    <cellStyle name="Followed Hyperlink" xfId="259" builtinId="9" hidden="1"/>
    <cellStyle name="Followed Hyperlink" xfId="260" builtinId="9" hidden="1"/>
    <cellStyle name="Followed Hyperlink" xfId="261" builtinId="9" hidden="1"/>
    <cellStyle name="Followed Hyperlink" xfId="262" builtinId="9" hidden="1"/>
    <cellStyle name="Followed Hyperlink" xfId="263" builtinId="9" hidden="1"/>
    <cellStyle name="Followed Hyperlink" xfId="264" builtinId="9" hidden="1"/>
    <cellStyle name="Followed Hyperlink" xfId="265" builtinId="9" hidden="1"/>
    <cellStyle name="Followed Hyperlink" xfId="266" builtinId="9" hidden="1"/>
    <cellStyle name="Followed Hyperlink" xfId="267" builtinId="9" hidden="1"/>
    <cellStyle name="Followed Hyperlink" xfId="268" builtinId="9" hidden="1"/>
    <cellStyle name="Followed Hyperlink" xfId="269" builtinId="9" hidden="1"/>
    <cellStyle name="Followed Hyperlink" xfId="270" builtinId="9" hidden="1"/>
    <cellStyle name="Followed Hyperlink" xfId="271" builtinId="9" hidden="1"/>
    <cellStyle name="Followed Hyperlink" xfId="272" builtinId="9" hidden="1"/>
    <cellStyle name="Followed Hyperlink" xfId="273" builtinId="9" hidden="1"/>
    <cellStyle name="Followed Hyperlink" xfId="274" builtinId="9" hidden="1"/>
    <cellStyle name="Followed Hyperlink" xfId="275" builtinId="9" hidden="1"/>
    <cellStyle name="Followed Hyperlink" xfId="276" builtinId="9" hidden="1"/>
    <cellStyle name="Followed Hyperlink" xfId="277" builtinId="9" hidden="1"/>
    <cellStyle name="Followed Hyperlink" xfId="278" builtinId="9" hidden="1"/>
    <cellStyle name="Followed Hyperlink" xfId="279" builtinId="9" hidden="1"/>
    <cellStyle name="Followed Hyperlink" xfId="280" builtinId="9" hidden="1"/>
    <cellStyle name="Followed Hyperlink" xfId="281" builtinId="9" hidden="1"/>
    <cellStyle name="Followed Hyperlink" xfId="282" builtinId="9" hidden="1"/>
    <cellStyle name="Followed Hyperlink" xfId="283" builtinId="9" hidden="1"/>
    <cellStyle name="Followed Hyperlink" xfId="284" builtinId="9" hidden="1"/>
    <cellStyle name="Followed Hyperlink" xfId="285" builtinId="9" hidden="1"/>
    <cellStyle name="Followed Hyperlink" xfId="286" builtinId="9" hidden="1"/>
    <cellStyle name="Followed Hyperlink" xfId="287" builtinId="9" hidden="1"/>
    <cellStyle name="Followed Hyperlink" xfId="288" builtinId="9" hidden="1"/>
    <cellStyle name="Followed Hyperlink" xfId="289" builtinId="9" hidden="1"/>
    <cellStyle name="Followed Hyperlink" xfId="290" builtinId="9" hidden="1"/>
    <cellStyle name="Followed Hyperlink" xfId="291" builtinId="9" hidden="1"/>
    <cellStyle name="Followed Hyperlink" xfId="292" builtinId="9" hidden="1"/>
    <cellStyle name="Followed Hyperlink" xfId="293" builtinId="9" hidden="1"/>
    <cellStyle name="Followed Hyperlink" xfId="294" builtinId="9" hidden="1"/>
    <cellStyle name="Followed Hyperlink" xfId="295" builtinId="9" hidden="1"/>
    <cellStyle name="Followed Hyperlink" xfId="296" builtinId="9" hidden="1"/>
    <cellStyle name="Followed Hyperlink" xfId="297" builtinId="9" hidden="1"/>
    <cellStyle name="Followed Hyperlink" xfId="298" builtinId="9" hidden="1"/>
    <cellStyle name="Followed Hyperlink" xfId="299" builtinId="9" hidden="1"/>
    <cellStyle name="Followed Hyperlink" xfId="300" builtinId="9" hidden="1"/>
    <cellStyle name="Followed Hyperlink" xfId="301" builtinId="9" hidden="1"/>
    <cellStyle name="Followed Hyperlink" xfId="302" builtinId="9" hidden="1"/>
    <cellStyle name="Followed Hyperlink" xfId="303" builtinId="9" hidden="1"/>
    <cellStyle name="Followed Hyperlink" xfId="304" builtinId="9" hidden="1"/>
    <cellStyle name="Followed Hyperlink" xfId="305" builtinId="9" hidden="1"/>
    <cellStyle name="Followed Hyperlink" xfId="306" builtinId="9" hidden="1"/>
    <cellStyle name="Followed Hyperlink" xfId="307" builtinId="9" hidden="1"/>
    <cellStyle name="Followed Hyperlink" xfId="308" builtinId="9" hidden="1"/>
    <cellStyle name="Followed Hyperlink" xfId="309" builtinId="9" hidden="1"/>
    <cellStyle name="Followed Hyperlink" xfId="310" builtinId="9" hidden="1"/>
    <cellStyle name="Followed Hyperlink" xfId="311" builtinId="9" hidden="1"/>
    <cellStyle name="Followed Hyperlink" xfId="312" builtinId="9" hidden="1"/>
    <cellStyle name="Followed Hyperlink" xfId="313" builtinId="9" hidden="1"/>
    <cellStyle name="Followed Hyperlink" xfId="314" builtinId="9" hidden="1"/>
    <cellStyle name="Followed Hyperlink" xfId="315" builtinId="9" hidden="1"/>
    <cellStyle name="Followed Hyperlink" xfId="316" builtinId="9" hidden="1"/>
    <cellStyle name="Followed Hyperlink" xfId="317" builtinId="9" hidden="1"/>
    <cellStyle name="Followed Hyperlink" xfId="318" builtinId="9" hidden="1"/>
    <cellStyle name="Followed Hyperlink" xfId="319" builtinId="9" hidden="1"/>
    <cellStyle name="Followed Hyperlink" xfId="320" builtinId="9" hidden="1"/>
    <cellStyle name="Followed Hyperlink" xfId="321" builtinId="9" hidden="1"/>
    <cellStyle name="Followed Hyperlink" xfId="322" builtinId="9" hidden="1"/>
    <cellStyle name="Followed Hyperlink" xfId="323" builtinId="9" hidden="1"/>
    <cellStyle name="Followed Hyperlink" xfId="324" builtinId="9" hidden="1"/>
    <cellStyle name="Followed Hyperlink" xfId="325" builtinId="9" hidden="1"/>
    <cellStyle name="Followed Hyperlink" xfId="326" builtinId="9" hidden="1"/>
    <cellStyle name="Followed Hyperlink" xfId="327" builtinId="9" hidden="1"/>
    <cellStyle name="Followed Hyperlink" xfId="328" builtinId="9" hidden="1"/>
    <cellStyle name="Followed Hyperlink" xfId="329" builtinId="9" hidden="1"/>
    <cellStyle name="Followed Hyperlink" xfId="330" builtinId="9" hidden="1"/>
    <cellStyle name="Followed Hyperlink" xfId="331" builtinId="9" hidden="1"/>
    <cellStyle name="Followed Hyperlink" xfId="332" builtinId="9" hidden="1"/>
    <cellStyle name="Followed Hyperlink" xfId="333" builtinId="9" hidden="1"/>
    <cellStyle name="Followed Hyperlink" xfId="334" builtinId="9" hidden="1"/>
    <cellStyle name="Followed Hyperlink" xfId="335" builtinId="9" hidden="1"/>
    <cellStyle name="Followed Hyperlink" xfId="336" builtinId="9" hidden="1"/>
    <cellStyle name="Followed Hyperlink" xfId="337" builtinId="9" hidden="1"/>
    <cellStyle name="Followed Hyperlink" xfId="338" builtinId="9" hidden="1"/>
    <cellStyle name="Followed Hyperlink" xfId="339" builtinId="9" hidden="1"/>
    <cellStyle name="Followed Hyperlink" xfId="340" builtinId="9" hidden="1"/>
    <cellStyle name="Followed Hyperlink" xfId="341" builtinId="9" hidden="1"/>
    <cellStyle name="Followed Hyperlink" xfId="342" builtinId="9" hidden="1"/>
    <cellStyle name="Followed Hyperlink" xfId="343" builtinId="9" hidden="1"/>
    <cellStyle name="Followed Hyperlink" xfId="344" builtinId="9" hidden="1"/>
    <cellStyle name="Followed Hyperlink" xfId="345" builtinId="9" hidden="1"/>
    <cellStyle name="Followed Hyperlink" xfId="346" builtinId="9" hidden="1"/>
    <cellStyle name="Followed Hyperlink" xfId="347" builtinId="9" hidden="1"/>
    <cellStyle name="Followed Hyperlink" xfId="348" builtinId="9" hidden="1"/>
    <cellStyle name="Followed Hyperlink" xfId="349" builtinId="9" hidden="1"/>
    <cellStyle name="Followed Hyperlink" xfId="350" builtinId="9" hidden="1"/>
    <cellStyle name="Followed Hyperlink" xfId="351" builtinId="9" hidden="1"/>
    <cellStyle name="Followed Hyperlink" xfId="352" builtinId="9" hidden="1"/>
    <cellStyle name="Followed Hyperlink" xfId="353" builtinId="9" hidden="1"/>
    <cellStyle name="Followed Hyperlink" xfId="354" builtinId="9" hidden="1"/>
    <cellStyle name="Followed Hyperlink" xfId="355" builtinId="9" hidden="1"/>
    <cellStyle name="Followed Hyperlink" xfId="356" builtinId="9" hidden="1"/>
    <cellStyle name="Followed Hyperlink" xfId="357" builtinId="9" hidden="1"/>
    <cellStyle name="Followed Hyperlink" xfId="358" builtinId="9" hidden="1"/>
    <cellStyle name="Followed Hyperlink" xfId="359" builtinId="9" hidden="1"/>
    <cellStyle name="Followed Hyperlink" xfId="360" builtinId="9" hidden="1"/>
    <cellStyle name="Followed Hyperlink" xfId="361" builtinId="9" hidden="1"/>
    <cellStyle name="Followed Hyperlink" xfId="362" builtinId="9" hidden="1"/>
    <cellStyle name="Followed Hyperlink" xfId="363" builtinId="9" hidden="1"/>
    <cellStyle name="Followed Hyperlink" xfId="364" builtinId="9" hidden="1"/>
    <cellStyle name="Followed Hyperlink" xfId="365" builtinId="9" hidden="1"/>
    <cellStyle name="Followed Hyperlink" xfId="366" builtinId="9" hidden="1"/>
    <cellStyle name="Followed Hyperlink" xfId="367" builtinId="9" hidden="1"/>
    <cellStyle name="Followed Hyperlink" xfId="368" builtinId="9" hidden="1"/>
    <cellStyle name="Followed Hyperlink" xfId="369" builtinId="9" hidden="1"/>
    <cellStyle name="Followed Hyperlink" xfId="370" builtinId="9" hidden="1"/>
    <cellStyle name="Followed Hyperlink" xfId="371" builtinId="9" hidden="1"/>
    <cellStyle name="Followed Hyperlink" xfId="372" builtinId="9" hidden="1"/>
    <cellStyle name="Followed Hyperlink" xfId="373" builtinId="9" hidden="1"/>
    <cellStyle name="Followed Hyperlink" xfId="374" builtinId="9" hidden="1"/>
    <cellStyle name="Followed Hyperlink" xfId="375" builtinId="9" hidden="1"/>
    <cellStyle name="Followed Hyperlink" xfId="376" builtinId="9" hidden="1"/>
    <cellStyle name="Followed Hyperlink" xfId="377" builtinId="9" hidden="1"/>
    <cellStyle name="Followed Hyperlink" xfId="378" builtinId="9" hidden="1"/>
    <cellStyle name="Followed Hyperlink" xfId="379" builtinId="9" hidden="1"/>
    <cellStyle name="Followed Hyperlink" xfId="380" builtinId="9" hidden="1"/>
    <cellStyle name="Followed Hyperlink" xfId="381" builtinId="9" hidden="1"/>
    <cellStyle name="Followed Hyperlink" xfId="382" builtinId="9" hidden="1"/>
    <cellStyle name="Followed Hyperlink" xfId="383" builtinId="9" hidden="1"/>
    <cellStyle name="Followed Hyperlink" xfId="384" builtinId="9" hidden="1"/>
    <cellStyle name="Followed Hyperlink" xfId="385" builtinId="9" hidden="1"/>
    <cellStyle name="Followed Hyperlink" xfId="386" builtinId="9" hidden="1"/>
    <cellStyle name="Followed Hyperlink" xfId="387" builtinId="9" hidden="1"/>
    <cellStyle name="Followed Hyperlink" xfId="388" builtinId="9" hidden="1"/>
    <cellStyle name="Followed Hyperlink" xfId="389" builtinId="9" hidden="1"/>
    <cellStyle name="Followed Hyperlink" xfId="390" builtinId="9" hidden="1"/>
    <cellStyle name="Followed Hyperlink" xfId="391" builtinId="9" hidden="1"/>
    <cellStyle name="Followed Hyperlink" xfId="392" builtinId="9" hidden="1"/>
    <cellStyle name="Followed Hyperlink" xfId="393" builtinId="9" hidden="1"/>
    <cellStyle name="Followed Hyperlink" xfId="394" builtinId="9" hidden="1"/>
    <cellStyle name="Followed Hyperlink" xfId="395" builtinId="9" hidden="1"/>
    <cellStyle name="Followed Hyperlink" xfId="396" builtinId="9" hidden="1"/>
    <cellStyle name="Followed Hyperlink" xfId="397" builtinId="9" hidden="1"/>
    <cellStyle name="Followed Hyperlink" xfId="398" builtinId="9" hidden="1"/>
    <cellStyle name="Followed Hyperlink" xfId="399" builtinId="9" hidden="1"/>
    <cellStyle name="Followed Hyperlink" xfId="400" builtinId="9" hidden="1"/>
    <cellStyle name="Followed Hyperlink" xfId="401" builtinId="9" hidden="1"/>
    <cellStyle name="Followed Hyperlink" xfId="402" builtinId="9" hidden="1"/>
    <cellStyle name="Followed Hyperlink" xfId="403" builtinId="9" hidden="1"/>
    <cellStyle name="Followed Hyperlink" xfId="404" builtinId="9" hidden="1"/>
    <cellStyle name="Followed Hyperlink" xfId="405" builtinId="9" hidden="1"/>
    <cellStyle name="Followed Hyperlink" xfId="406" builtinId="9" hidden="1"/>
    <cellStyle name="Followed Hyperlink" xfId="407" builtinId="9" hidden="1"/>
    <cellStyle name="Followed Hyperlink" xfId="408" builtinId="9" hidden="1"/>
    <cellStyle name="Followed Hyperlink" xfId="409" builtinId="9" hidden="1"/>
    <cellStyle name="Followed Hyperlink" xfId="410" builtinId="9" hidden="1"/>
    <cellStyle name="Followed Hyperlink" xfId="411" builtinId="9" hidden="1"/>
    <cellStyle name="Followed Hyperlink" xfId="412" builtinId="9" hidden="1"/>
    <cellStyle name="Followed Hyperlink" xfId="413" builtinId="9" hidden="1"/>
    <cellStyle name="Followed Hyperlink" xfId="414" builtinId="9" hidden="1"/>
    <cellStyle name="Followed Hyperlink" xfId="415" builtinId="9" hidden="1"/>
    <cellStyle name="Followed Hyperlink" xfId="416" builtinId="9" hidden="1"/>
    <cellStyle name="Followed Hyperlink" xfId="417" builtinId="9" hidden="1"/>
    <cellStyle name="Followed Hyperlink" xfId="418" builtinId="9" hidden="1"/>
    <cellStyle name="Followed Hyperlink" xfId="419" builtinId="9" hidden="1"/>
    <cellStyle name="Followed Hyperlink" xfId="420" builtinId="9" hidden="1"/>
    <cellStyle name="Followed Hyperlink" xfId="421" builtinId="9" hidden="1"/>
    <cellStyle name="Followed Hyperlink" xfId="422" builtinId="9" hidden="1"/>
    <cellStyle name="Followed Hyperlink" xfId="423" builtinId="9" hidden="1"/>
    <cellStyle name="Followed Hyperlink" xfId="424" builtinId="9" hidden="1"/>
    <cellStyle name="Followed Hyperlink" xfId="425" builtinId="9" hidden="1"/>
    <cellStyle name="Followed Hyperlink" xfId="426" builtinId="9" hidden="1"/>
    <cellStyle name="Followed Hyperlink" xfId="427" builtinId="9" hidden="1"/>
    <cellStyle name="Followed Hyperlink" xfId="428" builtinId="9" hidden="1"/>
    <cellStyle name="Followed Hyperlink" xfId="429" builtinId="9" hidden="1"/>
    <cellStyle name="Followed Hyperlink" xfId="430" builtinId="9" hidden="1"/>
    <cellStyle name="Followed Hyperlink" xfId="431" builtinId="9" hidden="1"/>
    <cellStyle name="Followed Hyperlink" xfId="432" builtinId="9" hidden="1"/>
    <cellStyle name="Followed Hyperlink" xfId="433" builtinId="9" hidden="1"/>
    <cellStyle name="Followed Hyperlink" xfId="434" builtinId="9" hidden="1"/>
    <cellStyle name="Followed Hyperlink" xfId="435" builtinId="9" hidden="1"/>
    <cellStyle name="Hyperlink" xfId="2" builtinId="8"/>
    <cellStyle name="Normal" xfId="0" builtinId="0"/>
    <cellStyle name="Percent" xfId="6" builtinId="5"/>
  </cellStyles>
  <dxfs count="31"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6" formatCode="[$-409]mmm\-yy;@"/>
      <fill>
        <patternFill patternType="solid">
          <fgColor theme="4"/>
          <bgColor rgb="FF0275D8"/>
        </patternFill>
      </fill>
      <alignment horizontal="center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6" formatCode="[$-409]mmm\-yy;@"/>
      <fill>
        <patternFill patternType="solid">
          <fgColor theme="4"/>
          <bgColor rgb="FF0275D8"/>
        </patternFill>
      </fill>
      <alignment horizontal="center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6" formatCode="[$-409]mmm\-yy;@"/>
      <fill>
        <patternFill patternType="solid">
          <fgColor theme="4"/>
          <bgColor rgb="FF0275D8"/>
        </patternFill>
      </fill>
      <alignment horizontal="center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6" formatCode="[$-409]mmm\-yy;@"/>
      <fill>
        <patternFill patternType="solid">
          <fgColor theme="4"/>
          <bgColor rgb="FF0275D8"/>
        </patternFill>
      </fill>
      <alignment horizontal="center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6" formatCode="[$-409]mmm\-yy;@"/>
      <fill>
        <patternFill patternType="solid">
          <fgColor theme="4"/>
          <bgColor rgb="FF0275D8"/>
        </patternFill>
      </fill>
      <alignment horizontal="center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6" formatCode="[$-409]mmm\-yy;@"/>
      <fill>
        <patternFill patternType="solid">
          <fgColor theme="4"/>
          <bgColor rgb="FF0275D8"/>
        </patternFill>
      </fill>
      <alignment horizontal="center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6" formatCode="[$-409]mmm\-yy;@"/>
      <fill>
        <patternFill patternType="solid">
          <fgColor theme="4"/>
          <bgColor rgb="FF0275D8"/>
        </patternFill>
      </fill>
      <alignment horizontal="center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6" formatCode="[$-409]mmm\-yy;@"/>
      <fill>
        <patternFill patternType="solid">
          <fgColor theme="4"/>
          <bgColor rgb="FF0275D8"/>
        </patternFill>
      </fill>
      <alignment horizontal="center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6" formatCode="[$-409]mmm\-yy;@"/>
      <fill>
        <patternFill patternType="solid">
          <fgColor theme="4"/>
          <bgColor rgb="FF0275D8"/>
        </patternFill>
      </fill>
      <alignment horizontal="center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6" formatCode="[$-409]mmm\-yy;@"/>
      <fill>
        <patternFill patternType="solid">
          <fgColor theme="4"/>
          <bgColor rgb="FF0275D8"/>
        </patternFill>
      </fill>
      <alignment horizontal="center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rgb="FF0275D8"/>
        </patternFill>
      </fill>
      <border diagonalUp="0" diagonalDown="0" outline="0">
        <left style="thin">
          <color theme="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6" formatCode="[$-409]mmm\-yy;@"/>
      <fill>
        <patternFill patternType="solid">
          <fgColor theme="4"/>
          <bgColor rgb="FF0275D8"/>
        </patternFill>
      </fill>
      <alignment horizontal="center" vertical="bottom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rgb="FF0275D8"/>
        </patternFill>
      </fill>
      <alignment horizontal="center" vertical="bottom" textRotation="0" wrapText="0" relativeIndent="0" justifyLastLine="0" shrinkToFit="0" readingOrder="0"/>
      <border diagonalUp="0" diagonalDown="0" outline="0">
        <left/>
        <right style="thin">
          <color theme="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rgb="FF0275D8"/>
        </patternFill>
      </fill>
      <alignment horizontal="center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rgb="FF0275D8"/>
        </patternFill>
      </fill>
      <alignment horizontal="center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6" formatCode="[$-409]mmm\-yy;@"/>
      <fill>
        <patternFill patternType="solid">
          <fgColor theme="4"/>
          <bgColor rgb="FF0275D8"/>
        </patternFill>
      </fill>
      <alignment horizontal="center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6" formatCode="[$-409]mmm\-yy;@"/>
      <fill>
        <patternFill patternType="solid">
          <fgColor theme="4"/>
          <bgColor rgb="FF0275D8"/>
        </patternFill>
      </fill>
      <alignment horizontal="center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6" formatCode="[$-409]mmm\-yy;@"/>
      <fill>
        <patternFill patternType="solid">
          <fgColor theme="4"/>
          <bgColor rgb="FF0275D8"/>
        </patternFill>
      </fill>
      <alignment horizontal="center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6" formatCode="[$-409]mmm\-yy;@"/>
      <fill>
        <patternFill patternType="solid">
          <fgColor theme="4"/>
          <bgColor rgb="FF0275D8"/>
        </patternFill>
      </fill>
      <alignment horizontal="center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6" formatCode="[$-409]mmm\-yy;@"/>
      <fill>
        <patternFill patternType="solid">
          <fgColor theme="4"/>
          <bgColor rgb="FF0275D8"/>
        </patternFill>
      </fill>
      <alignment horizontal="center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6" formatCode="[$-409]mmm\-yy;@"/>
      <fill>
        <patternFill patternType="solid">
          <fgColor theme="4"/>
          <bgColor rgb="FF0275D8"/>
        </patternFill>
      </fill>
      <alignment horizontal="center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6" formatCode="[$-409]mmm\-yy;@"/>
      <fill>
        <patternFill patternType="solid">
          <fgColor theme="4"/>
          <bgColor rgb="FF0275D8"/>
        </patternFill>
      </fill>
      <alignment horizontal="center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6" formatCode="[$-409]mmm\-yy;@"/>
      <fill>
        <patternFill patternType="solid">
          <fgColor theme="4"/>
          <bgColor rgb="FF0275D8"/>
        </patternFill>
      </fill>
      <alignment horizontal="center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6" formatCode="[$-409]mmm\-yy;@"/>
      <fill>
        <patternFill patternType="solid">
          <fgColor theme="4"/>
          <bgColor rgb="FF0275D8"/>
        </patternFill>
      </fill>
      <alignment horizontal="center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6" formatCode="[$-409]mmm\-yy;@"/>
      <fill>
        <patternFill patternType="solid">
          <fgColor theme="4"/>
          <bgColor rgb="FF0275D8"/>
        </patternFill>
      </fill>
      <alignment horizontal="center" vertical="bottom" textRotation="0" wrapText="0" relative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rgb="FF0275D8"/>
        </patternFill>
      </fill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4"/>
          <bgColor rgb="FF0275D8"/>
        </patternFill>
      </fill>
      <alignment horizontal="center" vertical="bottom" textRotation="0" wrapText="0" relativeIndent="0" justifyLastLine="0" shrinkToFit="0" readingOrder="0"/>
    </dxf>
  </dxfs>
  <tableStyles count="0" defaultTableStyle="TableStyleMedium9" defaultPivotStyle="PivotStyleLight16"/>
  <colors>
    <mruColors>
      <color rgb="FFFC956C"/>
      <color rgb="FFCCCCFF"/>
      <color rgb="FFCC3399"/>
      <color rgb="FF19FF81"/>
      <color rgb="FF0275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theme" Target="theme/theme1.xml"/><Relationship Id="rId13" Type="http://schemas.openxmlformats.org/officeDocument/2006/relationships/styles" Target="styles.xml"/><Relationship Id="rId14" Type="http://schemas.openxmlformats.org/officeDocument/2006/relationships/sharedStrings" Target="sharedStrings.xml"/><Relationship Id="rId15" Type="http://schemas.openxmlformats.org/officeDocument/2006/relationships/calcChain" Target="calcChain.xml"/><Relationship Id="rId16" Type="http://schemas.microsoft.com/office/2006/relationships/vbaProject" Target="vbaProject.bin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ables/table1.xml><?xml version="1.0" encoding="utf-8"?>
<table xmlns="http://schemas.openxmlformats.org/spreadsheetml/2006/main" id="1" name="Annual" displayName="Annual" ref="A3:N24" headerRowCount="0" totalsRowShown="0" headerRowDxfId="30">
  <tableColumns count="14">
    <tableColumn id="1" name="Column1" headerRowDxfId="29" dataDxfId="28"/>
    <tableColumn id="2" name="Column2" headerRowDxfId="27"/>
    <tableColumn id="3" name="Column3" headerRowDxfId="26"/>
    <tableColumn id="4" name="Column4" headerRowDxfId="25"/>
    <tableColumn id="5" name="Column5" headerRowDxfId="24"/>
    <tableColumn id="6" name="Column6" headerRowDxfId="23"/>
    <tableColumn id="7" name="Column7" headerRowDxfId="22"/>
    <tableColumn id="8" name="Column8" headerRowDxfId="21"/>
    <tableColumn id="9" name="Column9" headerRowDxfId="20"/>
    <tableColumn id="10" name="Column10" headerRowDxfId="19"/>
    <tableColumn id="11" name="Column11" headerRowDxfId="18"/>
    <tableColumn id="12" name="Column12" headerRowDxfId="17"/>
    <tableColumn id="13" name="Column13" headerRowDxfId="16" dataDxfId="15"/>
    <tableColumn id="14" name="Column14" headerRowDxfId="14" dataDxfId="13"/>
  </tableColumns>
  <tableStyleInfo showFirstColumn="0" showLastColumn="0" showRowStripes="0" showColumnStripes="0"/>
</table>
</file>

<file path=xl/tables/table2.xml><?xml version="1.0" encoding="utf-8"?>
<table xmlns="http://schemas.openxmlformats.org/spreadsheetml/2006/main" id="2" name="Quarters" displayName="Quarters" ref="A3:K14" headerRowCount="0" totalsRowShown="0" headerRowDxfId="12">
  <tableColumns count="11">
    <tableColumn id="1" name="Column1" headerRowDxfId="11"/>
    <tableColumn id="2" name="Column2" headerRowDxfId="10"/>
    <tableColumn id="3" name="Column3" headerRowDxfId="9"/>
    <tableColumn id="4" name="Column4" headerRowDxfId="8"/>
    <tableColumn id="5" name="Column5" headerRowDxfId="7"/>
    <tableColumn id="6" name="Column6" headerRowDxfId="6"/>
    <tableColumn id="7" name="Column7" headerRowDxfId="5"/>
    <tableColumn id="8" name="Column8" headerRowDxfId="4"/>
    <tableColumn id="9" name="Column9" headerRowDxfId="3"/>
    <tableColumn id="10" name="Column10" headerRowDxfId="2"/>
    <tableColumn id="11" name="Column11" headerRowDxfId="1"/>
  </tableColumns>
  <tableStyleInfo name="TableStyleLight1" showFirstColumn="0" showLastColumn="0" showRowStripes="0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Adjacency">
  <a:themeElements>
    <a:clrScheme name="Concourse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Adjacency">
      <a:fillStyleLst>
        <a:solidFill>
          <a:schemeClr val="phClr"/>
        </a:solidFill>
        <a:solidFill>
          <a:schemeClr val="phClr">
            <a:tint val="55000"/>
          </a:schemeClr>
        </a:solidFill>
        <a:solidFill>
          <a:schemeClr val="phClr"/>
        </a:soli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25400" algn="bl" rotWithShape="0">
              <a:srgbClr val="000000">
                <a:alpha val="60000"/>
              </a:srgbClr>
            </a:outerShdw>
          </a:effectLst>
        </a:effectStyle>
        <a:effectStyle>
          <a:effectLst/>
          <a:scene3d>
            <a:camera prst="orthographicFront">
              <a:rot lat="0" lon="0" rev="0"/>
            </a:camera>
            <a:lightRig rig="brightRoom" dir="tl">
              <a:rot lat="0" lon="0" rev="1800000"/>
            </a:lightRig>
          </a:scene3d>
          <a:sp3d contourW="10160" prstMaterial="dkEdge">
            <a:bevelT w="38100" h="50800" prst="angle"/>
            <a:contourClr>
              <a:schemeClr val="phClr">
                <a:shade val="40000"/>
                <a:satMod val="15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</a:schemeClr>
            </a:gs>
            <a:gs pos="75000">
              <a:schemeClr val="phClr">
                <a:shade val="100000"/>
                <a:satMod val="115000"/>
              </a:schemeClr>
            </a:gs>
            <a:gs pos="100000">
              <a:schemeClr val="phClr">
                <a:shade val="70000"/>
                <a:satMod val="130000"/>
              </a:schemeClr>
            </a:gs>
          </a:gsLst>
          <a:path path="circle">
            <a:fillToRect l="20000" t="50000" r="100000" b="50000"/>
          </a:path>
        </a:gradFill>
        <a:blipFill rotWithShape="1">
          <a:blip xmlns:r="http://schemas.openxmlformats.org/officeDocument/2006/relationships" r:embed="rId1">
            <a:duotone>
              <a:schemeClr val="phClr">
                <a:tint val="97000"/>
              </a:schemeClr>
              <a:schemeClr val="phClr">
                <a:shade val="96000"/>
              </a:schemeClr>
            </a:duotone>
          </a:blip>
          <a:tile tx="0" ty="0" sx="32000" sy="32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creener.in/" TargetMode="External"/><Relationship Id="rId2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creener.in/" TargetMode="External"/><Relationship Id="rId2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creener.in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creener.in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creener.in/exce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pageSetUpPr fitToPage="1"/>
  </sheetPr>
  <dimension ref="A1:N31"/>
  <sheetViews>
    <sheetView zoomScaleSheetLayoutView="100" workbookViewId="0">
      <pane xSplit="1" ySplit="4" topLeftCell="B5" activePane="bottomRight" state="frozen"/>
      <selection activeCell="I2" sqref="I2"/>
      <selection pane="topRight" activeCell="I2" sqref="I2"/>
      <selection pane="bottomLeft" activeCell="I2" sqref="I2"/>
      <selection pane="bottomRight" activeCell="C35" sqref="C35"/>
    </sheetView>
  </sheetViews>
  <sheetFormatPr baseColWidth="10" defaultColWidth="8.83203125" defaultRowHeight="14" x14ac:dyDescent="0"/>
  <cols>
    <col min="1" max="1" width="29.6640625" style="6" customWidth="1"/>
    <col min="2" max="6" width="13.5" style="6" customWidth="1"/>
    <col min="7" max="7" width="14.83203125" style="6" bestFit="1" customWidth="1"/>
    <col min="8" max="11" width="13.5" style="6" customWidth="1"/>
    <col min="12" max="12" width="13.33203125" style="6" customWidth="1"/>
    <col min="13" max="14" width="12.1640625" style="6" customWidth="1"/>
    <col min="15" max="16384" width="8.83203125" style="6"/>
  </cols>
  <sheetData>
    <row r="1" spans="1:14" s="8" customFormat="1">
      <c r="A1" s="8" t="str">
        <f>'Data Sheet'!B1</f>
        <v>AVANTI FEEDS LTD</v>
      </c>
      <c r="H1" t="str">
        <f>UPDATE</f>
        <v/>
      </c>
      <c r="J1" s="3"/>
      <c r="K1" s="3"/>
      <c r="M1" s="8" t="s">
        <v>1</v>
      </c>
    </row>
    <row r="3" spans="1:14" s="2" customFormat="1">
      <c r="A3" s="15" t="s">
        <v>2</v>
      </c>
      <c r="B3" s="16">
        <f>'Data Sheet'!B16</f>
        <v>39538</v>
      </c>
      <c r="C3" s="16">
        <f>'Data Sheet'!C16</f>
        <v>39903</v>
      </c>
      <c r="D3" s="16">
        <f>'Data Sheet'!D16</f>
        <v>40268</v>
      </c>
      <c r="E3" s="16">
        <f>'Data Sheet'!E16</f>
        <v>40633</v>
      </c>
      <c r="F3" s="16">
        <f>'Data Sheet'!F16</f>
        <v>40999</v>
      </c>
      <c r="G3" s="16">
        <f>'Data Sheet'!G16</f>
        <v>41364</v>
      </c>
      <c r="H3" s="16">
        <f>'Data Sheet'!H16</f>
        <v>41729</v>
      </c>
      <c r="I3" s="16">
        <f>'Data Sheet'!I16</f>
        <v>42094</v>
      </c>
      <c r="J3" s="16">
        <f>'Data Sheet'!J16</f>
        <v>42460</v>
      </c>
      <c r="K3" s="16">
        <f>'Data Sheet'!K16</f>
        <v>42825</v>
      </c>
      <c r="L3" s="17" t="s">
        <v>3</v>
      </c>
      <c r="M3" s="17" t="s">
        <v>4</v>
      </c>
      <c r="N3" s="17" t="s">
        <v>5</v>
      </c>
    </row>
    <row r="4" spans="1:14" s="8" customFormat="1">
      <c r="A4" s="8" t="s">
        <v>6</v>
      </c>
      <c r="B4" s="1">
        <f>'Data Sheet'!B17</f>
        <v>98.01</v>
      </c>
      <c r="C4" s="1">
        <f>'Data Sheet'!C17</f>
        <v>69.31</v>
      </c>
      <c r="D4" s="1">
        <f>'Data Sheet'!D17</f>
        <v>91.54</v>
      </c>
      <c r="E4" s="1">
        <f>'Data Sheet'!E17</f>
        <v>207.75</v>
      </c>
      <c r="F4" s="1">
        <f>'Data Sheet'!F17</f>
        <v>393.41</v>
      </c>
      <c r="G4" s="1">
        <f>'Data Sheet'!G17</f>
        <v>648.04</v>
      </c>
      <c r="H4" s="1">
        <f>'Data Sheet'!H17</f>
        <v>1131.6099999999999</v>
      </c>
      <c r="I4" s="1">
        <f>'Data Sheet'!I17</f>
        <v>1780.66</v>
      </c>
      <c r="J4" s="1">
        <f>'Data Sheet'!J17</f>
        <v>2018.29</v>
      </c>
      <c r="K4" s="1">
        <f>'Data Sheet'!K17</f>
        <v>2732.66</v>
      </c>
      <c r="L4" s="1">
        <f>SUM(Quarters!H4:K4)</f>
        <v>2974.29</v>
      </c>
      <c r="M4" s="1">
        <f>$K4+M27*K4</f>
        <v>3699.8799357872253</v>
      </c>
      <c r="N4" s="1">
        <f>$K4+N27*L4</f>
        <v>3748.7377204385512</v>
      </c>
    </row>
    <row r="5" spans="1:14">
      <c r="A5" s="6" t="s">
        <v>7</v>
      </c>
      <c r="B5" s="9">
        <f>SUM('Data Sheet'!B18,'Data Sheet'!B20:B24, -1*'Data Sheet'!B19)</f>
        <v>96.57</v>
      </c>
      <c r="C5" s="9">
        <f>SUM('Data Sheet'!C18,'Data Sheet'!C20:C24, -1*'Data Sheet'!C19)</f>
        <v>73.080000000000013</v>
      </c>
      <c r="D5" s="9">
        <f>SUM('Data Sheet'!D18,'Data Sheet'!D20:D24, -1*'Data Sheet'!D19)</f>
        <v>98.610000000000028</v>
      </c>
      <c r="E5" s="9">
        <f>SUM('Data Sheet'!E18,'Data Sheet'!E20:E24, -1*'Data Sheet'!E19)</f>
        <v>199.97000000000003</v>
      </c>
      <c r="F5" s="9">
        <f>SUM('Data Sheet'!F18,'Data Sheet'!F20:F24, -1*'Data Sheet'!F19)</f>
        <v>348.68000000000006</v>
      </c>
      <c r="G5" s="9">
        <f>SUM('Data Sheet'!G18,'Data Sheet'!G20:G24, -1*'Data Sheet'!G19)</f>
        <v>597.57999999999993</v>
      </c>
      <c r="H5" s="9">
        <f>SUM('Data Sheet'!H18,'Data Sheet'!H20:H24, -1*'Data Sheet'!H19)</f>
        <v>1020.18</v>
      </c>
      <c r="I5" s="9">
        <f>SUM('Data Sheet'!I18,'Data Sheet'!I20:I24, -1*'Data Sheet'!I19)</f>
        <v>1598.37</v>
      </c>
      <c r="J5" s="9">
        <f>SUM('Data Sheet'!J18,'Data Sheet'!J20:J24, -1*'Data Sheet'!J19)</f>
        <v>1787.99</v>
      </c>
      <c r="K5" s="9">
        <f>SUM('Data Sheet'!K18,'Data Sheet'!K20:K24, -1*'Data Sheet'!K19)</f>
        <v>2400.7999999999997</v>
      </c>
      <c r="L5" s="9">
        <f>SUM(Quarters!H5:K5)</f>
        <v>2495.9000000000005</v>
      </c>
      <c r="M5" s="9">
        <f t="shared" ref="M5:N5" si="0">M4-M6</f>
        <v>3104.7847828326544</v>
      </c>
      <c r="N5" s="9">
        <f t="shared" si="0"/>
        <v>3356.2215890414136</v>
      </c>
    </row>
    <row r="6" spans="1:14" s="8" customFormat="1">
      <c r="A6" s="8" t="s">
        <v>8</v>
      </c>
      <c r="B6" s="1">
        <f>B4-B5</f>
        <v>1.4400000000000119</v>
      </c>
      <c r="C6" s="1">
        <f t="shared" ref="C6:K6" si="1">C4-C5</f>
        <v>-3.7700000000000102</v>
      </c>
      <c r="D6" s="1">
        <f t="shared" si="1"/>
        <v>-7.0700000000000216</v>
      </c>
      <c r="E6" s="1">
        <f t="shared" si="1"/>
        <v>7.7799999999999727</v>
      </c>
      <c r="F6" s="1">
        <f t="shared" si="1"/>
        <v>44.729999999999961</v>
      </c>
      <c r="G6" s="1">
        <f t="shared" si="1"/>
        <v>50.460000000000036</v>
      </c>
      <c r="H6" s="1">
        <f t="shared" si="1"/>
        <v>111.42999999999995</v>
      </c>
      <c r="I6" s="1">
        <f t="shared" si="1"/>
        <v>182.29000000000019</v>
      </c>
      <c r="J6" s="1">
        <f t="shared" si="1"/>
        <v>230.29999999999995</v>
      </c>
      <c r="K6" s="1">
        <f t="shared" si="1"/>
        <v>331.86000000000013</v>
      </c>
      <c r="L6" s="1">
        <f>SUM(Quarters!H6:K6)</f>
        <v>478.39</v>
      </c>
      <c r="M6" s="1">
        <f>M4*M28</f>
        <v>595.09515295457095</v>
      </c>
      <c r="N6" s="1">
        <f>N4*N28</f>
        <v>392.51613139713731</v>
      </c>
    </row>
    <row r="7" spans="1:14">
      <c r="A7" s="6" t="s">
        <v>9</v>
      </c>
      <c r="B7" s="9">
        <f>'Data Sheet'!B25</f>
        <v>8.76</v>
      </c>
      <c r="C7" s="9">
        <f>'Data Sheet'!C25</f>
        <v>4.2699999999999996</v>
      </c>
      <c r="D7" s="9">
        <f>'Data Sheet'!D25</f>
        <v>10.69</v>
      </c>
      <c r="E7" s="9">
        <f>'Data Sheet'!E25</f>
        <v>4.1399999999999997</v>
      </c>
      <c r="F7" s="9">
        <f>'Data Sheet'!F25</f>
        <v>3.35</v>
      </c>
      <c r="G7" s="9">
        <f>'Data Sheet'!G25</f>
        <v>2.58</v>
      </c>
      <c r="H7" s="9">
        <f>'Data Sheet'!H25</f>
        <v>3.68</v>
      </c>
      <c r="I7" s="9">
        <f>'Data Sheet'!I25</f>
        <v>9.02</v>
      </c>
      <c r="J7" s="9">
        <f>'Data Sheet'!J25</f>
        <v>21.49</v>
      </c>
      <c r="K7" s="9">
        <f>'Data Sheet'!K25</f>
        <v>21.87</v>
      </c>
      <c r="L7" s="9">
        <f>SUM(Quarters!H7:K7)</f>
        <v>24.759999999999998</v>
      </c>
      <c r="M7" s="9">
        <v>0</v>
      </c>
      <c r="N7" s="9">
        <v>0</v>
      </c>
    </row>
    <row r="8" spans="1:14">
      <c r="A8" s="6" t="s">
        <v>10</v>
      </c>
      <c r="B8" s="9">
        <f>'Data Sheet'!B26</f>
        <v>3.88</v>
      </c>
      <c r="C8" s="9">
        <f>'Data Sheet'!C26</f>
        <v>3.34</v>
      </c>
      <c r="D8" s="9">
        <f>'Data Sheet'!D26</f>
        <v>2.78</v>
      </c>
      <c r="E8" s="9">
        <f>'Data Sheet'!E26</f>
        <v>2.9</v>
      </c>
      <c r="F8" s="9">
        <f>'Data Sheet'!F26</f>
        <v>4</v>
      </c>
      <c r="G8" s="9">
        <f>'Data Sheet'!G26</f>
        <v>4.9800000000000004</v>
      </c>
      <c r="H8" s="9">
        <f>'Data Sheet'!H26</f>
        <v>5.54</v>
      </c>
      <c r="I8" s="9">
        <f>'Data Sheet'!I26</f>
        <v>8.8000000000000007</v>
      </c>
      <c r="J8" s="9">
        <f>'Data Sheet'!J26</f>
        <v>10.23</v>
      </c>
      <c r="K8" s="9">
        <f>'Data Sheet'!K26</f>
        <v>13.69</v>
      </c>
      <c r="L8" s="9">
        <f>SUM(Quarters!H8:K8)</f>
        <v>15.05</v>
      </c>
      <c r="M8" s="9">
        <f>+$L8</f>
        <v>15.05</v>
      </c>
      <c r="N8" s="9">
        <f>+$L8</f>
        <v>15.05</v>
      </c>
    </row>
    <row r="9" spans="1:14">
      <c r="A9" s="6" t="s">
        <v>11</v>
      </c>
      <c r="B9" s="9">
        <f>'Data Sheet'!B27</f>
        <v>5</v>
      </c>
      <c r="C9" s="9">
        <f>'Data Sheet'!C27</f>
        <v>7.09</v>
      </c>
      <c r="D9" s="9">
        <f>'Data Sheet'!D27</f>
        <v>3.13</v>
      </c>
      <c r="E9" s="9">
        <f>'Data Sheet'!E27</f>
        <v>4.5999999999999996</v>
      </c>
      <c r="F9" s="9">
        <f>'Data Sheet'!F27</f>
        <v>4.07</v>
      </c>
      <c r="G9" s="9">
        <f>'Data Sheet'!G27</f>
        <v>3.92</v>
      </c>
      <c r="H9" s="9">
        <f>'Data Sheet'!H27</f>
        <v>4.3899999999999997</v>
      </c>
      <c r="I9" s="9">
        <f>'Data Sheet'!I27</f>
        <v>2.67</v>
      </c>
      <c r="J9" s="9">
        <f>'Data Sheet'!J27</f>
        <v>3.38</v>
      </c>
      <c r="K9" s="9">
        <f>'Data Sheet'!K27</f>
        <v>4.8499999999999996</v>
      </c>
      <c r="L9" s="9">
        <f>SUM(Quarters!H9:K9)</f>
        <v>3.2600000000000002</v>
      </c>
      <c r="M9" s="9">
        <f>+$L9</f>
        <v>3.2600000000000002</v>
      </c>
      <c r="N9" s="9">
        <f>+$L9</f>
        <v>3.2600000000000002</v>
      </c>
    </row>
    <row r="10" spans="1:14">
      <c r="A10" s="6" t="s">
        <v>12</v>
      </c>
      <c r="B10" s="9">
        <f>'Data Sheet'!B28</f>
        <v>1.32</v>
      </c>
      <c r="C10" s="9">
        <f>'Data Sheet'!C28</f>
        <v>-9.93</v>
      </c>
      <c r="D10" s="9">
        <f>'Data Sheet'!D28</f>
        <v>-2.29</v>
      </c>
      <c r="E10" s="9">
        <f>'Data Sheet'!E28</f>
        <v>5.29</v>
      </c>
      <c r="F10" s="9">
        <f>'Data Sheet'!F28</f>
        <v>40.01</v>
      </c>
      <c r="G10" s="9">
        <f>'Data Sheet'!G28</f>
        <v>44.14</v>
      </c>
      <c r="H10" s="9">
        <f>'Data Sheet'!H28</f>
        <v>105.17</v>
      </c>
      <c r="I10" s="9">
        <f>'Data Sheet'!I28</f>
        <v>179.84</v>
      </c>
      <c r="J10" s="9">
        <f>'Data Sheet'!J28</f>
        <v>238.18</v>
      </c>
      <c r="K10" s="9">
        <f>'Data Sheet'!K28</f>
        <v>335.18</v>
      </c>
      <c r="L10" s="9">
        <f>SUM(Quarters!H10:K10)</f>
        <v>484.82000000000005</v>
      </c>
      <c r="M10" s="9">
        <f>M6+M7-SUM(M8:M9)</f>
        <v>576.785152954571</v>
      </c>
      <c r="N10" s="9">
        <f>N6+N7-SUM(N8:N9)</f>
        <v>374.20613139713731</v>
      </c>
    </row>
    <row r="11" spans="1:14">
      <c r="A11" s="6" t="s">
        <v>13</v>
      </c>
      <c r="B11" s="9">
        <f>'Data Sheet'!B29</f>
        <v>0.43</v>
      </c>
      <c r="C11" s="9">
        <f>'Data Sheet'!C29</f>
        <v>-2.93</v>
      </c>
      <c r="D11" s="9">
        <f>'Data Sheet'!D29</f>
        <v>-1.08</v>
      </c>
      <c r="E11" s="9">
        <f>'Data Sheet'!E29</f>
        <v>1.76</v>
      </c>
      <c r="F11" s="9">
        <f>'Data Sheet'!F29</f>
        <v>11.96</v>
      </c>
      <c r="G11" s="9">
        <f>'Data Sheet'!G29</f>
        <v>13.96</v>
      </c>
      <c r="H11" s="9">
        <f>'Data Sheet'!H29</f>
        <v>35.42</v>
      </c>
      <c r="I11" s="9">
        <f>'Data Sheet'!I29</f>
        <v>63.27</v>
      </c>
      <c r="J11" s="9">
        <f>'Data Sheet'!J29</f>
        <v>79.2</v>
      </c>
      <c r="K11" s="9">
        <f>'Data Sheet'!K29</f>
        <v>108.43</v>
      </c>
      <c r="L11" s="9">
        <f>SUM(Quarters!H11:K11)</f>
        <v>159.69</v>
      </c>
      <c r="M11" s="10">
        <f>IF($L10&gt;0,$L11/$L10,0)</f>
        <v>0.32937997607359426</v>
      </c>
      <c r="N11" s="10">
        <f>IF($L10&gt;0,$L11/$L10,0)</f>
        <v>0.32937997607359426</v>
      </c>
    </row>
    <row r="12" spans="1:14" s="8" customFormat="1">
      <c r="A12" s="8" t="s">
        <v>14</v>
      </c>
      <c r="B12" s="1">
        <f>'Data Sheet'!B30</f>
        <v>0.89</v>
      </c>
      <c r="C12" s="1">
        <f>'Data Sheet'!C30</f>
        <v>-7</v>
      </c>
      <c r="D12" s="1">
        <f>'Data Sheet'!D30</f>
        <v>-1.21</v>
      </c>
      <c r="E12" s="1">
        <f>'Data Sheet'!E30</f>
        <v>3.4</v>
      </c>
      <c r="F12" s="1">
        <f>'Data Sheet'!F30</f>
        <v>28.05</v>
      </c>
      <c r="G12" s="1">
        <f>'Data Sheet'!G30</f>
        <v>30.05</v>
      </c>
      <c r="H12" s="1">
        <f>'Data Sheet'!H30</f>
        <v>70.41</v>
      </c>
      <c r="I12" s="1">
        <f>'Data Sheet'!I30</f>
        <v>115.92</v>
      </c>
      <c r="J12" s="1">
        <f>'Data Sheet'!J30</f>
        <v>157.5</v>
      </c>
      <c r="K12" s="1">
        <f>'Data Sheet'!K30</f>
        <v>214.35</v>
      </c>
      <c r="L12" s="1">
        <f>SUM(Quarters!H12:K12)</f>
        <v>311.16999999999996</v>
      </c>
      <c r="M12" s="1">
        <f>M10-M11*M10</f>
        <v>386.80367307479003</v>
      </c>
      <c r="N12" s="1">
        <f>N10-N11*N10</f>
        <v>250.95012479095595</v>
      </c>
    </row>
    <row r="13" spans="1:14">
      <c r="A13" s="11" t="s">
        <v>48</v>
      </c>
      <c r="B13" s="9">
        <f>IF('Data Sheet'!B93&gt;0,B12/'Data Sheet'!B93,0)</f>
        <v>0.27217125382262997</v>
      </c>
      <c r="C13" s="9">
        <f>IF('Data Sheet'!C93&gt;0,C12/'Data Sheet'!C93,0)</f>
        <v>-1.75</v>
      </c>
      <c r="D13" s="9">
        <f>IF('Data Sheet'!D93&gt;0,D12/'Data Sheet'!D93,0)</f>
        <v>-0.30249999999999999</v>
      </c>
      <c r="E13" s="9">
        <f>IF('Data Sheet'!E93&gt;0,E12/'Data Sheet'!E93,0)</f>
        <v>0.85</v>
      </c>
      <c r="F13" s="9">
        <f>IF('Data Sheet'!F93&gt;0,F12/'Data Sheet'!F93,0)</f>
        <v>7.0125000000000002</v>
      </c>
      <c r="G13" s="9">
        <f>IF('Data Sheet'!G93&gt;0,G12/'Data Sheet'!G93,0)</f>
        <v>6.6167259823305891</v>
      </c>
      <c r="H13" s="9">
        <f>IF('Data Sheet'!H93&gt;0,H12/'Data Sheet'!H93,0)</f>
        <v>15.503616519663785</v>
      </c>
      <c r="I13" s="9">
        <f>IF('Data Sheet'!I93&gt;0,I12/'Data Sheet'!I93,0)</f>
        <v>25.524488381755802</v>
      </c>
      <c r="J13" s="9">
        <f>IF('Data Sheet'!J93&gt;0,J12/'Data Sheet'!J93,0)</f>
        <v>34.680011388255167</v>
      </c>
      <c r="K13" s="9">
        <f>IF('Data Sheet'!K93&gt;0,K12/'Data Sheet'!K93,0)</f>
        <v>47.197844070301549</v>
      </c>
      <c r="L13" s="9">
        <f>IF('Data Sheet'!$B6&gt;0,'Profit &amp; Loss'!L12/'Data Sheet'!$B6,0)</f>
        <v>68.516679208291066</v>
      </c>
      <c r="M13" s="9">
        <f>IF('Data Sheet'!$B6&gt;0,'Profit &amp; Loss'!M12/'Data Sheet'!$B6,0)</f>
        <v>85.170495821107693</v>
      </c>
      <c r="N13" s="9">
        <f>IF('Data Sheet'!$B6&gt;0,'Profit &amp; Loss'!N12/'Data Sheet'!$B6,0)</f>
        <v>55.256834519981169</v>
      </c>
    </row>
    <row r="14" spans="1:14">
      <c r="A14" s="6" t="s">
        <v>16</v>
      </c>
      <c r="B14" s="9">
        <f>IF(B15&gt;0,B15/B13,"")</f>
        <v>23.147191011235954</v>
      </c>
      <c r="C14" s="9">
        <f t="shared" ref="C14:K14" si="2">IF(C15&gt;0,C15/C13,"")</f>
        <v>-1.8742857142857141</v>
      </c>
      <c r="D14" s="9">
        <f t="shared" si="2"/>
        <v>-16.06611570247934</v>
      </c>
      <c r="E14" s="9">
        <f t="shared" si="2"/>
        <v>9.3176470588235301</v>
      </c>
      <c r="F14" s="9">
        <f t="shared" si="2"/>
        <v>2.8634581105169339</v>
      </c>
      <c r="G14" s="9">
        <f t="shared" si="2"/>
        <v>3.161684503161398</v>
      </c>
      <c r="H14" s="9">
        <f t="shared" si="2"/>
        <v>7.6840135879846621</v>
      </c>
      <c r="I14" s="9">
        <f t="shared" si="2"/>
        <v>12.861766123964806</v>
      </c>
      <c r="J14" s="9">
        <f t="shared" si="2"/>
        <v>12.538346517015873</v>
      </c>
      <c r="K14" s="9">
        <f t="shared" si="2"/>
        <v>18.064596313552606</v>
      </c>
      <c r="L14" s="9">
        <f t="shared" ref="L14" si="3">IF(L13&gt;0,L15/L13,0)</f>
        <v>28.357328791335927</v>
      </c>
      <c r="M14" s="9">
        <f>M29</f>
        <v>28.357328791335927</v>
      </c>
      <c r="N14" s="9">
        <f>N29</f>
        <v>11.856105125794468</v>
      </c>
    </row>
    <row r="15" spans="1:14" s="8" customFormat="1">
      <c r="A15" s="8" t="s">
        <v>49</v>
      </c>
      <c r="B15" s="1">
        <f>'Data Sheet'!B90</f>
        <v>6.3</v>
      </c>
      <c r="C15" s="1">
        <f>'Data Sheet'!C90</f>
        <v>3.28</v>
      </c>
      <c r="D15" s="1">
        <f>'Data Sheet'!D90</f>
        <v>4.8600000000000003</v>
      </c>
      <c r="E15" s="1">
        <f>'Data Sheet'!E90</f>
        <v>7.92</v>
      </c>
      <c r="F15" s="1">
        <f>'Data Sheet'!F90</f>
        <v>20.079999999999998</v>
      </c>
      <c r="G15" s="1">
        <f>'Data Sheet'!G90</f>
        <v>20.92</v>
      </c>
      <c r="H15" s="1">
        <f>'Data Sheet'!H90</f>
        <v>119.13</v>
      </c>
      <c r="I15" s="1">
        <f>'Data Sheet'!I90</f>
        <v>328.29</v>
      </c>
      <c r="J15" s="1">
        <f>'Data Sheet'!J90</f>
        <v>434.83</v>
      </c>
      <c r="K15" s="1">
        <f>'Data Sheet'!K90</f>
        <v>852.61</v>
      </c>
      <c r="L15" s="1">
        <f>'Data Sheet'!B8</f>
        <v>1942.95</v>
      </c>
      <c r="M15" s="12">
        <f>M13*M14</f>
        <v>2415.2077533202532</v>
      </c>
      <c r="N15" s="13">
        <f>N13*N14</f>
        <v>655.13083898752541</v>
      </c>
    </row>
    <row r="16" spans="1:14" s="8" customFormat="1">
      <c r="A16" s="6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6"/>
      <c r="N16" s="6"/>
    </row>
    <row r="17" spans="1:14" s="8" customFormat="1">
      <c r="A17" s="6" t="s">
        <v>86</v>
      </c>
      <c r="B17" s="9">
        <f>B10+B9</f>
        <v>6.32</v>
      </c>
      <c r="C17" s="9">
        <f t="shared" ref="C17:L17" si="4">C10+C9</f>
        <v>-2.84</v>
      </c>
      <c r="D17" s="9">
        <f t="shared" si="4"/>
        <v>0.83999999999999986</v>
      </c>
      <c r="E17" s="9">
        <f t="shared" si="4"/>
        <v>9.89</v>
      </c>
      <c r="F17" s="9">
        <f t="shared" si="4"/>
        <v>44.08</v>
      </c>
      <c r="G17" s="9">
        <f t="shared" si="4"/>
        <v>48.06</v>
      </c>
      <c r="H17" s="9">
        <f t="shared" si="4"/>
        <v>109.56</v>
      </c>
      <c r="I17" s="9">
        <f t="shared" si="4"/>
        <v>182.51</v>
      </c>
      <c r="J17" s="9">
        <f t="shared" si="4"/>
        <v>241.56</v>
      </c>
      <c r="K17" s="9">
        <f t="shared" si="4"/>
        <v>340.03000000000003</v>
      </c>
      <c r="L17" s="9">
        <f t="shared" si="4"/>
        <v>488.08000000000004</v>
      </c>
      <c r="M17" s="6"/>
      <c r="N17" s="6"/>
    </row>
    <row r="18" spans="1:14" s="8" customFormat="1">
      <c r="A18" s="6" t="s">
        <v>149</v>
      </c>
      <c r="B18" s="9">
        <f>B17+B8</f>
        <v>10.199999999999999</v>
      </c>
      <c r="C18" s="9">
        <f t="shared" ref="C18:L18" si="5">C17+C8</f>
        <v>0.5</v>
      </c>
      <c r="D18" s="9">
        <f t="shared" si="5"/>
        <v>3.6199999999999997</v>
      </c>
      <c r="E18" s="9">
        <f t="shared" si="5"/>
        <v>12.790000000000001</v>
      </c>
      <c r="F18" s="9">
        <f t="shared" si="5"/>
        <v>48.08</v>
      </c>
      <c r="G18" s="9">
        <f t="shared" si="5"/>
        <v>53.040000000000006</v>
      </c>
      <c r="H18" s="9">
        <f t="shared" si="5"/>
        <v>115.10000000000001</v>
      </c>
      <c r="I18" s="9">
        <f t="shared" si="5"/>
        <v>191.31</v>
      </c>
      <c r="J18" s="9">
        <f t="shared" si="5"/>
        <v>251.79</v>
      </c>
      <c r="K18" s="9">
        <f t="shared" si="5"/>
        <v>353.72</v>
      </c>
      <c r="L18" s="9">
        <f t="shared" si="5"/>
        <v>503.13000000000005</v>
      </c>
      <c r="M18" s="6"/>
      <c r="N18" s="6"/>
    </row>
    <row r="19" spans="1:14" s="8" customFormat="1">
      <c r="A19" s="76" t="s">
        <v>170</v>
      </c>
      <c r="B19" s="9">
        <f>B18-B7</f>
        <v>1.4399999999999995</v>
      </c>
      <c r="C19" s="9">
        <f t="shared" ref="C19:L19" si="6">C18-C7</f>
        <v>-3.7699999999999996</v>
      </c>
      <c r="D19" s="9">
        <f t="shared" si="6"/>
        <v>-7.07</v>
      </c>
      <c r="E19" s="9">
        <f t="shared" si="6"/>
        <v>8.6500000000000021</v>
      </c>
      <c r="F19" s="9">
        <f t="shared" si="6"/>
        <v>44.73</v>
      </c>
      <c r="G19" s="9">
        <f t="shared" si="6"/>
        <v>50.460000000000008</v>
      </c>
      <c r="H19" s="9">
        <f t="shared" si="6"/>
        <v>111.42</v>
      </c>
      <c r="I19" s="9">
        <f t="shared" si="6"/>
        <v>182.29</v>
      </c>
      <c r="J19" s="9">
        <f t="shared" si="6"/>
        <v>230.29999999999998</v>
      </c>
      <c r="K19" s="9">
        <f t="shared" si="6"/>
        <v>331.85</v>
      </c>
      <c r="L19" s="9">
        <f t="shared" si="6"/>
        <v>478.37000000000006</v>
      </c>
      <c r="M19" s="6"/>
      <c r="N19" s="6"/>
    </row>
    <row r="21" spans="1:14" s="8" customFormat="1">
      <c r="A21" s="8" t="s">
        <v>15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s="8" customFormat="1">
      <c r="A22" s="6" t="s">
        <v>258</v>
      </c>
      <c r="B22" s="9">
        <f>IF('Data Sheet'!B93&gt;0,'Data Sheet'!B31/'Data Sheet'!B93,0)</f>
        <v>0.19877675840978593</v>
      </c>
      <c r="C22" s="9">
        <f>IF('Data Sheet'!C93&gt;0,'Data Sheet'!C31/'Data Sheet'!C93,0)</f>
        <v>0</v>
      </c>
      <c r="D22" s="9">
        <f>IF('Data Sheet'!D93&gt;0,'Data Sheet'!D31/'Data Sheet'!D93,0)</f>
        <v>0</v>
      </c>
      <c r="E22" s="9">
        <f>IF('Data Sheet'!E93&gt;0,'Data Sheet'!E31/'Data Sheet'!E93,0)</f>
        <v>0.2</v>
      </c>
      <c r="F22" s="9">
        <f>IF('Data Sheet'!F93&gt;0,'Data Sheet'!F31/'Data Sheet'!F93,0)</f>
        <v>1.4750000000000001</v>
      </c>
      <c r="G22" s="9">
        <f>IF('Data Sheet'!G93&gt;0,'Data Sheet'!G31/'Data Sheet'!G93,0)</f>
        <v>1.2991242361314634</v>
      </c>
      <c r="H22" s="9">
        <f>IF('Data Sheet'!H93&gt;0,'Data Sheet'!H31/'Data Sheet'!H93,0)</f>
        <v>2.9989952705272085</v>
      </c>
      <c r="I22" s="9">
        <f>IF('Data Sheet'!I93&gt;0,'Data Sheet'!I31/'Data Sheet'!I93,0)</f>
        <v>5.5003599014515174</v>
      </c>
      <c r="J22" s="9">
        <f>IF('Data Sheet'!J93&gt;0,'Data Sheet'!J31/'Data Sheet'!J93,0)</f>
        <v>5.5003599014515174</v>
      </c>
      <c r="K22" s="9">
        <f>IF('Data Sheet'!K93&gt;0,'Data Sheet'!K31/'Data Sheet'!K93,0)</f>
        <v>6.9998575367151217</v>
      </c>
      <c r="L22" s="9"/>
      <c r="M22" s="6"/>
      <c r="N22" s="6"/>
    </row>
    <row r="23" spans="1:14">
      <c r="A23" s="6" t="s">
        <v>17</v>
      </c>
      <c r="B23" s="7">
        <f>IF('Data Sheet'!B30&gt;0, 'Data Sheet'!B31/'Data Sheet'!B30, 0)</f>
        <v>0.7303370786516854</v>
      </c>
      <c r="C23" s="7">
        <f>IF('Data Sheet'!C30&gt;0, 'Data Sheet'!C31/'Data Sheet'!C30, 0)</f>
        <v>0</v>
      </c>
      <c r="D23" s="7">
        <f>IF('Data Sheet'!D30&gt;0, 'Data Sheet'!D31/'Data Sheet'!D30, 0)</f>
        <v>0</v>
      </c>
      <c r="E23" s="7">
        <f>IF('Data Sheet'!E30&gt;0, 'Data Sheet'!E31/'Data Sheet'!E30, 0)</f>
        <v>0.23529411764705885</v>
      </c>
      <c r="F23" s="7">
        <f>IF('Data Sheet'!F30&gt;0, 'Data Sheet'!F31/'Data Sheet'!F30, 0)</f>
        <v>0.21033868092691624</v>
      </c>
      <c r="G23" s="7">
        <f>IF('Data Sheet'!G30&gt;0, 'Data Sheet'!G31/'Data Sheet'!G30, 0)</f>
        <v>0.19633943427620634</v>
      </c>
      <c r="H23" s="7">
        <f>IF('Data Sheet'!H30&gt;0, 'Data Sheet'!H31/'Data Sheet'!H30, 0)</f>
        <v>0.19343843204090327</v>
      </c>
      <c r="I23" s="7">
        <f>IF('Data Sheet'!I30&gt;0, 'Data Sheet'!I31/'Data Sheet'!I30, 0)</f>
        <v>0.21549344375431331</v>
      </c>
      <c r="J23" s="7">
        <f>IF('Data Sheet'!J30&gt;0, 'Data Sheet'!J31/'Data Sheet'!J30, 0)</f>
        <v>0.15860317460317461</v>
      </c>
      <c r="K23" s="7">
        <f>IF('Data Sheet'!K30&gt;0, 'Data Sheet'!K31/'Data Sheet'!K30, 0)</f>
        <v>0.14830884068112898</v>
      </c>
    </row>
    <row r="24" spans="1:14">
      <c r="A24" s="6" t="s">
        <v>18</v>
      </c>
      <c r="B24" s="7">
        <f t="shared" ref="B24:L24" si="7">IF(B6&gt;0,B6/B4,0)</f>
        <v>1.4692378328742086E-2</v>
      </c>
      <c r="C24" s="7">
        <f t="shared" ref="C24:K24" si="8">IF(C6&gt;0,C6/C4,0)</f>
        <v>0</v>
      </c>
      <c r="D24" s="7">
        <f t="shared" si="8"/>
        <v>0</v>
      </c>
      <c r="E24" s="7">
        <f t="shared" si="8"/>
        <v>3.7448856799037172E-2</v>
      </c>
      <c r="F24" s="7">
        <f t="shared" si="8"/>
        <v>0.1136981774738821</v>
      </c>
      <c r="G24" s="7">
        <f t="shared" si="8"/>
        <v>7.7865563854083136E-2</v>
      </c>
      <c r="H24" s="7">
        <f t="shared" si="8"/>
        <v>9.8470321047003789E-2</v>
      </c>
      <c r="I24" s="7">
        <f t="shared" si="8"/>
        <v>0.10237215414509238</v>
      </c>
      <c r="J24" s="7">
        <f t="shared" si="8"/>
        <v>0.11410649609322741</v>
      </c>
      <c r="K24" s="7">
        <f t="shared" si="8"/>
        <v>0.12144211134938124</v>
      </c>
      <c r="L24" s="7">
        <f t="shared" si="7"/>
        <v>0.16084174710603202</v>
      </c>
    </row>
    <row r="25" spans="1:14"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</row>
    <row r="26" spans="1:14" s="2" customFormat="1">
      <c r="A26" s="15"/>
      <c r="B26" s="16"/>
      <c r="C26" s="16"/>
      <c r="D26" s="16"/>
      <c r="E26" s="16"/>
      <c r="F26" s="16"/>
      <c r="G26" s="16" t="s">
        <v>19</v>
      </c>
      <c r="H26" s="16" t="s">
        <v>56</v>
      </c>
      <c r="I26" s="16" t="s">
        <v>57</v>
      </c>
      <c r="J26" s="16" t="s">
        <v>58</v>
      </c>
      <c r="K26" s="16" t="s">
        <v>59</v>
      </c>
      <c r="L26" s="17" t="s">
        <v>60</v>
      </c>
      <c r="M26" s="17" t="s">
        <v>20</v>
      </c>
      <c r="N26" s="17" t="s">
        <v>21</v>
      </c>
    </row>
    <row r="27" spans="1:14" s="8" customFormat="1">
      <c r="A27" s="6"/>
      <c r="B27" s="6"/>
      <c r="C27" s="6"/>
      <c r="D27" s="6"/>
      <c r="E27" s="6"/>
      <c r="F27" s="6"/>
      <c r="G27" s="6" t="s">
        <v>22</v>
      </c>
      <c r="H27" s="7">
        <f>IF(B4=0,"",POWER($K4/B4,1/9)-1)</f>
        <v>0.44740670106639846</v>
      </c>
      <c r="I27" s="7">
        <f>IF(D4=0,"",POWER($K4/D4,1/7)-1)</f>
        <v>0.6244661654193242</v>
      </c>
      <c r="J27" s="7">
        <f>IF(F4=0,"",POWER($K4/F4,1/5)-1)</f>
        <v>0.47349287763198999</v>
      </c>
      <c r="K27" s="7">
        <f>IF(H4=0,"",POWER($K4/H4, 1/3)-1)</f>
        <v>0.34162025910000415</v>
      </c>
      <c r="L27" s="7">
        <f>IF(ISERROR(MAX(IF(J4=0,"",(K4-J4)/J4),IF(K4=0,"",(L4-K4)/K4))),"",MAX(IF(J4=0,"",(K4-J4)/J4),IF(K4=0,"",(L4-K4)/K4)))</f>
        <v>0.35394814422109799</v>
      </c>
      <c r="M27" s="22">
        <f>MAX(K27:L27)</f>
        <v>0.35394814422109799</v>
      </c>
      <c r="N27" s="22">
        <f>MIN(H27:L27)</f>
        <v>0.34162025910000415</v>
      </c>
    </row>
    <row r="28" spans="1:14">
      <c r="G28" s="6" t="s">
        <v>18</v>
      </c>
      <c r="H28" s="7">
        <f>IF(SUM(B4:$K$4)=0,"",SUMPRODUCT(B24:$K$24,B4:$K$4)/SUM(B4:$K$4))</f>
        <v>0.10470621330937452</v>
      </c>
      <c r="I28" s="7">
        <f>IF(SUM(E4:$K$4)=0,"",SUMPRODUCT(E24:$K$24,E4:$K$4)/SUM(E4:$K$4))</f>
        <v>0.10758581844212908</v>
      </c>
      <c r="J28" s="7">
        <f>IF(SUM(G4:$K$4)=0,"",SUMPRODUCT(G24:$K$24,G4:$K$4)/SUM(G4:$K$4))</f>
        <v>0.10904965071481343</v>
      </c>
      <c r="K28" s="7">
        <f>IF(SUM(I4:$K$4)=0, "", SUMPRODUCT(I24:$K$24,I4:$K$4)/SUM(I4:$K$4))</f>
        <v>0.11397649277896266</v>
      </c>
      <c r="L28" s="7">
        <f>L24</f>
        <v>0.16084174710603202</v>
      </c>
      <c r="M28" s="22">
        <f>MAX(K28:L28)</f>
        <v>0.16084174710603202</v>
      </c>
      <c r="N28" s="22">
        <f>MIN(H28:L28)</f>
        <v>0.10470621330937452</v>
      </c>
    </row>
    <row r="29" spans="1:14">
      <c r="G29" s="6" t="s">
        <v>23</v>
      </c>
      <c r="H29" s="9">
        <f>IF(ISERROR(AVERAGEIF(B14:$L14,"&gt;0")),"",AVERAGEIF(B14:$L14,"&gt;0"))</f>
        <v>13.110670224176854</v>
      </c>
      <c r="I29" s="9">
        <f>IF(ISERROR(AVERAGEIF(E14:$L14,"&gt;0")),"",AVERAGEIF(E14:$L14,"&gt;0"))</f>
        <v>11.856105125794468</v>
      </c>
      <c r="J29" s="9">
        <f>IF(ISERROR(AVERAGEIF(G14:$L14,"&gt;0")),"",AVERAGEIF(G14:$L14,"&gt;0"))</f>
        <v>13.777955972835878</v>
      </c>
      <c r="K29" s="9">
        <f>IF(ISERROR(AVERAGEIF(I14:$L14,"&gt;0")),"",AVERAGEIF(I14:$L14,"&gt;0"))</f>
        <v>17.955509436467302</v>
      </c>
      <c r="L29" s="9">
        <f>L14</f>
        <v>28.357328791335927</v>
      </c>
      <c r="M29" s="1">
        <f>MAX(K29:L29)</f>
        <v>28.357328791335927</v>
      </c>
      <c r="N29" s="1">
        <f>MIN(H29:L29)</f>
        <v>11.856105125794468</v>
      </c>
    </row>
    <row r="31" spans="1:14">
      <c r="A31" s="6" t="s">
        <v>357</v>
      </c>
      <c r="C31" s="185">
        <f>(C4-B4)/B4</f>
        <v>-0.29282726252423225</v>
      </c>
      <c r="D31" s="185">
        <f t="shared" ref="D31:L31" si="9">(D4-C4)/C4</f>
        <v>0.32073293896984567</v>
      </c>
      <c r="E31" s="185">
        <f t="shared" si="9"/>
        <v>1.2694996722744154</v>
      </c>
      <c r="F31" s="185">
        <f t="shared" si="9"/>
        <v>0.89367027677497002</v>
      </c>
      <c r="G31" s="185">
        <f t="shared" si="9"/>
        <v>0.64723825017157655</v>
      </c>
      <c r="H31" s="185">
        <f t="shared" si="9"/>
        <v>0.7462039380285167</v>
      </c>
      <c r="I31" s="185">
        <f t="shared" si="9"/>
        <v>0.57356333012256899</v>
      </c>
      <c r="J31" s="185">
        <f t="shared" si="9"/>
        <v>0.13345051834712965</v>
      </c>
      <c r="K31" s="185">
        <f t="shared" si="9"/>
        <v>0.35394814422109799</v>
      </c>
      <c r="L31" s="185">
        <f t="shared" si="9"/>
        <v>8.8423001763849193E-2</v>
      </c>
    </row>
  </sheetData>
  <hyperlinks>
    <hyperlink ref="M1" r:id="rId1"/>
  </hyperlinks>
  <printOptions gridLines="1"/>
  <pageMargins left="0.7" right="0.7" top="0.75" bottom="0.75" header="0.3" footer="0.3"/>
  <pageSetup paperSize="9" orientation="landscape" horizontalDpi="300" verticalDpi="300"/>
  <tableParts count="1"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workbookViewId="0">
      <selection activeCell="C31" sqref="C31"/>
    </sheetView>
  </sheetViews>
  <sheetFormatPr baseColWidth="10" defaultRowHeight="14" x14ac:dyDescent="0"/>
  <cols>
    <col min="1" max="1" width="40.1640625" customWidth="1"/>
    <col min="2" max="2" width="9.1640625" customWidth="1"/>
    <col min="3" max="3" width="8.6640625" bestFit="1" customWidth="1"/>
    <col min="4" max="8" width="7.5" customWidth="1"/>
    <col min="9" max="10" width="8.1640625" customWidth="1"/>
    <col min="11" max="11" width="7.5" customWidth="1"/>
    <col min="12" max="12" width="8.1640625" customWidth="1"/>
  </cols>
  <sheetData>
    <row r="1" spans="1:12">
      <c r="A1" s="120" t="s">
        <v>343</v>
      </c>
      <c r="B1" s="246" t="s">
        <v>238</v>
      </c>
      <c r="C1" s="247"/>
      <c r="D1" s="247"/>
      <c r="E1" s="247"/>
      <c r="F1" s="247"/>
      <c r="G1" s="247"/>
      <c r="H1" s="247"/>
      <c r="I1" s="247"/>
      <c r="J1" s="247"/>
      <c r="K1" s="247"/>
      <c r="L1" s="247"/>
    </row>
    <row r="2" spans="1:12">
      <c r="A2" s="123" t="str">
        <f>'Data Sheet'!B1</f>
        <v>AVANTI FEEDS LTD</v>
      </c>
      <c r="B2" s="97">
        <f>'Data Sheet'!B16</f>
        <v>39538</v>
      </c>
      <c r="C2" s="121">
        <f>'Data Sheet'!C16</f>
        <v>39903</v>
      </c>
      <c r="D2" s="121">
        <f>'Data Sheet'!D16</f>
        <v>40268</v>
      </c>
      <c r="E2" s="121">
        <f>'Data Sheet'!E16</f>
        <v>40633</v>
      </c>
      <c r="F2" s="121">
        <f>'Data Sheet'!F16</f>
        <v>40999</v>
      </c>
      <c r="G2" s="121">
        <f>'Data Sheet'!G16</f>
        <v>41364</v>
      </c>
      <c r="H2" s="121">
        <f>'Data Sheet'!H16</f>
        <v>41729</v>
      </c>
      <c r="I2" s="121">
        <f>'Data Sheet'!I16</f>
        <v>42094</v>
      </c>
      <c r="J2" s="121">
        <f>'Data Sheet'!J16</f>
        <v>42460</v>
      </c>
      <c r="K2" s="121">
        <f>'Data Sheet'!K16</f>
        <v>42825</v>
      </c>
      <c r="L2" s="137" t="s">
        <v>242</v>
      </c>
    </row>
    <row r="3" spans="1:12">
      <c r="A3" s="102" t="s">
        <v>6</v>
      </c>
      <c r="B3" s="102">
        <f>'Data Sheet'!B17</f>
        <v>98.01</v>
      </c>
      <c r="C3" s="102">
        <f>'Data Sheet'!C17</f>
        <v>69.31</v>
      </c>
      <c r="D3" s="102">
        <f>'Data Sheet'!D17</f>
        <v>91.54</v>
      </c>
      <c r="E3" s="102">
        <f>'Data Sheet'!E17</f>
        <v>207.75</v>
      </c>
      <c r="F3" s="102">
        <f>'Data Sheet'!F17</f>
        <v>393.41</v>
      </c>
      <c r="G3" s="102">
        <f>'Data Sheet'!G17</f>
        <v>648.04</v>
      </c>
      <c r="H3" s="102">
        <f>'Data Sheet'!H17</f>
        <v>1131.6099999999999</v>
      </c>
      <c r="I3" s="102">
        <f>'Data Sheet'!I17</f>
        <v>1780.66</v>
      </c>
      <c r="J3" s="102">
        <f>'Data Sheet'!J17</f>
        <v>2018.29</v>
      </c>
      <c r="K3" s="102">
        <f>'Data Sheet'!K17</f>
        <v>2732.66</v>
      </c>
      <c r="L3" s="139">
        <f>'Profit &amp; Loss'!L4</f>
        <v>2974.29</v>
      </c>
    </row>
    <row r="4" spans="1:12">
      <c r="A4" s="102" t="s">
        <v>86</v>
      </c>
      <c r="B4" s="110">
        <f>'Profit &amp; Loss'!B10+'Profit &amp; Loss'!B9</f>
        <v>6.32</v>
      </c>
      <c r="C4" s="110">
        <f>'Profit &amp; Loss'!C10+'Profit &amp; Loss'!C9</f>
        <v>-2.84</v>
      </c>
      <c r="D4" s="110">
        <f>'Profit &amp; Loss'!D10+'Profit &amp; Loss'!D9</f>
        <v>0.83999999999999986</v>
      </c>
      <c r="E4" s="110">
        <f>'Profit &amp; Loss'!E10+'Profit &amp; Loss'!E9</f>
        <v>9.89</v>
      </c>
      <c r="F4" s="110">
        <f>'Profit &amp; Loss'!F10+'Profit &amp; Loss'!F9</f>
        <v>44.08</v>
      </c>
      <c r="G4" s="110">
        <f>'Profit &amp; Loss'!G10+'Profit &amp; Loss'!G9</f>
        <v>48.06</v>
      </c>
      <c r="H4" s="110">
        <f>'Profit &amp; Loss'!H10+'Profit &amp; Loss'!H9</f>
        <v>109.56</v>
      </c>
      <c r="I4" s="110">
        <f>'Profit &amp; Loss'!I10+'Profit &amp; Loss'!I9</f>
        <v>182.51</v>
      </c>
      <c r="J4" s="110">
        <f>'Profit &amp; Loss'!J10+'Profit &amp; Loss'!J9</f>
        <v>241.56</v>
      </c>
      <c r="K4" s="110">
        <f>'Profit &amp; Loss'!K10+'Profit &amp; Loss'!K9</f>
        <v>340.03000000000003</v>
      </c>
      <c r="L4" s="139">
        <f>'Profit &amp; Loss'!L10+'Profit &amp; Loss'!L9</f>
        <v>488.08000000000004</v>
      </c>
    </row>
    <row r="5" spans="1:12">
      <c r="A5" s="102" t="s">
        <v>241</v>
      </c>
      <c r="B5" s="102">
        <f>'Calculated Data'!B6</f>
        <v>1.4399999999999995</v>
      </c>
      <c r="C5" s="102">
        <f>'Calculated Data'!C6</f>
        <v>-3.7699999999999996</v>
      </c>
      <c r="D5" s="102">
        <f>'Calculated Data'!D6</f>
        <v>-7.07</v>
      </c>
      <c r="E5" s="102">
        <f>'Calculated Data'!E6</f>
        <v>8.6500000000000021</v>
      </c>
      <c r="F5" s="102">
        <f>'Calculated Data'!F6</f>
        <v>44.73</v>
      </c>
      <c r="G5" s="102">
        <f>'Calculated Data'!G6</f>
        <v>50.460000000000008</v>
      </c>
      <c r="H5" s="102">
        <f>'Calculated Data'!H6</f>
        <v>111.42</v>
      </c>
      <c r="I5" s="102">
        <f>'Calculated Data'!I6</f>
        <v>182.29</v>
      </c>
      <c r="J5" s="102">
        <f>'Calculated Data'!J6</f>
        <v>230.29999999999998</v>
      </c>
      <c r="K5" s="102">
        <f>'Calculated Data'!K6</f>
        <v>331.85</v>
      </c>
      <c r="L5" s="139">
        <f>'Profit &amp; Loss'!L6</f>
        <v>478.39</v>
      </c>
    </row>
    <row r="6" spans="1:12">
      <c r="A6" s="102" t="s">
        <v>240</v>
      </c>
      <c r="B6" s="103">
        <f t="shared" ref="B6:L6" si="0">B5/B3</f>
        <v>1.469237832874196E-2</v>
      </c>
      <c r="C6" s="103">
        <f t="shared" si="0"/>
        <v>-5.4393305439330533E-2</v>
      </c>
      <c r="D6" s="103">
        <f t="shared" si="0"/>
        <v>-7.723399606729299E-2</v>
      </c>
      <c r="E6" s="103">
        <f t="shared" si="0"/>
        <v>4.1636582430806271E-2</v>
      </c>
      <c r="F6" s="103">
        <f t="shared" si="0"/>
        <v>0.11369817747388219</v>
      </c>
      <c r="G6" s="103">
        <f t="shared" si="0"/>
        <v>7.7865563854083095E-2</v>
      </c>
      <c r="H6" s="103">
        <f t="shared" si="0"/>
        <v>9.8461484080204317E-2</v>
      </c>
      <c r="I6" s="103">
        <f t="shared" si="0"/>
        <v>0.10237215414509226</v>
      </c>
      <c r="J6" s="103">
        <f t="shared" si="0"/>
        <v>0.11410649609322743</v>
      </c>
      <c r="K6" s="103">
        <f t="shared" si="0"/>
        <v>0.12143845191132452</v>
      </c>
      <c r="L6" s="140">
        <f t="shared" si="0"/>
        <v>0.16084174710603202</v>
      </c>
    </row>
    <row r="7" spans="1:12">
      <c r="A7" s="102" t="s">
        <v>327</v>
      </c>
      <c r="B7" s="103"/>
      <c r="C7" s="103">
        <f t="shared" ref="C7:L7" si="1">(C3-B3)/B3</f>
        <v>-0.29282726252423225</v>
      </c>
      <c r="D7" s="103">
        <f t="shared" si="1"/>
        <v>0.32073293896984567</v>
      </c>
      <c r="E7" s="103">
        <f t="shared" si="1"/>
        <v>1.2694996722744154</v>
      </c>
      <c r="F7" s="103">
        <f t="shared" si="1"/>
        <v>0.89367027677497002</v>
      </c>
      <c r="G7" s="103">
        <f t="shared" si="1"/>
        <v>0.64723825017157655</v>
      </c>
      <c r="H7" s="103">
        <f t="shared" si="1"/>
        <v>0.7462039380285167</v>
      </c>
      <c r="I7" s="103">
        <f t="shared" si="1"/>
        <v>0.57356333012256899</v>
      </c>
      <c r="J7" s="103">
        <f t="shared" si="1"/>
        <v>0.13345051834712965</v>
      </c>
      <c r="K7" s="103">
        <f t="shared" si="1"/>
        <v>0.35394814422109799</v>
      </c>
      <c r="L7" s="103">
        <f t="shared" si="1"/>
        <v>8.8423001763849193E-2</v>
      </c>
    </row>
    <row r="8" spans="1:12">
      <c r="A8" s="102" t="s">
        <v>328</v>
      </c>
      <c r="B8" s="103"/>
      <c r="C8" s="127">
        <f t="shared" ref="C8:L8" si="2">(C4-B4)/B4</f>
        <v>-1.4493670886075949</v>
      </c>
      <c r="D8" s="127">
        <f t="shared" si="2"/>
        <v>-1.295774647887324</v>
      </c>
      <c r="E8" s="127">
        <f t="shared" si="2"/>
        <v>10.773809523809527</v>
      </c>
      <c r="F8" s="127">
        <f t="shared" si="2"/>
        <v>3.4570273003033365</v>
      </c>
      <c r="G8" s="127">
        <f t="shared" si="2"/>
        <v>9.0290381125226957E-2</v>
      </c>
      <c r="H8" s="127">
        <f t="shared" si="2"/>
        <v>1.2796504369538078</v>
      </c>
      <c r="I8" s="127">
        <f t="shared" si="2"/>
        <v>0.66584519897772898</v>
      </c>
      <c r="J8" s="127">
        <f t="shared" si="2"/>
        <v>0.32354391540189587</v>
      </c>
      <c r="K8" s="127">
        <f t="shared" si="2"/>
        <v>0.4076419937075676</v>
      </c>
      <c r="L8" s="127">
        <f t="shared" si="2"/>
        <v>0.43540275858012528</v>
      </c>
    </row>
    <row r="9" spans="1:12">
      <c r="A9" s="102" t="s">
        <v>329</v>
      </c>
      <c r="B9" s="103"/>
      <c r="C9" s="127"/>
      <c r="D9" s="127"/>
      <c r="E9" s="127">
        <f>(E3-B3)/B3</f>
        <v>1.1196816651362105</v>
      </c>
      <c r="F9" s="127">
        <f t="shared" ref="F9:L9" si="3">(F3-C3)/C3</f>
        <v>4.6760929158851541</v>
      </c>
      <c r="G9" s="127">
        <f t="shared" si="3"/>
        <v>6.0793095914354378</v>
      </c>
      <c r="H9" s="127">
        <f t="shared" si="3"/>
        <v>4.4469795427196148</v>
      </c>
      <c r="I9" s="127">
        <f t="shared" si="3"/>
        <v>3.526219465697364</v>
      </c>
      <c r="J9" s="127">
        <f t="shared" si="3"/>
        <v>2.1144528115548424</v>
      </c>
      <c r="K9" s="127">
        <f t="shared" si="3"/>
        <v>1.4148425694364668</v>
      </c>
      <c r="L9" s="127">
        <f t="shared" si="3"/>
        <v>0.67033010232161094</v>
      </c>
    </row>
    <row r="10" spans="1:12">
      <c r="A10" s="102" t="s">
        <v>330</v>
      </c>
      <c r="B10" s="103"/>
      <c r="C10" s="127"/>
      <c r="D10" s="127"/>
      <c r="E10" s="127">
        <f>(E4-B4)/B4</f>
        <v>0.564873417721519</v>
      </c>
      <c r="F10" s="127">
        <f t="shared" ref="F10" si="4">(F4-C4)/C4</f>
        <v>-16.52112676056338</v>
      </c>
      <c r="G10" s="127">
        <f t="shared" ref="G10" si="5">(G4-D4)/D4</f>
        <v>56.214285714285722</v>
      </c>
      <c r="H10" s="127">
        <f t="shared" ref="H10" si="6">(H4-E4)/E4</f>
        <v>10.077856420626896</v>
      </c>
      <c r="I10" s="127">
        <f t="shared" ref="I10" si="7">(I4-F4)/F4</f>
        <v>3.1404264972776774</v>
      </c>
      <c r="J10" s="127">
        <f t="shared" ref="J10" si="8">(J4-G4)/G4</f>
        <v>4.0262172284644189</v>
      </c>
      <c r="K10" s="127">
        <f t="shared" ref="K10" si="9">(K4-H4)/H4</f>
        <v>2.1035962029937934</v>
      </c>
      <c r="L10" s="127">
        <f t="shared" ref="L10" si="10">(L4-I4)/I4</f>
        <v>1.6742644238671858</v>
      </c>
    </row>
    <row r="11" spans="1:12">
      <c r="A11" s="102" t="s">
        <v>335</v>
      </c>
      <c r="B11" s="103"/>
      <c r="C11" s="127"/>
      <c r="D11" s="127"/>
      <c r="E11" s="127"/>
      <c r="F11" s="127"/>
      <c r="G11" s="127"/>
      <c r="H11" s="127"/>
      <c r="I11" s="127"/>
      <c r="J11" s="127"/>
      <c r="K11" s="127"/>
      <c r="L11" s="127"/>
    </row>
    <row r="12" spans="1:12">
      <c r="A12" s="116" t="s">
        <v>331</v>
      </c>
      <c r="B12" s="119"/>
      <c r="C12" s="148">
        <f t="shared" ref="C12:L12" si="11">IF((C3-B3)&gt;0,(C8/C7),0)</f>
        <v>0</v>
      </c>
      <c r="D12" s="148">
        <f t="shared" si="11"/>
        <v>-4.0400423232150429</v>
      </c>
      <c r="E12" s="148">
        <f t="shared" si="11"/>
        <v>8.4866579796017927</v>
      </c>
      <c r="F12" s="148">
        <f t="shared" si="11"/>
        <v>3.8683476335129705</v>
      </c>
      <c r="G12" s="148">
        <f t="shared" si="11"/>
        <v>0.13950099689147213</v>
      </c>
      <c r="H12" s="148">
        <f t="shared" si="11"/>
        <v>1.714880305154467</v>
      </c>
      <c r="I12" s="148">
        <f t="shared" si="11"/>
        <v>1.1608922049382753</v>
      </c>
      <c r="J12" s="148">
        <f t="shared" si="11"/>
        <v>2.4244485477403535</v>
      </c>
      <c r="K12" s="148">
        <f t="shared" si="11"/>
        <v>1.1516997627000669</v>
      </c>
      <c r="L12" s="119">
        <f t="shared" si="11"/>
        <v>4.9240893194618405</v>
      </c>
    </row>
    <row r="13" spans="1:12">
      <c r="A13" s="116" t="s">
        <v>332</v>
      </c>
      <c r="B13" s="119"/>
      <c r="C13" s="148"/>
      <c r="D13" s="148"/>
      <c r="E13" s="148">
        <f>IF((E3-B3)&gt;0,E10/E9,0)</f>
        <v>0.50449465710667107</v>
      </c>
      <c r="F13" s="148">
        <f t="shared" ref="F13:L13" si="12">IF((F3-C3)&gt;0,F10/F9,0)</f>
        <v>-3.533104892856056</v>
      </c>
      <c r="G13" s="148">
        <f t="shared" si="12"/>
        <v>9.2468206905403694</v>
      </c>
      <c r="H13" s="148">
        <f t="shared" si="12"/>
        <v>2.2662250464196281</v>
      </c>
      <c r="I13" s="148">
        <f t="shared" si="12"/>
        <v>0.89059303535340506</v>
      </c>
      <c r="J13" s="148">
        <f t="shared" si="12"/>
        <v>1.9041414433381367</v>
      </c>
      <c r="K13" s="148">
        <f t="shared" si="12"/>
        <v>1.4868058457073834</v>
      </c>
      <c r="L13" s="119">
        <f t="shared" si="12"/>
        <v>2.4976715472997024</v>
      </c>
    </row>
    <row r="14" spans="1:12">
      <c r="A14" s="133" t="s">
        <v>236</v>
      </c>
      <c r="B14" s="134">
        <f t="shared" ref="B14:L14" si="13">B4/B3</f>
        <v>6.448321599836751E-2</v>
      </c>
      <c r="C14" s="134">
        <f t="shared" si="13"/>
        <v>-4.0975328235463855E-2</v>
      </c>
      <c r="D14" s="134">
        <f t="shared" si="13"/>
        <v>9.1763163644308469E-3</v>
      </c>
      <c r="E14" s="134">
        <f t="shared" si="13"/>
        <v>4.7605294825511436E-2</v>
      </c>
      <c r="F14" s="134">
        <f t="shared" si="13"/>
        <v>0.11204595714394651</v>
      </c>
      <c r="G14" s="134">
        <f t="shared" si="13"/>
        <v>7.4162088759953101E-2</v>
      </c>
      <c r="H14" s="134">
        <f t="shared" si="13"/>
        <v>9.6817808255494395E-2</v>
      </c>
      <c r="I14" s="134">
        <f t="shared" si="13"/>
        <v>0.10249570384014915</v>
      </c>
      <c r="J14" s="134">
        <f t="shared" si="13"/>
        <v>0.11968547631906218</v>
      </c>
      <c r="K14" s="134">
        <f t="shared" si="13"/>
        <v>0.12443187224169858</v>
      </c>
      <c r="L14" s="134">
        <f t="shared" si="13"/>
        <v>0.16409966748366839</v>
      </c>
    </row>
    <row r="15" spans="1:12">
      <c r="A15" s="104" t="s">
        <v>151</v>
      </c>
      <c r="B15" s="104">
        <f>'Calculated Data'!B13</f>
        <v>82.09</v>
      </c>
      <c r="C15" s="104">
        <f>'Calculated Data'!C13</f>
        <v>78.62</v>
      </c>
      <c r="D15" s="104">
        <f>'Calculated Data'!D13</f>
        <v>69.699999999999989</v>
      </c>
      <c r="E15" s="104">
        <f>'Calculated Data'!E13</f>
        <v>89.49</v>
      </c>
      <c r="F15" s="104">
        <f>'Calculated Data'!F13</f>
        <v>98.41</v>
      </c>
      <c r="G15" s="104">
        <f>'Calculated Data'!G13</f>
        <v>151.31</v>
      </c>
      <c r="H15" s="104">
        <f>'Calculated Data'!H13</f>
        <v>195.38</v>
      </c>
      <c r="I15" s="104">
        <f>'Calculated Data'!I13</f>
        <v>212.6</v>
      </c>
      <c r="J15" s="104">
        <f>'Calculated Data'!J13</f>
        <v>400.34999999999997</v>
      </c>
      <c r="K15" s="104">
        <f>'Calculated Data'!K13</f>
        <v>302.38</v>
      </c>
      <c r="L15" s="130">
        <f>'Balance Sheet'!L10+'Balance Sheet'!L11+'Balance Sheet'!L16</f>
        <v>0</v>
      </c>
    </row>
    <row r="16" spans="1:12">
      <c r="A16" s="131" t="s">
        <v>237</v>
      </c>
      <c r="B16" s="132">
        <f t="shared" ref="B16:L16" si="14">B3/B15</f>
        <v>1.1939334876355221</v>
      </c>
      <c r="C16" s="132">
        <f t="shared" si="14"/>
        <v>0.88158229458153137</v>
      </c>
      <c r="D16" s="132">
        <f t="shared" si="14"/>
        <v>1.313342898134864</v>
      </c>
      <c r="E16" s="132">
        <f t="shared" si="14"/>
        <v>2.3214884344619513</v>
      </c>
      <c r="F16" s="132">
        <f t="shared" si="14"/>
        <v>3.9976628391423641</v>
      </c>
      <c r="G16" s="132">
        <f t="shared" si="14"/>
        <v>4.2828629964972569</v>
      </c>
      <c r="H16" s="132">
        <f t="shared" si="14"/>
        <v>5.7918415395639267</v>
      </c>
      <c r="I16" s="132">
        <f t="shared" si="14"/>
        <v>8.3756349952963323</v>
      </c>
      <c r="J16" s="132">
        <f t="shared" si="14"/>
        <v>5.0413138503809174</v>
      </c>
      <c r="K16" s="132">
        <f t="shared" si="14"/>
        <v>9.0371717706197501</v>
      </c>
      <c r="L16" s="132" t="e">
        <f t="shared" si="14"/>
        <v>#DIV/0!</v>
      </c>
    </row>
    <row r="17" spans="1:13">
      <c r="A17" s="135" t="s">
        <v>132</v>
      </c>
      <c r="B17" s="136">
        <f>'Calculated Data'!B24</f>
        <v>5.1909028154612277E-2</v>
      </c>
      <c r="C17" s="136">
        <f>'Calculated Data'!C24</f>
        <v>-2.5464437785434186E-2</v>
      </c>
      <c r="D17" s="136">
        <f>'Calculated Data'!D24</f>
        <v>6.3679023638425437E-3</v>
      </c>
      <c r="E17" s="136">
        <f>'Calculated Data'!E24</f>
        <v>7.3746398674615091E-2</v>
      </c>
      <c r="F17" s="136">
        <f>'Calculated Data'!F24</f>
        <v>0.31402676716249245</v>
      </c>
      <c r="G17" s="136">
        <f>'Calculated Data'!G24</f>
        <v>0.21717160540582642</v>
      </c>
      <c r="H17" s="136">
        <f>'Calculated Data'!H24</f>
        <v>0.37189835411955507</v>
      </c>
      <c r="I17" s="136">
        <f>'Calculated Data'!I24</f>
        <v>0.55644713090846099</v>
      </c>
      <c r="J17" s="136">
        <f>'Calculated Data'!J24</f>
        <v>0.40273779671941479</v>
      </c>
      <c r="K17" s="136">
        <f>'Calculated Data'!K24</f>
        <v>0.76073495457034568</v>
      </c>
      <c r="L17" s="136" t="e">
        <f>(L4/L15)*(1-'Calculated Data'!K22)</f>
        <v>#DIV/0!</v>
      </c>
      <c r="M17" s="138"/>
    </row>
    <row r="18" spans="1:13">
      <c r="A18" s="102" t="s">
        <v>214</v>
      </c>
      <c r="B18" s="122">
        <f>Customization!B58</f>
        <v>0</v>
      </c>
      <c r="C18" s="122">
        <f>Customization!C58</f>
        <v>0</v>
      </c>
      <c r="D18" s="122">
        <f>Customization!D58</f>
        <v>0</v>
      </c>
      <c r="E18" s="122">
        <f>Customization!E58</f>
        <v>0</v>
      </c>
      <c r="F18" s="122">
        <f>Customization!F58</f>
        <v>0</v>
      </c>
      <c r="G18" s="122">
        <f>Customization!G58</f>
        <v>0</v>
      </c>
      <c r="H18" s="117">
        <f>Customization!H58</f>
        <v>1.0786407761711863</v>
      </c>
      <c r="I18" s="117">
        <f>Customization!I58</f>
        <v>1.0093937755770723</v>
      </c>
      <c r="J18" s="117">
        <f>Customization!J58</f>
        <v>1.0821309426118011</v>
      </c>
      <c r="K18" s="117">
        <f>Customization!K58</f>
        <v>0.64057022906298733</v>
      </c>
      <c r="L18" s="102"/>
    </row>
    <row r="19" spans="1:13">
      <c r="A19" s="102" t="s">
        <v>111</v>
      </c>
      <c r="B19" s="108">
        <f>'Calculated Data'!B26</f>
        <v>-5.5895878787878779</v>
      </c>
      <c r="C19" s="108">
        <f>'Calculated Data'!C26</f>
        <v>-11.436414098690836</v>
      </c>
      <c r="D19" s="108">
        <f>'Calculated Data'!D26</f>
        <v>-7.920157205240173</v>
      </c>
      <c r="E19" s="108">
        <f>'Calculated Data'!E26</f>
        <v>-4.1392347826086953</v>
      </c>
      <c r="F19" s="108">
        <f>'Calculated Data'!F26</f>
        <v>19.09417415646088</v>
      </c>
      <c r="G19" s="108">
        <f>'Calculated Data'!G26</f>
        <v>14.703035613955596</v>
      </c>
      <c r="H19" s="108">
        <f>'Calculated Data'!H26</f>
        <v>49.215900427878672</v>
      </c>
      <c r="I19" s="108">
        <f>'Calculated Data'!I26</f>
        <v>92.788660031138804</v>
      </c>
      <c r="J19" s="108">
        <f>'Calculated Data'!J26</f>
        <v>113.1940769166177</v>
      </c>
      <c r="K19" s="108">
        <f>'Calculated Data'!K26</f>
        <v>193.74543556298113</v>
      </c>
      <c r="L19" s="128" t="e">
        <f>L15*(L17-'Calculated Data'!K25)</f>
        <v>#DIV/0!</v>
      </c>
    </row>
    <row r="20" spans="1:13">
      <c r="A20" s="102" t="s">
        <v>138</v>
      </c>
      <c r="B20" s="118">
        <f t="shared" ref="B20:L20" si="15">B19/B3</f>
        <v>-5.7030791539515124E-2</v>
      </c>
      <c r="C20" s="118">
        <f t="shared" si="15"/>
        <v>-0.16500381039807871</v>
      </c>
      <c r="D20" s="118">
        <f t="shared" si="15"/>
        <v>-8.6521271632512262E-2</v>
      </c>
      <c r="E20" s="118">
        <f t="shared" si="15"/>
        <v>-1.9924114477057497E-2</v>
      </c>
      <c r="F20" s="118">
        <f t="shared" si="15"/>
        <v>4.8535050345595888E-2</v>
      </c>
      <c r="G20" s="118">
        <f t="shared" si="15"/>
        <v>2.2688469251829511E-2</v>
      </c>
      <c r="H20" s="118">
        <f t="shared" si="15"/>
        <v>4.3491927808943606E-2</v>
      </c>
      <c r="I20" s="118">
        <f t="shared" si="15"/>
        <v>5.2109139325384295E-2</v>
      </c>
      <c r="J20" s="118">
        <f t="shared" si="15"/>
        <v>5.6084148916467756E-2</v>
      </c>
      <c r="K20" s="118">
        <f t="shared" si="15"/>
        <v>7.0899942020954357E-2</v>
      </c>
      <c r="L20" s="129" t="e">
        <f t="shared" si="15"/>
        <v>#DIV/0!</v>
      </c>
    </row>
    <row r="21" spans="1:13">
      <c r="A21" s="102" t="s">
        <v>334</v>
      </c>
      <c r="B21" s="117">
        <f>'Calculated Data'!B31</f>
        <v>3.4652035807103665E-3</v>
      </c>
      <c r="C21" s="117">
        <f>'Calculated Data'!C31</f>
        <v>-0.10279001468428781</v>
      </c>
      <c r="D21" s="117">
        <f>'Calculated Data'!D31</f>
        <v>-1.8086696562032885E-2</v>
      </c>
      <c r="E21" s="117">
        <f>'Calculated Data'!E31</f>
        <v>3.7399309551208279E-2</v>
      </c>
      <c r="F21" s="117">
        <f>'Calculated Data'!F31</f>
        <v>0.23662001922871495</v>
      </c>
      <c r="G21" s="117">
        <f>'Calculated Data'!G31</f>
        <v>0.19304556354916066</v>
      </c>
      <c r="H21" s="117">
        <f>'Calculated Data'!H31</f>
        <v>0.31625549924820401</v>
      </c>
      <c r="I21" s="117">
        <f>'Calculated Data'!I31</f>
        <v>0.34279467752271103</v>
      </c>
      <c r="J21" s="117">
        <f>'Calculated Data'!J31</f>
        <v>0.31344166134487578</v>
      </c>
      <c r="K21" s="117">
        <f>'Calculated Data'!K31</f>
        <v>0.28504512381725633</v>
      </c>
      <c r="L21" s="117"/>
    </row>
    <row r="22" spans="1:13">
      <c r="A22" s="120" t="s">
        <v>344</v>
      </c>
      <c r="B22" s="245" t="s">
        <v>239</v>
      </c>
      <c r="C22" s="245"/>
      <c r="D22" s="245"/>
      <c r="E22" s="245"/>
      <c r="F22" s="245"/>
      <c r="G22" s="245"/>
      <c r="H22" s="245"/>
      <c r="I22" s="245"/>
      <c r="J22" s="245"/>
      <c r="K22" s="245"/>
    </row>
    <row r="23" spans="1:13">
      <c r="A23" s="125" t="str">
        <f>A2</f>
        <v>AVANTI FEEDS LTD</v>
      </c>
      <c r="B23" s="97">
        <f>'Data Sheet'!B41</f>
        <v>42094</v>
      </c>
      <c r="C23" s="97">
        <f>'Data Sheet'!C41</f>
        <v>42185</v>
      </c>
      <c r="D23" s="97">
        <f>'Data Sheet'!D41</f>
        <v>42277</v>
      </c>
      <c r="E23" s="97">
        <f>'Data Sheet'!E41</f>
        <v>42369</v>
      </c>
      <c r="F23" s="97">
        <f>'Data Sheet'!F41</f>
        <v>42460</v>
      </c>
      <c r="G23" s="97">
        <f>'Data Sheet'!G41</f>
        <v>42551</v>
      </c>
      <c r="H23" s="97">
        <f>'Data Sheet'!H41</f>
        <v>42643</v>
      </c>
      <c r="I23" s="97">
        <f>'Data Sheet'!I41</f>
        <v>42735</v>
      </c>
      <c r="J23" s="97">
        <f>'Data Sheet'!J41</f>
        <v>42825</v>
      </c>
      <c r="K23" s="97">
        <f>'Data Sheet'!K41</f>
        <v>42916</v>
      </c>
    </row>
    <row r="24" spans="1:13">
      <c r="A24" s="102" t="s">
        <v>6</v>
      </c>
      <c r="B24" s="102">
        <f>'Data Sheet'!B42</f>
        <v>381.45</v>
      </c>
      <c r="C24" s="102">
        <f>'Data Sheet'!C42</f>
        <v>603.4</v>
      </c>
      <c r="D24" s="102">
        <f>'Data Sheet'!D42</f>
        <v>532.95000000000005</v>
      </c>
      <c r="E24" s="102">
        <f>'Data Sheet'!E42</f>
        <v>413.11</v>
      </c>
      <c r="F24" s="102">
        <f>'Data Sheet'!F42</f>
        <v>468.83</v>
      </c>
      <c r="G24" s="102">
        <f>'Data Sheet'!G42</f>
        <v>724.38</v>
      </c>
      <c r="H24" s="102">
        <f>'Data Sheet'!H42</f>
        <v>713.06</v>
      </c>
      <c r="I24" s="102">
        <f>'Data Sheet'!I42</f>
        <v>558.63</v>
      </c>
      <c r="J24" s="102">
        <f>'Data Sheet'!J42</f>
        <v>704.43</v>
      </c>
      <c r="K24" s="102">
        <f>'Data Sheet'!K42</f>
        <v>998.17</v>
      </c>
    </row>
    <row r="25" spans="1:13">
      <c r="A25" s="102" t="s">
        <v>86</v>
      </c>
      <c r="B25" s="126">
        <f>Quarters!B16</f>
        <v>36.160000000000004</v>
      </c>
      <c r="C25" s="126">
        <f>Quarters!C16</f>
        <v>69.080000000000013</v>
      </c>
      <c r="D25" s="126">
        <f>Quarters!D16</f>
        <v>65.77</v>
      </c>
      <c r="E25" s="126">
        <f>Quarters!E16</f>
        <v>56.41</v>
      </c>
      <c r="F25" s="126">
        <f>Quarters!F16</f>
        <v>48.480000000000004</v>
      </c>
      <c r="G25" s="126">
        <f>Quarters!G16</f>
        <v>75.180000000000007</v>
      </c>
      <c r="H25" s="126">
        <f>Quarters!H16</f>
        <v>60.18</v>
      </c>
      <c r="I25" s="126">
        <f>Quarters!I16</f>
        <v>68.55</v>
      </c>
      <c r="J25" s="126">
        <f>Quarters!J16</f>
        <v>132.27000000000001</v>
      </c>
      <c r="K25" s="126">
        <f>Quarters!K16</f>
        <v>227.08</v>
      </c>
    </row>
    <row r="26" spans="1:13">
      <c r="A26" s="102" t="s">
        <v>241</v>
      </c>
      <c r="B26" s="126">
        <f>Quarters!B6</f>
        <v>36.880000000000003</v>
      </c>
      <c r="C26" s="126">
        <f>Quarters!C6</f>
        <v>64.150000000000006</v>
      </c>
      <c r="D26" s="126">
        <f>Quarters!D6</f>
        <v>62.45</v>
      </c>
      <c r="E26" s="126">
        <f>Quarters!E6</f>
        <v>55.49</v>
      </c>
      <c r="F26" s="126">
        <f>Quarters!F6</f>
        <v>46.39</v>
      </c>
      <c r="G26" s="126">
        <f>Quarters!G6</f>
        <v>76.040000000000006</v>
      </c>
      <c r="H26" s="126">
        <f>Quarters!H6</f>
        <v>56.43</v>
      </c>
      <c r="I26" s="126">
        <f>Quarters!I6</f>
        <v>68.900000000000006</v>
      </c>
      <c r="J26" s="126">
        <f>Quarters!J6</f>
        <v>128.09</v>
      </c>
      <c r="K26" s="126">
        <f>Quarters!K6</f>
        <v>224.97</v>
      </c>
    </row>
    <row r="27" spans="1:13">
      <c r="A27" s="102" t="s">
        <v>236</v>
      </c>
      <c r="B27" s="103">
        <f>B25/B24</f>
        <v>9.4796172499672315E-2</v>
      </c>
      <c r="C27" s="103">
        <f t="shared" ref="C27:K27" si="16">C25/C24</f>
        <v>0.11448458733841567</v>
      </c>
      <c r="D27" s="103">
        <f t="shared" si="16"/>
        <v>0.12340744910404351</v>
      </c>
      <c r="E27" s="103">
        <f t="shared" si="16"/>
        <v>0.13654958727699643</v>
      </c>
      <c r="F27" s="103">
        <f t="shared" si="16"/>
        <v>0.10340635198259499</v>
      </c>
      <c r="G27" s="103">
        <f t="shared" si="16"/>
        <v>0.1037853060548331</v>
      </c>
      <c r="H27" s="103">
        <f t="shared" si="16"/>
        <v>8.4396824951616975E-2</v>
      </c>
      <c r="I27" s="103">
        <f t="shared" si="16"/>
        <v>0.12271091778099995</v>
      </c>
      <c r="J27" s="103">
        <f t="shared" si="16"/>
        <v>0.18776883437673014</v>
      </c>
      <c r="K27" s="103">
        <f t="shared" si="16"/>
        <v>0.22749631826242026</v>
      </c>
    </row>
    <row r="28" spans="1:13">
      <c r="A28" s="102" t="s">
        <v>240</v>
      </c>
      <c r="B28" s="103">
        <f>B26/B24</f>
        <v>9.6683706907851635E-2</v>
      </c>
      <c r="C28" s="103">
        <f t="shared" ref="C28:K28" si="17">C26/C24</f>
        <v>0.10631421942326816</v>
      </c>
      <c r="D28" s="103">
        <f t="shared" si="17"/>
        <v>0.11717797166713576</v>
      </c>
      <c r="E28" s="103">
        <f t="shared" si="17"/>
        <v>0.13432257752172544</v>
      </c>
      <c r="F28" s="103">
        <f t="shared" si="17"/>
        <v>9.8948446131860171E-2</v>
      </c>
      <c r="G28" s="103">
        <f t="shared" si="17"/>
        <v>0.10497252823103896</v>
      </c>
      <c r="H28" s="103">
        <f t="shared" si="17"/>
        <v>7.913780046559897E-2</v>
      </c>
      <c r="I28" s="103">
        <f t="shared" si="17"/>
        <v>0.12333745054866371</v>
      </c>
      <c r="J28" s="103">
        <f t="shared" si="17"/>
        <v>0.18183495876098407</v>
      </c>
      <c r="K28" s="103">
        <f t="shared" si="17"/>
        <v>0.22538244988328643</v>
      </c>
    </row>
    <row r="29" spans="1:13">
      <c r="A29" s="120" t="s">
        <v>342</v>
      </c>
      <c r="B29" s="218">
        <f>B2</f>
        <v>39538</v>
      </c>
      <c r="C29" s="218">
        <f t="shared" ref="C29:L29" si="18">C2</f>
        <v>39903</v>
      </c>
      <c r="D29" s="218">
        <f t="shared" si="18"/>
        <v>40268</v>
      </c>
      <c r="E29" s="218">
        <f t="shared" si="18"/>
        <v>40633</v>
      </c>
      <c r="F29" s="218">
        <f t="shared" si="18"/>
        <v>40999</v>
      </c>
      <c r="G29" s="218">
        <f t="shared" si="18"/>
        <v>41364</v>
      </c>
      <c r="H29" s="218">
        <f t="shared" si="18"/>
        <v>41729</v>
      </c>
      <c r="I29" s="218">
        <f t="shared" si="18"/>
        <v>42094</v>
      </c>
      <c r="J29" s="218">
        <f t="shared" si="18"/>
        <v>42460</v>
      </c>
      <c r="K29" s="218">
        <f t="shared" si="18"/>
        <v>42825</v>
      </c>
      <c r="L29" s="218" t="str">
        <f t="shared" si="18"/>
        <v>TTM</v>
      </c>
    </row>
    <row r="30" spans="1:13">
      <c r="A30" s="102" t="s">
        <v>323</v>
      </c>
      <c r="B30" s="102"/>
      <c r="C30" s="217">
        <f>('Calculated Data'!C18-'Data Sheet'!C26)/('Business Robustness'!C3-'Business Robustness'!B3)</f>
        <v>0.12264808362369334</v>
      </c>
      <c r="D30" s="217">
        <f>('Calculated Data'!D18-'Data Sheet'!D26)/('Business Robustness'!D3-'Business Robustness'!C3)</f>
        <v>-9.8515519568151189E-2</v>
      </c>
      <c r="E30" s="217">
        <f>('Calculated Data'!E18-'Data Sheet'!E26)/('Business Robustness'!E3-'Business Robustness'!D3)</f>
        <v>8.639531881937873E-2</v>
      </c>
      <c r="F30" s="217">
        <f>('Calculated Data'!F18-'Data Sheet'!F26)/('Business Robustness'!F3-'Business Robustness'!E3)</f>
        <v>3.6949262091996136E-2</v>
      </c>
      <c r="G30" s="217">
        <f>('Calculated Data'!G18-'Data Sheet'!G26)/('Business Robustness'!G3-'Business Robustness'!F3)</f>
        <v>3.0161410674311745E-2</v>
      </c>
      <c r="H30" s="217">
        <f>('Calculated Data'!H18-'Data Sheet'!H26)/('Business Robustness'!H3-'Business Robustness'!G3)</f>
        <v>6.1790433649730143E-2</v>
      </c>
      <c r="I30" s="217">
        <f>('Calculated Data'!I18-'Data Sheet'!I26)/('Business Robustness'!I3-'Business Robustness'!H3)</f>
        <v>1.1170171789538537E-2</v>
      </c>
      <c r="J30" s="217">
        <f>('Calculated Data'!J18-'Data Sheet'!J26)/('Business Robustness'!J3-'Business Robustness'!I3)</f>
        <v>0.23582880949375087</v>
      </c>
      <c r="K30" s="217">
        <f>('Calculated Data'!K18-'Data Sheet'!K26)/('Business Robustness'!K3-'Business Robustness'!J3)</f>
        <v>0.13064658370312307</v>
      </c>
    </row>
    <row r="31" spans="1:13">
      <c r="A31" s="102" t="s">
        <v>324</v>
      </c>
      <c r="B31" s="102"/>
      <c r="C31" s="217">
        <f>('Calculated Data'!C11-'Calculated Data'!B11)/('Business Robustness'!C3-'Business Robustness'!B3)</f>
        <v>-1.7421602787457929E-3</v>
      </c>
      <c r="D31" s="217">
        <f>('Calculated Data'!D11-'Calculated Data'!C11)/('Business Robustness'!D3-'Business Robustness'!C3)</f>
        <v>-0.30274403958614499</v>
      </c>
      <c r="E31" s="217">
        <f>('Calculated Data'!E11-'Calculated Data'!D11)/('Business Robustness'!E3-'Business Robustness'!D3)</f>
        <v>8.3899836502882713E-2</v>
      </c>
      <c r="F31" s="217">
        <f>('Calculated Data'!F11-'Calculated Data'!E11)/('Business Robustness'!F3-'Business Robustness'!E3)</f>
        <v>1.1095551007217505E-2</v>
      </c>
      <c r="G31" s="217">
        <f>('Calculated Data'!G11-'Calculated Data'!F11)/('Business Robustness'!G3-'Business Robustness'!F3)</f>
        <v>0.17759101441306996</v>
      </c>
      <c r="H31" s="217">
        <f>('Calculated Data'!H11-'Calculated Data'!G11)/('Business Robustness'!H3-'Business Robustness'!G3)</f>
        <v>2.9344252124821609E-2</v>
      </c>
      <c r="I31" s="217">
        <f>('Calculated Data'!I11-'Calculated Data'!H11)/('Business Robustness'!I3-'Business Robustness'!H3)</f>
        <v>1.5360912102303404E-2</v>
      </c>
      <c r="J31" s="217">
        <f>('Calculated Data'!J11-'Calculated Data'!I11)/('Business Robustness'!J3-'Business Robustness'!I3)</f>
        <v>0.5542650338761943</v>
      </c>
      <c r="K31" s="217">
        <f>('Calculated Data'!K11-'Calculated Data'!J11)/('Business Robustness'!K3-'Business Robustness'!J3)</f>
        <v>-0.26778840096868572</v>
      </c>
    </row>
    <row r="32" spans="1:13">
      <c r="A32" s="102" t="s">
        <v>325</v>
      </c>
      <c r="B32" s="102"/>
      <c r="C32" s="217">
        <f>((C30+C31)*'Calculated Data'!C25)/((1+'Calculated Data'!C25)*(1-'Calculated Data'!C22))</f>
        <v>1.8376466614520338E-2</v>
      </c>
      <c r="D32" s="217">
        <f>((D30+D31)*'Calculated Data'!D25)/((1+'Calculated Data'!D25)*(1-'Calculated Data'!D22))</f>
        <v>-8.1365205767119669E-2</v>
      </c>
      <c r="E32" s="217">
        <f>((E30+E31)*'Calculated Data'!E25)/((1+'Calculated Data'!E25)*(1-'Calculated Data'!E22))</f>
        <v>2.7343020183774679E-2</v>
      </c>
      <c r="F32" s="217">
        <f>((F30+F31)*'Calculated Data'!F25)/((1+'Calculated Data'!F25)*(1-'Calculated Data'!F22))</f>
        <v>7.3425247215413965E-3</v>
      </c>
      <c r="G32" s="217">
        <f>((G30+G31)*'Calculated Data'!G25)/((1+'Calculated Data'!G25)*(1-'Calculated Data'!G22))</f>
        <v>3.2555353746652325E-2</v>
      </c>
      <c r="H32" s="217">
        <f>((H30+H31)*'Calculated Data'!H25)/((1+'Calculated Data'!H25)*(1-'Calculated Data'!H22))</f>
        <v>1.472294147912382E-2</v>
      </c>
      <c r="I32" s="217">
        <f>((I30+I31)*'Calculated Data'!I25)/((1+'Calculated Data'!I25)*(1-'Calculated Data'!I22))</f>
        <v>4.3854858458211993E-3</v>
      </c>
      <c r="J32" s="217">
        <f>((J30+J31)*'Calculated Data'!J25)/((1+'Calculated Data'!J25)*(1-'Calculated Data'!J22))</f>
        <v>0.12682494986825849</v>
      </c>
      <c r="K32" s="217">
        <f>((K30+K31)*'Calculated Data'!K25)/((1+'Calculated Data'!K25)*(1-'Calculated Data'!K22))</f>
        <v>-2.1720205218650788E-2</v>
      </c>
    </row>
    <row r="33" spans="1:12">
      <c r="A33" s="102" t="s">
        <v>333</v>
      </c>
      <c r="B33" s="102"/>
      <c r="C33" s="118">
        <f>(B4+(C32*(C3-B3)))/C3</f>
        <v>8.3575175417158656E-2</v>
      </c>
      <c r="D33" s="118">
        <f t="shared" ref="D33:K33" si="19">(C4+(D32*(D3-C3)))/D3</f>
        <v>-5.0783794234248093E-2</v>
      </c>
      <c r="E33" s="118">
        <f t="shared" si="19"/>
        <v>1.9338302650091236E-2</v>
      </c>
      <c r="F33" s="118">
        <f t="shared" si="19"/>
        <v>2.8604288502583501E-2</v>
      </c>
      <c r="G33" s="118">
        <f t="shared" si="19"/>
        <v>8.0812248818761312E-2</v>
      </c>
      <c r="H33" s="118">
        <f t="shared" si="19"/>
        <v>4.8762005294279751E-2</v>
      </c>
      <c r="I33" s="118">
        <f t="shared" si="19"/>
        <v>6.3126256325312102E-2</v>
      </c>
      <c r="J33" s="118">
        <f t="shared" si="19"/>
        <v>0.10536018750387419</v>
      </c>
      <c r="K33" s="118">
        <f t="shared" si="19"/>
        <v>8.271930536471879E-2</v>
      </c>
      <c r="L33" t="s">
        <v>345</v>
      </c>
    </row>
    <row r="34" spans="1:12">
      <c r="A34" s="102" t="s">
        <v>326</v>
      </c>
      <c r="B34" s="102"/>
      <c r="C34" s="118">
        <f>C14-C33</f>
        <v>-0.12455050365262252</v>
      </c>
      <c r="D34" s="118">
        <f t="shared" ref="D34:K34" si="20">D14-D33</f>
        <v>5.9960110598678937E-2</v>
      </c>
      <c r="E34" s="118">
        <f t="shared" si="20"/>
        <v>2.82669921754202E-2</v>
      </c>
      <c r="F34" s="118">
        <f t="shared" si="20"/>
        <v>8.3441668641363015E-2</v>
      </c>
      <c r="G34" s="118">
        <f t="shared" si="20"/>
        <v>-6.6501600588082105E-3</v>
      </c>
      <c r="H34" s="118">
        <f t="shared" si="20"/>
        <v>4.8055802961214644E-2</v>
      </c>
      <c r="I34" s="118">
        <f t="shared" si="20"/>
        <v>3.936944751483705E-2</v>
      </c>
      <c r="J34" s="118">
        <f t="shared" si="20"/>
        <v>1.4325288815187992E-2</v>
      </c>
      <c r="K34" s="118">
        <f t="shared" si="20"/>
        <v>4.1712566876979787E-2</v>
      </c>
    </row>
  </sheetData>
  <mergeCells count="2">
    <mergeCell ref="B22:K22"/>
    <mergeCell ref="B1:L1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workbookViewId="0">
      <selection activeCell="E36" sqref="E36"/>
    </sheetView>
  </sheetViews>
  <sheetFormatPr baseColWidth="10" defaultColWidth="8.83203125" defaultRowHeight="14" x14ac:dyDescent="0"/>
  <cols>
    <col min="1" max="1" width="18" style="179" customWidth="1"/>
    <col min="2" max="2" width="9.5" style="179" customWidth="1"/>
    <col min="3" max="3" width="8.83203125" style="179"/>
    <col min="4" max="4" width="9.6640625" style="179" customWidth="1"/>
    <col min="5" max="12" width="8.83203125" style="179"/>
    <col min="13" max="13" width="17.1640625" style="179" customWidth="1"/>
    <col min="14" max="14" width="8.83203125" style="179"/>
    <col min="15" max="15" width="17.33203125" style="179" customWidth="1"/>
    <col min="16" max="16" width="9.5" style="179" customWidth="1"/>
    <col min="17" max="16384" width="8.83203125" style="179"/>
  </cols>
  <sheetData>
    <row r="1" spans="1:17">
      <c r="A1" s="274" t="str">
        <f>'Data Sheet'!B1</f>
        <v>AVANTI FEEDS LTD</v>
      </c>
      <c r="B1" s="274"/>
      <c r="D1" s="275" t="s">
        <v>318</v>
      </c>
      <c r="E1" s="276"/>
      <c r="F1" s="276"/>
      <c r="G1" s="276"/>
      <c r="H1" s="276"/>
      <c r="I1" s="276"/>
      <c r="J1" s="276"/>
      <c r="K1" s="276"/>
      <c r="L1" s="276"/>
      <c r="M1" s="277"/>
    </row>
    <row r="2" spans="1:17" s="194" customFormat="1">
      <c r="A2" s="272" t="s">
        <v>307</v>
      </c>
      <c r="B2" s="273"/>
      <c r="D2" s="271" t="s">
        <v>303</v>
      </c>
      <c r="E2" s="271"/>
      <c r="F2" s="271"/>
      <c r="G2" s="271"/>
      <c r="H2" s="271"/>
      <c r="I2" s="271"/>
      <c r="J2" s="271"/>
      <c r="K2" s="271"/>
      <c r="L2" s="271"/>
      <c r="M2" s="271"/>
      <c r="O2" s="195" t="s">
        <v>276</v>
      </c>
      <c r="P2" s="196"/>
    </row>
    <row r="3" spans="1:17">
      <c r="A3" s="197" t="s">
        <v>49</v>
      </c>
      <c r="B3" s="198">
        <f>'Data Sheet'!B8</f>
        <v>1942.95</v>
      </c>
      <c r="D3" s="187" t="s">
        <v>257</v>
      </c>
      <c r="E3" s="187" t="s">
        <v>48</v>
      </c>
      <c r="F3" s="187" t="s">
        <v>258</v>
      </c>
      <c r="G3" s="187"/>
      <c r="H3" s="250"/>
      <c r="I3" s="251"/>
      <c r="J3" s="251"/>
      <c r="K3" s="251"/>
      <c r="L3" s="251"/>
      <c r="M3" s="252"/>
      <c r="O3" s="187" t="s">
        <v>257</v>
      </c>
      <c r="P3" s="187" t="s">
        <v>6</v>
      </c>
      <c r="Q3" s="199"/>
    </row>
    <row r="4" spans="1:17">
      <c r="A4" s="197" t="s">
        <v>261</v>
      </c>
      <c r="B4" s="188">
        <f>'Profit &amp; Loss'!L13</f>
        <v>68.516679208291066</v>
      </c>
      <c r="D4" s="187" t="s">
        <v>277</v>
      </c>
      <c r="E4" s="188">
        <f>B4</f>
        <v>68.516679208291066</v>
      </c>
      <c r="F4" s="188">
        <f>B5</f>
        <v>6.9998575367151217</v>
      </c>
      <c r="G4" s="187"/>
      <c r="H4" s="188">
        <f>E14</f>
        <v>68.516679208291066</v>
      </c>
      <c r="I4" s="257" t="s">
        <v>278</v>
      </c>
      <c r="J4" s="257"/>
      <c r="K4" s="257"/>
      <c r="L4" s="257"/>
      <c r="M4" s="257"/>
      <c r="O4" s="187" t="s">
        <v>277</v>
      </c>
      <c r="P4" s="188">
        <f>'Profit &amp; Loss'!K4</f>
        <v>2732.66</v>
      </c>
    </row>
    <row r="5" spans="1:17">
      <c r="A5" s="197" t="s">
        <v>263</v>
      </c>
      <c r="B5" s="188">
        <f>'Profit &amp; Loss'!K22</f>
        <v>6.9998575367151217</v>
      </c>
      <c r="D5" s="187" t="s">
        <v>279</v>
      </c>
      <c r="E5" s="188">
        <f t="shared" ref="E5:E14" si="0">E4*(1+$B$21)</f>
        <v>68.516679208291066</v>
      </c>
      <c r="F5" s="188">
        <f t="shared" ref="F5:F14" si="1">E5*$B$36</f>
        <v>0</v>
      </c>
      <c r="G5" s="187"/>
      <c r="H5" s="188">
        <f>SUM(F5:F14)</f>
        <v>0</v>
      </c>
      <c r="I5" s="257" t="s">
        <v>280</v>
      </c>
      <c r="J5" s="257"/>
      <c r="K5" s="257"/>
      <c r="L5" s="257"/>
      <c r="M5" s="257"/>
      <c r="O5" s="187" t="s">
        <v>279</v>
      </c>
      <c r="P5" s="188">
        <f t="shared" ref="P5:P14" si="2">P4*(1+$B$14)</f>
        <v>2732.66</v>
      </c>
    </row>
    <row r="6" spans="1:17">
      <c r="A6" s="197" t="s">
        <v>265</v>
      </c>
      <c r="B6" s="188">
        <f>'Balance Sheet'!K32</f>
        <v>141.0232386902978</v>
      </c>
      <c r="D6" s="187" t="s">
        <v>281</v>
      </c>
      <c r="E6" s="188">
        <f t="shared" si="0"/>
        <v>68.516679208291066</v>
      </c>
      <c r="F6" s="188">
        <f t="shared" si="1"/>
        <v>0</v>
      </c>
      <c r="G6" s="187"/>
      <c r="H6" s="256"/>
      <c r="I6" s="256"/>
      <c r="J6" s="256"/>
      <c r="K6" s="256"/>
      <c r="L6" s="256"/>
      <c r="M6" s="256"/>
      <c r="O6" s="187" t="s">
        <v>281</v>
      </c>
      <c r="P6" s="188">
        <f t="shared" si="2"/>
        <v>2732.66</v>
      </c>
    </row>
    <row r="7" spans="1:17">
      <c r="A7" s="197" t="s">
        <v>267</v>
      </c>
      <c r="B7" s="200">
        <f>B3/B4</f>
        <v>28.357328791335927</v>
      </c>
      <c r="D7" s="187" t="s">
        <v>282</v>
      </c>
      <c r="E7" s="188">
        <f t="shared" si="0"/>
        <v>68.516679208291066</v>
      </c>
      <c r="F7" s="188">
        <f t="shared" si="1"/>
        <v>0</v>
      </c>
      <c r="G7" s="187"/>
      <c r="H7" s="188">
        <f>$B$33*H4</f>
        <v>0</v>
      </c>
      <c r="I7" s="257" t="s">
        <v>305</v>
      </c>
      <c r="J7" s="257"/>
      <c r="K7" s="257"/>
      <c r="L7" s="257"/>
      <c r="M7" s="257"/>
      <c r="O7" s="187" t="s">
        <v>282</v>
      </c>
      <c r="P7" s="188">
        <f t="shared" si="2"/>
        <v>2732.66</v>
      </c>
    </row>
    <row r="8" spans="1:17">
      <c r="A8" s="197" t="s">
        <v>269</v>
      </c>
      <c r="B8" s="201">
        <f>B4/B3</f>
        <v>3.5264252403968743E-2</v>
      </c>
      <c r="D8" s="187" t="s">
        <v>283</v>
      </c>
      <c r="E8" s="188">
        <f t="shared" si="0"/>
        <v>68.516679208291066</v>
      </c>
      <c r="F8" s="188">
        <f t="shared" si="1"/>
        <v>0</v>
      </c>
      <c r="G8" s="187"/>
      <c r="H8" s="188">
        <f>H7+H5</f>
        <v>0</v>
      </c>
      <c r="I8" s="257" t="s">
        <v>284</v>
      </c>
      <c r="J8" s="257"/>
      <c r="K8" s="257"/>
      <c r="L8" s="257"/>
      <c r="M8" s="257"/>
      <c r="O8" s="187" t="s">
        <v>283</v>
      </c>
      <c r="P8" s="188">
        <f t="shared" si="2"/>
        <v>2732.66</v>
      </c>
    </row>
    <row r="9" spans="1:17">
      <c r="A9" s="197" t="s">
        <v>271</v>
      </c>
      <c r="B9" s="201">
        <f>B5/B3</f>
        <v>3.6026956621195202E-3</v>
      </c>
      <c r="D9" s="187" t="s">
        <v>285</v>
      </c>
      <c r="E9" s="188">
        <f t="shared" si="0"/>
        <v>68.516679208291066</v>
      </c>
      <c r="F9" s="188">
        <f t="shared" si="1"/>
        <v>0</v>
      </c>
      <c r="G9" s="187"/>
      <c r="H9" s="256"/>
      <c r="I9" s="256"/>
      <c r="J9" s="256"/>
      <c r="K9" s="256"/>
      <c r="L9" s="256"/>
      <c r="M9" s="256"/>
      <c r="O9" s="187" t="s">
        <v>285</v>
      </c>
      <c r="P9" s="188">
        <f t="shared" si="2"/>
        <v>2732.66</v>
      </c>
    </row>
    <row r="10" spans="1:17">
      <c r="A10" s="197" t="s">
        <v>272</v>
      </c>
      <c r="B10" s="200">
        <f>B3/B6</f>
        <v>13.777516514614497</v>
      </c>
      <c r="D10" s="187" t="s">
        <v>286</v>
      </c>
      <c r="E10" s="188">
        <f t="shared" si="0"/>
        <v>68.516679208291066</v>
      </c>
      <c r="F10" s="188">
        <f t="shared" si="1"/>
        <v>0</v>
      </c>
      <c r="G10" s="187"/>
      <c r="H10" s="202">
        <f>POWER(H8/$B$3,1/9)-1</f>
        <v>-1</v>
      </c>
      <c r="I10" s="270" t="s">
        <v>306</v>
      </c>
      <c r="J10" s="270"/>
      <c r="K10" s="270"/>
      <c r="L10" s="270"/>
      <c r="M10" s="270"/>
      <c r="O10" s="187" t="s">
        <v>286</v>
      </c>
      <c r="P10" s="188">
        <f t="shared" si="2"/>
        <v>2732.66</v>
      </c>
    </row>
    <row r="11" spans="1:17">
      <c r="D11" s="187" t="s">
        <v>287</v>
      </c>
      <c r="E11" s="188">
        <f t="shared" si="0"/>
        <v>68.516679208291066</v>
      </c>
      <c r="F11" s="188">
        <f t="shared" si="1"/>
        <v>0</v>
      </c>
      <c r="G11" s="187"/>
      <c r="H11" s="187"/>
      <c r="I11" s="257" t="s">
        <v>288</v>
      </c>
      <c r="J11" s="257"/>
      <c r="K11" s="257"/>
      <c r="L11" s="257"/>
      <c r="M11" s="257"/>
      <c r="O11" s="187" t="s">
        <v>287</v>
      </c>
      <c r="P11" s="188">
        <f t="shared" si="2"/>
        <v>2732.66</v>
      </c>
    </row>
    <row r="12" spans="1:17">
      <c r="A12" s="186" t="s">
        <v>308</v>
      </c>
      <c r="B12" s="191" t="s">
        <v>314</v>
      </c>
      <c r="D12" s="187" t="s">
        <v>289</v>
      </c>
      <c r="E12" s="188">
        <f t="shared" si="0"/>
        <v>68.516679208291066</v>
      </c>
      <c r="F12" s="188">
        <f t="shared" si="1"/>
        <v>0</v>
      </c>
      <c r="G12" s="187"/>
      <c r="H12" s="261"/>
      <c r="I12" s="262"/>
      <c r="J12" s="262"/>
      <c r="K12" s="262"/>
      <c r="L12" s="262"/>
      <c r="M12" s="263"/>
      <c r="O12" s="187" t="s">
        <v>289</v>
      </c>
      <c r="P12" s="188">
        <f t="shared" si="2"/>
        <v>2732.66</v>
      </c>
    </row>
    <row r="13" spans="1:17">
      <c r="A13" s="272" t="s">
        <v>6</v>
      </c>
      <c r="B13" s="273"/>
      <c r="D13" s="187" t="s">
        <v>290</v>
      </c>
      <c r="E13" s="188">
        <f t="shared" si="0"/>
        <v>68.516679208291066</v>
      </c>
      <c r="F13" s="188">
        <f t="shared" si="1"/>
        <v>0</v>
      </c>
      <c r="G13" s="187"/>
      <c r="H13" s="264"/>
      <c r="I13" s="265"/>
      <c r="J13" s="265"/>
      <c r="K13" s="265"/>
      <c r="L13" s="265"/>
      <c r="M13" s="266"/>
      <c r="O13" s="187" t="s">
        <v>290</v>
      </c>
      <c r="P13" s="188">
        <f t="shared" si="2"/>
        <v>2732.66</v>
      </c>
    </row>
    <row r="14" spans="1:17">
      <c r="A14" s="205" t="s">
        <v>294</v>
      </c>
      <c r="B14" s="182"/>
      <c r="D14" s="187" t="s">
        <v>291</v>
      </c>
      <c r="E14" s="188">
        <f t="shared" si="0"/>
        <v>68.516679208291066</v>
      </c>
      <c r="F14" s="188">
        <f t="shared" si="1"/>
        <v>0</v>
      </c>
      <c r="G14" s="187"/>
      <c r="H14" s="267"/>
      <c r="I14" s="268"/>
      <c r="J14" s="268"/>
      <c r="K14" s="268"/>
      <c r="L14" s="268"/>
      <c r="M14" s="269"/>
      <c r="O14" s="187" t="s">
        <v>291</v>
      </c>
      <c r="P14" s="188">
        <f t="shared" si="2"/>
        <v>2732.66</v>
      </c>
    </row>
    <row r="15" spans="1:17">
      <c r="A15" s="206" t="s">
        <v>296</v>
      </c>
      <c r="B15" s="180">
        <f>POWER('Profit &amp; Loss'!K4/'Profit &amp; Loss'!B4, 1/9)-1</f>
        <v>0.44740670106639846</v>
      </c>
      <c r="D15" s="251"/>
      <c r="E15" s="251"/>
      <c r="F15" s="251"/>
      <c r="G15" s="251"/>
      <c r="H15" s="251"/>
      <c r="I15" s="251"/>
      <c r="J15" s="251"/>
      <c r="K15" s="251"/>
      <c r="L15" s="251"/>
      <c r="M15" s="251"/>
    </row>
    <row r="16" spans="1:17">
      <c r="A16" s="197" t="s">
        <v>297</v>
      </c>
      <c r="B16" s="180">
        <f>POWER('Profit &amp; Loss'!K4/'Profit &amp; Loss'!G4, 1/4)-1</f>
        <v>0.43299919556683952</v>
      </c>
      <c r="D16" s="271" t="s">
        <v>304</v>
      </c>
      <c r="E16" s="271"/>
      <c r="F16" s="271"/>
      <c r="G16" s="271"/>
      <c r="H16" s="271"/>
      <c r="I16" s="271"/>
      <c r="J16" s="271"/>
      <c r="K16" s="271"/>
      <c r="L16" s="271"/>
      <c r="M16" s="271"/>
    </row>
    <row r="17" spans="1:13">
      <c r="A17" s="197" t="s">
        <v>298</v>
      </c>
      <c r="B17" s="180">
        <f>POWER('Profit &amp; Loss'!K4/'Profit &amp; Loss'!I4, 1/2)-1</f>
        <v>0.23880314250591805</v>
      </c>
      <c r="D17" s="187" t="s">
        <v>257</v>
      </c>
      <c r="E17" s="189" t="s">
        <v>259</v>
      </c>
      <c r="F17" s="189" t="s">
        <v>48</v>
      </c>
      <c r="G17" s="189" t="s">
        <v>258</v>
      </c>
      <c r="H17" s="250"/>
      <c r="I17" s="251"/>
      <c r="J17" s="251"/>
      <c r="K17" s="251"/>
      <c r="L17" s="251"/>
      <c r="M17" s="252"/>
    </row>
    <row r="18" spans="1:13">
      <c r="A18" s="197" t="s">
        <v>299</v>
      </c>
      <c r="B18" s="207">
        <f>('Profit &amp; Loss'!K4-'Profit &amp; Loss'!J4)/'Profit &amp; Loss'!J4</f>
        <v>0.35394814422109799</v>
      </c>
      <c r="D18" s="187" t="s">
        <v>277</v>
      </c>
      <c r="E18" s="190">
        <f>B6</f>
        <v>141.0232386902978</v>
      </c>
      <c r="F18" s="190">
        <f>B4</f>
        <v>68.516679208291066</v>
      </c>
      <c r="G18" s="190">
        <f>B5</f>
        <v>6.9998575367151217</v>
      </c>
      <c r="H18" s="188">
        <f>F28</f>
        <v>0</v>
      </c>
      <c r="I18" s="257" t="s">
        <v>278</v>
      </c>
      <c r="J18" s="257"/>
      <c r="K18" s="257"/>
      <c r="L18" s="257"/>
      <c r="M18" s="257"/>
    </row>
    <row r="19" spans="1:13">
      <c r="A19" s="212" t="s">
        <v>317</v>
      </c>
      <c r="B19" s="213">
        <f>('Profit &amp; Loss'!L4-'Profit &amp; Loss'!K4)/'Profit &amp; Loss'!K4</f>
        <v>8.8423001763849193E-2</v>
      </c>
      <c r="D19" s="187" t="s">
        <v>279</v>
      </c>
      <c r="E19" s="190">
        <f>E18+F18-G18</f>
        <v>202.54006036187374</v>
      </c>
      <c r="F19" s="190">
        <f t="shared" ref="F19:F28" si="3">E19*$B$37</f>
        <v>0</v>
      </c>
      <c r="G19" s="190">
        <f t="shared" ref="G19:G28" si="4">F19*$B$36</f>
        <v>0</v>
      </c>
      <c r="H19" s="188">
        <f>SUM(G19:G28)</f>
        <v>0</v>
      </c>
      <c r="I19" s="253" t="s">
        <v>280</v>
      </c>
      <c r="J19" s="254"/>
      <c r="K19" s="254"/>
      <c r="L19" s="254"/>
      <c r="M19" s="255"/>
    </row>
    <row r="20" spans="1:13">
      <c r="A20" s="272" t="s">
        <v>48</v>
      </c>
      <c r="B20" s="273"/>
      <c r="D20" s="187" t="s">
        <v>281</v>
      </c>
      <c r="E20" s="190">
        <f t="shared" ref="E20:E24" si="5">E19+F19-G19</f>
        <v>202.54006036187374</v>
      </c>
      <c r="F20" s="190">
        <f t="shared" si="3"/>
        <v>0</v>
      </c>
      <c r="G20" s="190">
        <f t="shared" si="4"/>
        <v>0</v>
      </c>
      <c r="H20" s="258"/>
      <c r="I20" s="259"/>
      <c r="J20" s="259"/>
      <c r="K20" s="259"/>
      <c r="L20" s="259"/>
      <c r="M20" s="260"/>
    </row>
    <row r="21" spans="1:13">
      <c r="A21" s="205" t="s">
        <v>294</v>
      </c>
      <c r="B21" s="182"/>
      <c r="D21" s="187" t="s">
        <v>282</v>
      </c>
      <c r="E21" s="190">
        <f t="shared" si="5"/>
        <v>202.54006036187374</v>
      </c>
      <c r="F21" s="190">
        <f t="shared" si="3"/>
        <v>0</v>
      </c>
      <c r="G21" s="190">
        <f t="shared" si="4"/>
        <v>0</v>
      </c>
      <c r="H21" s="188">
        <f>$B$33*H18</f>
        <v>0</v>
      </c>
      <c r="I21" s="253" t="s">
        <v>305</v>
      </c>
      <c r="J21" s="254"/>
      <c r="K21" s="254"/>
      <c r="L21" s="254"/>
      <c r="M21" s="255"/>
    </row>
    <row r="22" spans="1:13">
      <c r="A22" s="206" t="s">
        <v>293</v>
      </c>
      <c r="B22" s="180">
        <f>POWER('Profit &amp; Loss'!K13/'Profit &amp; Loss'!B13, 1/9)-1</f>
        <v>0.77331813870363542</v>
      </c>
      <c r="D22" s="187" t="s">
        <v>283</v>
      </c>
      <c r="E22" s="190">
        <f t="shared" si="5"/>
        <v>202.54006036187374</v>
      </c>
      <c r="F22" s="190">
        <f t="shared" si="3"/>
        <v>0</v>
      </c>
      <c r="G22" s="190">
        <f t="shared" si="4"/>
        <v>0</v>
      </c>
      <c r="H22" s="188">
        <f>H21+H19</f>
        <v>0</v>
      </c>
      <c r="I22" s="253" t="s">
        <v>284</v>
      </c>
      <c r="J22" s="254"/>
      <c r="K22" s="254"/>
      <c r="L22" s="254"/>
      <c r="M22" s="255"/>
    </row>
    <row r="23" spans="1:13">
      <c r="A23" s="197" t="s">
        <v>273</v>
      </c>
      <c r="B23" s="180">
        <f>POWER('Profit &amp; Loss'!K13/'Profit &amp; Loss'!G13, 1/4)-1</f>
        <v>0.63425473852290026</v>
      </c>
      <c r="D23" s="187" t="s">
        <v>285</v>
      </c>
      <c r="E23" s="190">
        <f t="shared" si="5"/>
        <v>202.54006036187374</v>
      </c>
      <c r="F23" s="190">
        <f t="shared" si="3"/>
        <v>0</v>
      </c>
      <c r="G23" s="190">
        <f t="shared" si="4"/>
        <v>0</v>
      </c>
      <c r="H23" s="258"/>
      <c r="I23" s="259"/>
      <c r="J23" s="259"/>
      <c r="K23" s="259"/>
      <c r="L23" s="259"/>
      <c r="M23" s="260"/>
    </row>
    <row r="24" spans="1:13">
      <c r="A24" s="197" t="s">
        <v>274</v>
      </c>
      <c r="B24" s="180">
        <f>POWER('Profit &amp; Loss'!K13/'Profit &amp; Loss'!I13, 1/2)-1</f>
        <v>0.35982354841197495</v>
      </c>
      <c r="D24" s="187" t="s">
        <v>286</v>
      </c>
      <c r="E24" s="190">
        <f t="shared" si="5"/>
        <v>202.54006036187374</v>
      </c>
      <c r="F24" s="190">
        <f t="shared" si="3"/>
        <v>0</v>
      </c>
      <c r="G24" s="190">
        <f t="shared" si="4"/>
        <v>0</v>
      </c>
      <c r="H24" s="202">
        <f>POWER(H22/$B$3,1/9)-1</f>
        <v>-1</v>
      </c>
      <c r="I24" s="203" t="s">
        <v>310</v>
      </c>
      <c r="J24" s="203"/>
      <c r="K24" s="203"/>
      <c r="L24" s="203"/>
      <c r="M24" s="203"/>
    </row>
    <row r="25" spans="1:13">
      <c r="A25" s="197" t="s">
        <v>275</v>
      </c>
      <c r="B25" s="207">
        <f>('Profit &amp; Loss'!K13-'Profit &amp; Loss'!J13)/'Profit &amp; Loss'!J13</f>
        <v>0.36095238095238075</v>
      </c>
      <c r="D25" s="187" t="s">
        <v>287</v>
      </c>
      <c r="E25" s="190">
        <f>E24+F24-G24</f>
        <v>202.54006036187374</v>
      </c>
      <c r="F25" s="190">
        <f t="shared" si="3"/>
        <v>0</v>
      </c>
      <c r="G25" s="190">
        <f t="shared" si="4"/>
        <v>0</v>
      </c>
      <c r="H25" s="187"/>
      <c r="I25" s="253" t="s">
        <v>288</v>
      </c>
      <c r="J25" s="254"/>
      <c r="K25" s="254"/>
      <c r="L25" s="254"/>
      <c r="M25" s="255"/>
    </row>
    <row r="26" spans="1:13">
      <c r="A26" s="197" t="s">
        <v>316</v>
      </c>
      <c r="B26" s="207">
        <f>('Profit &amp; Loss'!L13-'Profit &amp; Loss'!K13)/'Profit &amp; Loss'!K13</f>
        <v>0.45169086762172755</v>
      </c>
      <c r="D26" s="187" t="s">
        <v>289</v>
      </c>
      <c r="E26" s="190">
        <f>E25+F25-G25</f>
        <v>202.54006036187374</v>
      </c>
      <c r="F26" s="190">
        <f t="shared" si="3"/>
        <v>0</v>
      </c>
      <c r="G26" s="190">
        <f t="shared" si="4"/>
        <v>0</v>
      </c>
      <c r="H26" s="250"/>
      <c r="I26" s="251"/>
      <c r="J26" s="251"/>
      <c r="K26" s="251"/>
      <c r="L26" s="251"/>
      <c r="M26" s="252"/>
    </row>
    <row r="27" spans="1:13">
      <c r="A27" s="272" t="s">
        <v>256</v>
      </c>
      <c r="B27" s="273"/>
      <c r="D27" s="187" t="s">
        <v>290</v>
      </c>
      <c r="E27" s="190">
        <f>E26+F26-G26</f>
        <v>202.54006036187374</v>
      </c>
      <c r="F27" s="190">
        <f t="shared" si="3"/>
        <v>0</v>
      </c>
      <c r="G27" s="190">
        <f t="shared" si="4"/>
        <v>0</v>
      </c>
      <c r="H27" s="250"/>
      <c r="I27" s="251"/>
      <c r="J27" s="251"/>
      <c r="K27" s="251"/>
      <c r="L27" s="251"/>
      <c r="M27" s="252"/>
    </row>
    <row r="28" spans="1:13">
      <c r="A28" s="197" t="s">
        <v>260</v>
      </c>
      <c r="B28" s="209">
        <f>AVERAGE(Customization!G53:K53)</f>
        <v>0.35529473319877769</v>
      </c>
      <c r="D28" s="187" t="s">
        <v>291</v>
      </c>
      <c r="E28" s="190">
        <f>E27+F27-G27</f>
        <v>202.54006036187374</v>
      </c>
      <c r="F28" s="190">
        <f t="shared" si="3"/>
        <v>0</v>
      </c>
      <c r="G28" s="190">
        <f t="shared" si="4"/>
        <v>0</v>
      </c>
      <c r="H28" s="250"/>
      <c r="I28" s="251"/>
      <c r="J28" s="251"/>
      <c r="K28" s="251"/>
      <c r="L28" s="251"/>
      <c r="M28" s="252"/>
    </row>
    <row r="29" spans="1:13">
      <c r="A29" s="197" t="s">
        <v>262</v>
      </c>
      <c r="B29" s="209">
        <f>AVERAGE('Profit &amp; Loss'!G23:K23)</f>
        <v>0.18243666507114531</v>
      </c>
      <c r="D29" s="248" t="s">
        <v>309</v>
      </c>
      <c r="E29" s="249"/>
      <c r="F29" s="249"/>
      <c r="G29" s="249"/>
      <c r="H29" s="249"/>
      <c r="I29" s="249"/>
      <c r="J29" s="249"/>
      <c r="K29" s="249"/>
      <c r="L29" s="249"/>
      <c r="M29" s="249"/>
    </row>
    <row r="30" spans="1:13">
      <c r="A30" s="197" t="s">
        <v>264</v>
      </c>
      <c r="B30" s="210">
        <f>MAX('Calculated Data'!G38:K38)</f>
        <v>18.064596313552602</v>
      </c>
    </row>
    <row r="31" spans="1:13">
      <c r="A31" s="197" t="s">
        <v>266</v>
      </c>
      <c r="B31" s="210">
        <f>MIN('Calculated Data'!G38:K38)</f>
        <v>3.1616845031613985</v>
      </c>
    </row>
    <row r="32" spans="1:13">
      <c r="A32" s="197" t="s">
        <v>268</v>
      </c>
      <c r="B32" s="210">
        <f>AVERAGE('Calculated Data'!G38:K39)</f>
        <v>7.4419554195855628</v>
      </c>
    </row>
    <row r="33" spans="1:2">
      <c r="A33" s="208" t="s">
        <v>295</v>
      </c>
      <c r="B33" s="183"/>
    </row>
    <row r="34" spans="1:2">
      <c r="A34" s="272" t="s">
        <v>302</v>
      </c>
      <c r="B34" s="273"/>
    </row>
    <row r="35" spans="1:2">
      <c r="A35" s="204" t="s">
        <v>300</v>
      </c>
      <c r="B35" s="181"/>
    </row>
    <row r="36" spans="1:2">
      <c r="A36" s="204" t="s">
        <v>301</v>
      </c>
      <c r="B36" s="181"/>
    </row>
    <row r="37" spans="1:2">
      <c r="A37" s="197" t="s">
        <v>270</v>
      </c>
      <c r="B37" s="211">
        <f>B35*(1-B36)</f>
        <v>0</v>
      </c>
    </row>
  </sheetData>
  <mergeCells count="34">
    <mergeCell ref="D2:M2"/>
    <mergeCell ref="I4:M4"/>
    <mergeCell ref="I5:M5"/>
    <mergeCell ref="D1:M1"/>
    <mergeCell ref="H3:M3"/>
    <mergeCell ref="A20:B20"/>
    <mergeCell ref="A13:B13"/>
    <mergeCell ref="A27:B27"/>
    <mergeCell ref="A34:B34"/>
    <mergeCell ref="A1:B1"/>
    <mergeCell ref="A2:B2"/>
    <mergeCell ref="H6:M6"/>
    <mergeCell ref="I7:M7"/>
    <mergeCell ref="H23:M23"/>
    <mergeCell ref="H20:M20"/>
    <mergeCell ref="H26:M26"/>
    <mergeCell ref="H12:M12"/>
    <mergeCell ref="H13:M13"/>
    <mergeCell ref="H14:M14"/>
    <mergeCell ref="D15:M15"/>
    <mergeCell ref="I18:M18"/>
    <mergeCell ref="I8:M8"/>
    <mergeCell ref="H9:M9"/>
    <mergeCell ref="I10:M10"/>
    <mergeCell ref="I11:M11"/>
    <mergeCell ref="D16:M16"/>
    <mergeCell ref="H17:M17"/>
    <mergeCell ref="D29:M29"/>
    <mergeCell ref="H27:M27"/>
    <mergeCell ref="H28:M28"/>
    <mergeCell ref="I19:M19"/>
    <mergeCell ref="I21:M21"/>
    <mergeCell ref="I22:M22"/>
    <mergeCell ref="I25:M25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>
    <pageSetUpPr fitToPage="1"/>
  </sheetPr>
  <dimension ref="A1:K21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D30" sqref="D30"/>
    </sheetView>
  </sheetViews>
  <sheetFormatPr baseColWidth="10" defaultColWidth="8.83203125" defaultRowHeight="14" x14ac:dyDescent="0"/>
  <cols>
    <col min="1" max="1" width="20.6640625" style="6" customWidth="1"/>
    <col min="2" max="11" width="13.5" style="6" bestFit="1" customWidth="1"/>
    <col min="12" max="16384" width="8.83203125" style="6"/>
  </cols>
  <sheetData>
    <row r="1" spans="1:11" s="8" customFormat="1">
      <c r="A1" s="8" t="str">
        <f>'Profit &amp; Loss'!A1</f>
        <v>AVANTI FEEDS LTD</v>
      </c>
      <c r="E1" t="str">
        <f>UPDATE</f>
        <v/>
      </c>
      <c r="J1" s="4" t="s">
        <v>1</v>
      </c>
      <c r="K1" s="4"/>
    </row>
    <row r="3" spans="1:11" s="2" customFormat="1">
      <c r="A3" s="15" t="s">
        <v>2</v>
      </c>
      <c r="B3" s="16">
        <f>'Data Sheet'!B41</f>
        <v>42094</v>
      </c>
      <c r="C3" s="16">
        <f>'Data Sheet'!C41</f>
        <v>42185</v>
      </c>
      <c r="D3" s="16">
        <f>'Data Sheet'!D41</f>
        <v>42277</v>
      </c>
      <c r="E3" s="16">
        <f>'Data Sheet'!E41</f>
        <v>42369</v>
      </c>
      <c r="F3" s="16">
        <f>'Data Sheet'!F41</f>
        <v>42460</v>
      </c>
      <c r="G3" s="16">
        <f>'Data Sheet'!G41</f>
        <v>42551</v>
      </c>
      <c r="H3" s="16">
        <f>'Data Sheet'!H41</f>
        <v>42643</v>
      </c>
      <c r="I3" s="16">
        <f>'Data Sheet'!I41</f>
        <v>42735</v>
      </c>
      <c r="J3" s="16">
        <f>'Data Sheet'!J41</f>
        <v>42825</v>
      </c>
      <c r="K3" s="16">
        <f>'Data Sheet'!K41</f>
        <v>42916</v>
      </c>
    </row>
    <row r="4" spans="1:11" s="8" customFormat="1">
      <c r="A4" s="8" t="s">
        <v>6</v>
      </c>
      <c r="B4" s="1">
        <f>'Data Sheet'!B42</f>
        <v>381.45</v>
      </c>
      <c r="C4" s="1">
        <f>'Data Sheet'!C42</f>
        <v>603.4</v>
      </c>
      <c r="D4" s="1">
        <f>'Data Sheet'!D42</f>
        <v>532.95000000000005</v>
      </c>
      <c r="E4" s="1">
        <f>'Data Sheet'!E42</f>
        <v>413.11</v>
      </c>
      <c r="F4" s="1">
        <f>'Data Sheet'!F42</f>
        <v>468.83</v>
      </c>
      <c r="G4" s="1">
        <f>'Data Sheet'!G42</f>
        <v>724.38</v>
      </c>
      <c r="H4" s="1">
        <f>'Data Sheet'!H42</f>
        <v>713.06</v>
      </c>
      <c r="I4" s="1">
        <f>'Data Sheet'!I42</f>
        <v>558.63</v>
      </c>
      <c r="J4" s="1">
        <f>'Data Sheet'!J42</f>
        <v>704.43</v>
      </c>
      <c r="K4" s="1">
        <f>'Data Sheet'!K42</f>
        <v>998.17</v>
      </c>
    </row>
    <row r="5" spans="1:11">
      <c r="A5" s="6" t="s">
        <v>7</v>
      </c>
      <c r="B5" s="9">
        <f>'Data Sheet'!B43</f>
        <v>344.57</v>
      </c>
      <c r="C5" s="9">
        <f>'Data Sheet'!C43</f>
        <v>539.25</v>
      </c>
      <c r="D5" s="9">
        <f>'Data Sheet'!D43</f>
        <v>470.5</v>
      </c>
      <c r="E5" s="9">
        <f>'Data Sheet'!E43</f>
        <v>357.62</v>
      </c>
      <c r="F5" s="9">
        <f>'Data Sheet'!F43</f>
        <v>422.44</v>
      </c>
      <c r="G5" s="9">
        <f>'Data Sheet'!G43</f>
        <v>648.34</v>
      </c>
      <c r="H5" s="9">
        <f>'Data Sheet'!H43</f>
        <v>656.63</v>
      </c>
      <c r="I5" s="9">
        <f>'Data Sheet'!I43</f>
        <v>489.73</v>
      </c>
      <c r="J5" s="9">
        <f>'Data Sheet'!J43</f>
        <v>576.34</v>
      </c>
      <c r="K5" s="9">
        <f>'Data Sheet'!K43</f>
        <v>773.2</v>
      </c>
    </row>
    <row r="6" spans="1:11" s="8" customFormat="1">
      <c r="A6" s="8" t="s">
        <v>8</v>
      </c>
      <c r="B6" s="1">
        <f>'Data Sheet'!B50</f>
        <v>36.880000000000003</v>
      </c>
      <c r="C6" s="1">
        <f>'Data Sheet'!C50</f>
        <v>64.150000000000006</v>
      </c>
      <c r="D6" s="1">
        <f>'Data Sheet'!D50</f>
        <v>62.45</v>
      </c>
      <c r="E6" s="1">
        <f>'Data Sheet'!E50</f>
        <v>55.49</v>
      </c>
      <c r="F6" s="1">
        <f>'Data Sheet'!F50</f>
        <v>46.39</v>
      </c>
      <c r="G6" s="1">
        <f>'Data Sheet'!G50</f>
        <v>76.040000000000006</v>
      </c>
      <c r="H6" s="1">
        <f>'Data Sheet'!H50</f>
        <v>56.43</v>
      </c>
      <c r="I6" s="1">
        <f>'Data Sheet'!I50</f>
        <v>68.900000000000006</v>
      </c>
      <c r="J6" s="1">
        <f>'Data Sheet'!J50</f>
        <v>128.09</v>
      </c>
      <c r="K6" s="1">
        <f>'Data Sheet'!K50</f>
        <v>224.97</v>
      </c>
    </row>
    <row r="7" spans="1:11">
      <c r="A7" s="6" t="s">
        <v>9</v>
      </c>
      <c r="B7" s="9">
        <f>'Data Sheet'!B44</f>
        <v>1.52</v>
      </c>
      <c r="C7" s="9">
        <f>'Data Sheet'!C44</f>
        <v>7.53</v>
      </c>
      <c r="D7" s="9">
        <f>'Data Sheet'!D44</f>
        <v>5.84</v>
      </c>
      <c r="E7" s="9">
        <f>'Data Sheet'!E44</f>
        <v>3.5</v>
      </c>
      <c r="F7" s="9">
        <f>'Data Sheet'!F44</f>
        <v>4.62</v>
      </c>
      <c r="G7" s="9">
        <f>'Data Sheet'!G44</f>
        <v>1.85</v>
      </c>
      <c r="H7" s="9">
        <f>'Data Sheet'!H44</f>
        <v>7</v>
      </c>
      <c r="I7" s="9">
        <f>'Data Sheet'!I44</f>
        <v>3.59</v>
      </c>
      <c r="J7" s="9">
        <f>'Data Sheet'!J44</f>
        <v>7.99</v>
      </c>
      <c r="K7" s="9">
        <f>'Data Sheet'!K44</f>
        <v>6.18</v>
      </c>
    </row>
    <row r="8" spans="1:11">
      <c r="A8" s="6" t="s">
        <v>10</v>
      </c>
      <c r="B8" s="9">
        <f>'Data Sheet'!B45</f>
        <v>2.2400000000000002</v>
      </c>
      <c r="C8" s="9">
        <f>'Data Sheet'!C45</f>
        <v>2.6</v>
      </c>
      <c r="D8" s="9">
        <f>'Data Sheet'!D45</f>
        <v>2.5299999999999998</v>
      </c>
      <c r="E8" s="9">
        <f>'Data Sheet'!E45</f>
        <v>2.58</v>
      </c>
      <c r="F8" s="9">
        <f>'Data Sheet'!F45</f>
        <v>2.52</v>
      </c>
      <c r="G8" s="9">
        <f>'Data Sheet'!G45</f>
        <v>2.71</v>
      </c>
      <c r="H8" s="9">
        <f>'Data Sheet'!H45</f>
        <v>3.24</v>
      </c>
      <c r="I8" s="9">
        <f>'Data Sheet'!I45</f>
        <v>3.93</v>
      </c>
      <c r="J8" s="9">
        <f>'Data Sheet'!J45</f>
        <v>3.81</v>
      </c>
      <c r="K8" s="9">
        <f>'Data Sheet'!K45</f>
        <v>4.07</v>
      </c>
    </row>
    <row r="9" spans="1:11">
      <c r="A9" s="6" t="s">
        <v>11</v>
      </c>
      <c r="B9" s="9">
        <f>'Data Sheet'!B46</f>
        <v>0.49</v>
      </c>
      <c r="C9" s="9">
        <f>'Data Sheet'!C46</f>
        <v>0.28999999999999998</v>
      </c>
      <c r="D9" s="9">
        <f>'Data Sheet'!D46</f>
        <v>0.3</v>
      </c>
      <c r="E9" s="9">
        <f>'Data Sheet'!E46</f>
        <v>0.19</v>
      </c>
      <c r="F9" s="9">
        <f>'Data Sheet'!F46</f>
        <v>0.78</v>
      </c>
      <c r="G9" s="9">
        <f>'Data Sheet'!G46</f>
        <v>0.2</v>
      </c>
      <c r="H9" s="9">
        <f>'Data Sheet'!H46</f>
        <v>0.22</v>
      </c>
      <c r="I9" s="9">
        <f>'Data Sheet'!I46</f>
        <v>0.24</v>
      </c>
      <c r="J9" s="9">
        <f>'Data Sheet'!J46</f>
        <v>2.1800000000000002</v>
      </c>
      <c r="K9" s="9">
        <f>'Data Sheet'!K46</f>
        <v>0.62</v>
      </c>
    </row>
    <row r="10" spans="1:11">
      <c r="A10" s="6" t="s">
        <v>12</v>
      </c>
      <c r="B10" s="9">
        <f>'Data Sheet'!B47</f>
        <v>35.67</v>
      </c>
      <c r="C10" s="9">
        <f>'Data Sheet'!C47</f>
        <v>68.790000000000006</v>
      </c>
      <c r="D10" s="9">
        <f>'Data Sheet'!D47</f>
        <v>65.47</v>
      </c>
      <c r="E10" s="9">
        <f>'Data Sheet'!E47</f>
        <v>56.22</v>
      </c>
      <c r="F10" s="9">
        <f>'Data Sheet'!F47</f>
        <v>47.7</v>
      </c>
      <c r="G10" s="9">
        <f>'Data Sheet'!G47</f>
        <v>74.98</v>
      </c>
      <c r="H10" s="9">
        <f>'Data Sheet'!H47</f>
        <v>59.96</v>
      </c>
      <c r="I10" s="9">
        <f>'Data Sheet'!I47</f>
        <v>68.31</v>
      </c>
      <c r="J10" s="9">
        <f>'Data Sheet'!J47</f>
        <v>130.09</v>
      </c>
      <c r="K10" s="9">
        <f>'Data Sheet'!K47</f>
        <v>226.46</v>
      </c>
    </row>
    <row r="11" spans="1:11">
      <c r="A11" s="6" t="s">
        <v>13</v>
      </c>
      <c r="B11" s="9">
        <f>'Data Sheet'!B48</f>
        <v>13.39</v>
      </c>
      <c r="C11" s="9">
        <f>'Data Sheet'!C48</f>
        <v>23.08</v>
      </c>
      <c r="D11" s="9">
        <f>'Data Sheet'!D48</f>
        <v>21.5</v>
      </c>
      <c r="E11" s="9">
        <f>'Data Sheet'!E48</f>
        <v>19.04</v>
      </c>
      <c r="F11" s="9">
        <f>'Data Sheet'!F48</f>
        <v>15.58</v>
      </c>
      <c r="G11" s="9">
        <f>'Data Sheet'!G48</f>
        <v>25.76</v>
      </c>
      <c r="H11" s="9">
        <f>'Data Sheet'!H48</f>
        <v>19.77</v>
      </c>
      <c r="I11" s="9">
        <f>'Data Sheet'!I48</f>
        <v>21.84</v>
      </c>
      <c r="J11" s="9">
        <f>'Data Sheet'!J48</f>
        <v>40.409999999999997</v>
      </c>
      <c r="K11" s="9">
        <f>'Data Sheet'!K48</f>
        <v>77.67</v>
      </c>
    </row>
    <row r="12" spans="1:11" s="8" customFormat="1">
      <c r="A12" s="8" t="s">
        <v>14</v>
      </c>
      <c r="B12" s="1">
        <f>'Data Sheet'!B49</f>
        <v>21.79</v>
      </c>
      <c r="C12" s="1">
        <f>'Data Sheet'!C49</f>
        <v>45.4</v>
      </c>
      <c r="D12" s="1">
        <f>'Data Sheet'!D49</f>
        <v>43.96</v>
      </c>
      <c r="E12" s="1">
        <f>'Data Sheet'!E49</f>
        <v>36.54</v>
      </c>
      <c r="F12" s="1">
        <f>'Data Sheet'!F49</f>
        <v>31.23</v>
      </c>
      <c r="G12" s="1">
        <f>'Data Sheet'!G49</f>
        <v>49.03</v>
      </c>
      <c r="H12" s="1">
        <f>'Data Sheet'!H49</f>
        <v>37.340000000000003</v>
      </c>
      <c r="I12" s="1">
        <f>'Data Sheet'!I49</f>
        <v>41.11</v>
      </c>
      <c r="J12" s="1">
        <f>'Data Sheet'!J49</f>
        <v>83.88</v>
      </c>
      <c r="K12" s="1">
        <f>'Data Sheet'!K49</f>
        <v>148.84</v>
      </c>
    </row>
    <row r="14" spans="1:11" s="8" customFormat="1">
      <c r="A14" s="2" t="s">
        <v>18</v>
      </c>
      <c r="B14" s="14">
        <f>IF(B4&gt;0,B6/B4,"")</f>
        <v>9.6683706907851635E-2</v>
      </c>
      <c r="C14" s="14">
        <f t="shared" ref="C14:K14" si="0">IF(C4&gt;0,C6/C4,"")</f>
        <v>0.10631421942326816</v>
      </c>
      <c r="D14" s="14">
        <f t="shared" si="0"/>
        <v>0.11717797166713576</v>
      </c>
      <c r="E14" s="14">
        <f t="shared" si="0"/>
        <v>0.13432257752172544</v>
      </c>
      <c r="F14" s="14">
        <f t="shared" si="0"/>
        <v>9.8948446131860171E-2</v>
      </c>
      <c r="G14" s="14">
        <f t="shared" si="0"/>
        <v>0.10497252823103896</v>
      </c>
      <c r="H14" s="14">
        <f t="shared" si="0"/>
        <v>7.913780046559897E-2</v>
      </c>
      <c r="I14" s="14">
        <f t="shared" si="0"/>
        <v>0.12333745054866371</v>
      </c>
      <c r="J14" s="14">
        <f t="shared" si="0"/>
        <v>0.18183495876098407</v>
      </c>
      <c r="K14" s="14">
        <f t="shared" si="0"/>
        <v>0.22538244988328643</v>
      </c>
    </row>
    <row r="16" spans="1:11">
      <c r="A16" s="6" t="s">
        <v>86</v>
      </c>
      <c r="B16" s="124">
        <f>B10+B9</f>
        <v>36.160000000000004</v>
      </c>
      <c r="C16" s="124">
        <f t="shared" ref="C16:K16" si="1">C10+C9</f>
        <v>69.080000000000013</v>
      </c>
      <c r="D16" s="124">
        <f t="shared" si="1"/>
        <v>65.77</v>
      </c>
      <c r="E16" s="124">
        <f t="shared" si="1"/>
        <v>56.41</v>
      </c>
      <c r="F16" s="124">
        <f t="shared" si="1"/>
        <v>48.480000000000004</v>
      </c>
      <c r="G16" s="124">
        <f t="shared" si="1"/>
        <v>75.180000000000007</v>
      </c>
      <c r="H16" s="124">
        <f t="shared" si="1"/>
        <v>60.18</v>
      </c>
      <c r="I16" s="124">
        <f t="shared" si="1"/>
        <v>68.55</v>
      </c>
      <c r="J16" s="124">
        <f t="shared" si="1"/>
        <v>132.27000000000001</v>
      </c>
      <c r="K16" s="124">
        <f t="shared" si="1"/>
        <v>227.08</v>
      </c>
    </row>
    <row r="17" spans="1:11">
      <c r="A17" s="6" t="s">
        <v>149</v>
      </c>
      <c r="B17" s="124">
        <f>B16+B8</f>
        <v>38.400000000000006</v>
      </c>
      <c r="C17" s="124">
        <f t="shared" ref="C17:K17" si="2">C16+C8</f>
        <v>71.680000000000007</v>
      </c>
      <c r="D17" s="124">
        <f t="shared" si="2"/>
        <v>68.3</v>
      </c>
      <c r="E17" s="124">
        <f t="shared" si="2"/>
        <v>58.989999999999995</v>
      </c>
      <c r="F17" s="124">
        <f t="shared" si="2"/>
        <v>51.000000000000007</v>
      </c>
      <c r="G17" s="124">
        <f t="shared" si="2"/>
        <v>77.89</v>
      </c>
      <c r="H17" s="124">
        <f t="shared" si="2"/>
        <v>63.42</v>
      </c>
      <c r="I17" s="124">
        <f t="shared" si="2"/>
        <v>72.48</v>
      </c>
      <c r="J17" s="124">
        <f t="shared" si="2"/>
        <v>136.08000000000001</v>
      </c>
      <c r="K17" s="124">
        <f t="shared" si="2"/>
        <v>231.15</v>
      </c>
    </row>
    <row r="21" spans="1:11" s="26" customFormat="1"/>
  </sheetData>
  <hyperlinks>
    <hyperlink ref="J1" r:id="rId1"/>
  </hyperlinks>
  <printOptions gridLines="1"/>
  <pageMargins left="0.7" right="0.7" top="0.75" bottom="0.75" header="0.3" footer="0.3"/>
  <pageSetup paperSize="9" scale="83" orientation="landscape" horizontalDpi="300" verticalDpi="300"/>
  <tableParts count="1"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>
    <pageSetUpPr fitToPage="1"/>
  </sheetPr>
  <dimension ref="A1:Q44"/>
  <sheetViews>
    <sheetView workbookViewId="0">
      <pane xSplit="1" ySplit="3" topLeftCell="B4" activePane="bottomRight" state="frozen"/>
      <selection activeCell="C4" sqref="C4"/>
      <selection pane="topRight" activeCell="C4" sqref="C4"/>
      <selection pane="bottomLeft" activeCell="C4" sqref="C4"/>
      <selection pane="bottomRight" activeCell="L26" sqref="L26"/>
    </sheetView>
  </sheetViews>
  <sheetFormatPr baseColWidth="10" defaultColWidth="8.83203125" defaultRowHeight="14" x14ac:dyDescent="0"/>
  <cols>
    <col min="1" max="1" width="22.83203125" style="11" bestFit="1" customWidth="1"/>
    <col min="2" max="11" width="12.33203125" style="11" customWidth="1"/>
    <col min="12" max="12" width="10.1640625" style="11" customWidth="1"/>
    <col min="13" max="16384" width="8.83203125" style="11"/>
  </cols>
  <sheetData>
    <row r="1" spans="1:14" s="8" customFormat="1">
      <c r="A1" s="8" t="str">
        <f>'Profit &amp; Loss'!A1</f>
        <v>AVANTI FEEDS LTD</v>
      </c>
      <c r="E1" t="str">
        <f>UPDATE</f>
        <v/>
      </c>
      <c r="G1"/>
      <c r="J1" s="4" t="s">
        <v>1</v>
      </c>
      <c r="K1" s="4"/>
    </row>
    <row r="2" spans="1:14">
      <c r="G2" s="8"/>
      <c r="H2" s="8"/>
    </row>
    <row r="3" spans="1:14" s="18" customFormat="1">
      <c r="A3" s="15" t="s">
        <v>2</v>
      </c>
      <c r="B3" s="16">
        <f>'Data Sheet'!B56</f>
        <v>39538</v>
      </c>
      <c r="C3" s="16">
        <f>'Data Sheet'!C56</f>
        <v>39903</v>
      </c>
      <c r="D3" s="16">
        <f>'Data Sheet'!D56</f>
        <v>40268</v>
      </c>
      <c r="E3" s="16">
        <f>'Data Sheet'!E56</f>
        <v>40633</v>
      </c>
      <c r="F3" s="16">
        <f>'Data Sheet'!F56</f>
        <v>40999</v>
      </c>
      <c r="G3" s="16">
        <f>'Data Sheet'!G56</f>
        <v>41364</v>
      </c>
      <c r="H3" s="16">
        <f>'Data Sheet'!H56</f>
        <v>41729</v>
      </c>
      <c r="I3" s="16">
        <f>'Data Sheet'!I56</f>
        <v>42094</v>
      </c>
      <c r="J3" s="16">
        <f>'Data Sheet'!J56</f>
        <v>42460</v>
      </c>
      <c r="K3" s="16">
        <f>'Data Sheet'!K56</f>
        <v>42825</v>
      </c>
      <c r="L3" s="95" t="s">
        <v>243</v>
      </c>
      <c r="M3" s="192" t="s">
        <v>315</v>
      </c>
    </row>
    <row r="4" spans="1:14">
      <c r="A4" s="6" t="s">
        <v>24</v>
      </c>
      <c r="B4" s="19">
        <f>'Data Sheet'!B57</f>
        <v>6.54</v>
      </c>
      <c r="C4" s="19">
        <f>'Data Sheet'!C57</f>
        <v>8</v>
      </c>
      <c r="D4" s="19">
        <f>'Data Sheet'!D57</f>
        <v>8</v>
      </c>
      <c r="E4" s="19">
        <f>'Data Sheet'!E57</f>
        <v>8</v>
      </c>
      <c r="F4" s="19">
        <f>'Data Sheet'!F57</f>
        <v>8</v>
      </c>
      <c r="G4" s="19">
        <f>'Data Sheet'!G57</f>
        <v>9.08</v>
      </c>
      <c r="H4" s="19">
        <f>'Data Sheet'!H57</f>
        <v>9.08</v>
      </c>
      <c r="I4" s="19">
        <f>'Data Sheet'!I57</f>
        <v>9.08</v>
      </c>
      <c r="J4" s="19">
        <f>'Data Sheet'!J57</f>
        <v>9.08</v>
      </c>
      <c r="K4" s="19">
        <f>'Data Sheet'!K57</f>
        <v>9.08</v>
      </c>
      <c r="L4" s="116"/>
    </row>
    <row r="5" spans="1:14" s="6" customFormat="1">
      <c r="A5" s="6" t="s">
        <v>25</v>
      </c>
      <c r="B5" s="19">
        <f>'Data Sheet'!B58</f>
        <v>62.72</v>
      </c>
      <c r="C5" s="19">
        <f>'Data Sheet'!C58</f>
        <v>60.1</v>
      </c>
      <c r="D5" s="19">
        <f>'Data Sheet'!D58</f>
        <v>58.9</v>
      </c>
      <c r="E5" s="19">
        <f>'Data Sheet'!E58</f>
        <v>61.52</v>
      </c>
      <c r="F5" s="19">
        <f>'Data Sheet'!F58</f>
        <v>85.61</v>
      </c>
      <c r="G5" s="19">
        <f>'Data Sheet'!G58</f>
        <v>116.02</v>
      </c>
      <c r="H5" s="19">
        <f>'Data Sheet'!H58</f>
        <v>170.49</v>
      </c>
      <c r="I5" s="19">
        <f>'Data Sheet'!I58</f>
        <v>256.20999999999998</v>
      </c>
      <c r="J5" s="19">
        <f>'Data Sheet'!J58</f>
        <v>413.71</v>
      </c>
      <c r="K5" s="19">
        <f>'Data Sheet'!K58</f>
        <v>631.38</v>
      </c>
      <c r="L5" s="142"/>
    </row>
    <row r="6" spans="1:14">
      <c r="A6" s="11" t="s">
        <v>62</v>
      </c>
      <c r="B6" s="19">
        <f>'Data Sheet'!B59</f>
        <v>40.659999999999997</v>
      </c>
      <c r="C6" s="19">
        <f>'Data Sheet'!C59</f>
        <v>38.020000000000003</v>
      </c>
      <c r="D6" s="19">
        <f>'Data Sheet'!D59</f>
        <v>34.130000000000003</v>
      </c>
      <c r="E6" s="19">
        <f>'Data Sheet'!E59</f>
        <v>54.46</v>
      </c>
      <c r="F6" s="19">
        <f>'Data Sheet'!F59</f>
        <v>49.57</v>
      </c>
      <c r="G6" s="19">
        <f>'Data Sheet'!G59</f>
        <v>61.08</v>
      </c>
      <c r="H6" s="19">
        <f>'Data Sheet'!H59</f>
        <v>56.12</v>
      </c>
      <c r="I6" s="19">
        <f>'Data Sheet'!I59</f>
        <v>58.4</v>
      </c>
      <c r="J6" s="19">
        <f>'Data Sheet'!J59</f>
        <v>10.71</v>
      </c>
      <c r="K6" s="19">
        <f>'Data Sheet'!K59</f>
        <v>19.43</v>
      </c>
      <c r="L6" s="108">
        <f>L8-(L7+L5+L4)</f>
        <v>0</v>
      </c>
    </row>
    <row r="7" spans="1:14" s="6" customFormat="1">
      <c r="A7" s="11" t="s">
        <v>63</v>
      </c>
      <c r="B7" s="19">
        <f>'Data Sheet'!B60</f>
        <v>9.67</v>
      </c>
      <c r="C7" s="19">
        <f>'Data Sheet'!C60</f>
        <v>11.99</v>
      </c>
      <c r="D7" s="19">
        <f>'Data Sheet'!D60</f>
        <v>13.64</v>
      </c>
      <c r="E7" s="19">
        <f>'Data Sheet'!E60</f>
        <v>28.32</v>
      </c>
      <c r="F7" s="19">
        <f>'Data Sheet'!F60</f>
        <v>40.04</v>
      </c>
      <c r="G7" s="19">
        <f>'Data Sheet'!G60</f>
        <v>62.7</v>
      </c>
      <c r="H7" s="19">
        <f>'Data Sheet'!H60</f>
        <v>163.72</v>
      </c>
      <c r="I7" s="19">
        <f>'Data Sheet'!I60</f>
        <v>154.1</v>
      </c>
      <c r="J7" s="19">
        <f>'Data Sheet'!J60</f>
        <v>189.1</v>
      </c>
      <c r="K7" s="19">
        <f>'Data Sheet'!K60</f>
        <v>396.58</v>
      </c>
      <c r="L7" s="142"/>
      <c r="M7" s="6" t="s">
        <v>247</v>
      </c>
    </row>
    <row r="8" spans="1:14" s="8" customFormat="1">
      <c r="A8" s="8" t="s">
        <v>26</v>
      </c>
      <c r="B8" s="20">
        <f>'Data Sheet'!B61</f>
        <v>119.59</v>
      </c>
      <c r="C8" s="20">
        <f>'Data Sheet'!C61</f>
        <v>118.11</v>
      </c>
      <c r="D8" s="20">
        <f>'Data Sheet'!D61</f>
        <v>114.67</v>
      </c>
      <c r="E8" s="20">
        <f>'Data Sheet'!E61</f>
        <v>152.30000000000001</v>
      </c>
      <c r="F8" s="20">
        <f>'Data Sheet'!F61</f>
        <v>183.22</v>
      </c>
      <c r="G8" s="20">
        <f>'Data Sheet'!G61</f>
        <v>248.88</v>
      </c>
      <c r="H8" s="20">
        <f>'Data Sheet'!H61</f>
        <v>399.41</v>
      </c>
      <c r="I8" s="20">
        <f>'Data Sheet'!I61</f>
        <v>477.79</v>
      </c>
      <c r="J8" s="20">
        <f>'Data Sheet'!J61</f>
        <v>622.6</v>
      </c>
      <c r="K8" s="20">
        <f>'Data Sheet'!K61</f>
        <v>1056.47</v>
      </c>
      <c r="L8" s="142"/>
      <c r="M8" s="141"/>
    </row>
    <row r="9" spans="1:14" s="8" customFormat="1">
      <c r="B9" s="20"/>
      <c r="C9" s="20"/>
      <c r="D9" s="20"/>
      <c r="E9" s="20"/>
      <c r="F9" s="20"/>
      <c r="G9" s="20"/>
      <c r="H9" s="20"/>
      <c r="I9" s="20"/>
      <c r="J9" s="20"/>
      <c r="K9" s="20"/>
      <c r="L9" s="143"/>
    </row>
    <row r="10" spans="1:14">
      <c r="A10" s="6" t="s">
        <v>27</v>
      </c>
      <c r="B10" s="19">
        <f>'Data Sheet'!B62</f>
        <v>33.43</v>
      </c>
      <c r="C10" s="19">
        <f>'Data Sheet'!C62</f>
        <v>30.05</v>
      </c>
      <c r="D10" s="19">
        <f>'Data Sheet'!D62</f>
        <v>27.86</v>
      </c>
      <c r="E10" s="19">
        <f>'Data Sheet'!E62</f>
        <v>26.78</v>
      </c>
      <c r="F10" s="19">
        <f>'Data Sheet'!F62</f>
        <v>43.09</v>
      </c>
      <c r="G10" s="19">
        <f>'Data Sheet'!G62</f>
        <v>50.85</v>
      </c>
      <c r="H10" s="19">
        <f>'Data Sheet'!H62</f>
        <v>77.510000000000005</v>
      </c>
      <c r="I10" s="19">
        <f>'Data Sheet'!I62</f>
        <v>89.57</v>
      </c>
      <c r="J10" s="19">
        <f>'Data Sheet'!J62</f>
        <v>103.99</v>
      </c>
      <c r="K10" s="19">
        <f>'Data Sheet'!K62</f>
        <v>160.47</v>
      </c>
      <c r="L10" s="142"/>
    </row>
    <row r="11" spans="1:14">
      <c r="A11" s="6" t="s">
        <v>28</v>
      </c>
      <c r="B11" s="19">
        <f>'Data Sheet'!B63</f>
        <v>0.14000000000000001</v>
      </c>
      <c r="C11" s="19">
        <f>'Data Sheet'!C63</f>
        <v>0</v>
      </c>
      <c r="D11" s="19">
        <f>'Data Sheet'!D63</f>
        <v>0</v>
      </c>
      <c r="E11" s="19">
        <f>'Data Sheet'!E63</f>
        <v>11.12</v>
      </c>
      <c r="F11" s="19">
        <f>'Data Sheet'!F63</f>
        <v>1.67</v>
      </c>
      <c r="G11" s="19">
        <f>'Data Sheet'!G63</f>
        <v>1.59</v>
      </c>
      <c r="H11" s="19">
        <f>'Data Sheet'!H63</f>
        <v>4.8099999999999996</v>
      </c>
      <c r="I11" s="19">
        <f>'Data Sheet'!I63</f>
        <v>0</v>
      </c>
      <c r="J11" s="19">
        <f>'Data Sheet'!J63</f>
        <v>41.62</v>
      </c>
      <c r="K11" s="19">
        <f>'Data Sheet'!K63</f>
        <v>78.47</v>
      </c>
      <c r="L11" s="142"/>
    </row>
    <row r="12" spans="1:14">
      <c r="A12" s="6" t="s">
        <v>29</v>
      </c>
      <c r="B12" s="19">
        <f>'Data Sheet'!B64</f>
        <v>27.83</v>
      </c>
      <c r="C12" s="19">
        <f>'Data Sheet'!C64</f>
        <v>27.5</v>
      </c>
      <c r="D12" s="19">
        <f>'Data Sheet'!D64</f>
        <v>31.33</v>
      </c>
      <c r="E12" s="19">
        <f>'Data Sheet'!E64</f>
        <v>34.49</v>
      </c>
      <c r="F12" s="19">
        <f>'Data Sheet'!F64</f>
        <v>44.77</v>
      </c>
      <c r="G12" s="19">
        <f>'Data Sheet'!G64</f>
        <v>34.869999999999997</v>
      </c>
      <c r="H12" s="19">
        <f>'Data Sheet'!H64</f>
        <v>40.31</v>
      </c>
      <c r="I12" s="19">
        <f>'Data Sheet'!I64</f>
        <v>111.09</v>
      </c>
      <c r="J12" s="19">
        <f>'Data Sheet'!J64</f>
        <v>33.15</v>
      </c>
      <c r="K12" s="19">
        <f>'Data Sheet'!K64</f>
        <v>357.51</v>
      </c>
      <c r="L12" s="142"/>
    </row>
    <row r="13" spans="1:14">
      <c r="A13" s="11" t="s">
        <v>64</v>
      </c>
      <c r="B13" s="19">
        <f>'Data Sheet'!B65</f>
        <v>58.19</v>
      </c>
      <c r="C13" s="19">
        <f>'Data Sheet'!C65</f>
        <v>60.56</v>
      </c>
      <c r="D13" s="19">
        <f>'Data Sheet'!D65</f>
        <v>55.48</v>
      </c>
      <c r="E13" s="19">
        <f>'Data Sheet'!E65</f>
        <v>79.91</v>
      </c>
      <c r="F13" s="19">
        <f>'Data Sheet'!F65</f>
        <v>93.69</v>
      </c>
      <c r="G13" s="19">
        <f>'Data Sheet'!G65</f>
        <v>161.57</v>
      </c>
      <c r="H13" s="19">
        <f>'Data Sheet'!H65</f>
        <v>276.77999999999997</v>
      </c>
      <c r="I13" s="19">
        <f>'Data Sheet'!I65</f>
        <v>277.13</v>
      </c>
      <c r="J13" s="19">
        <f>'Data Sheet'!J65</f>
        <v>443.84</v>
      </c>
      <c r="K13" s="19">
        <f>'Data Sheet'!K65</f>
        <v>460.02</v>
      </c>
      <c r="L13" s="142"/>
      <c r="M13" s="94" t="s">
        <v>248</v>
      </c>
    </row>
    <row r="14" spans="1:14" s="8" customFormat="1">
      <c r="A14" s="8" t="s">
        <v>26</v>
      </c>
      <c r="B14" s="19">
        <f>'Data Sheet'!B66</f>
        <v>119.59</v>
      </c>
      <c r="C14" s="19">
        <f>'Data Sheet'!C66</f>
        <v>118.11</v>
      </c>
      <c r="D14" s="19">
        <f>'Data Sheet'!D66</f>
        <v>114.67</v>
      </c>
      <c r="E14" s="19">
        <f>'Data Sheet'!E66</f>
        <v>152.30000000000001</v>
      </c>
      <c r="F14" s="19">
        <f>'Data Sheet'!F66</f>
        <v>183.22</v>
      </c>
      <c r="G14" s="19">
        <f>'Data Sheet'!G66</f>
        <v>248.88</v>
      </c>
      <c r="H14" s="19">
        <f>'Data Sheet'!H66</f>
        <v>399.41</v>
      </c>
      <c r="I14" s="19">
        <f>'Data Sheet'!I66</f>
        <v>477.79</v>
      </c>
      <c r="J14" s="19">
        <f>'Data Sheet'!J66</f>
        <v>622.6</v>
      </c>
      <c r="K14" s="19">
        <f>'Data Sheet'!K66</f>
        <v>1056.47</v>
      </c>
      <c r="L14" s="144">
        <f>L8</f>
        <v>0</v>
      </c>
      <c r="M14" s="149">
        <f>L10+L11+L12+L13</f>
        <v>0</v>
      </c>
      <c r="N14" s="6" t="s">
        <v>249</v>
      </c>
    </row>
    <row r="15" spans="1:14">
      <c r="A15" s="6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102"/>
    </row>
    <row r="16" spans="1:14">
      <c r="A16" s="25" t="s">
        <v>30</v>
      </c>
      <c r="B16" s="21">
        <f t="shared" ref="B16:K16" si="0">B13-B7</f>
        <v>48.519999999999996</v>
      </c>
      <c r="C16" s="21">
        <f t="shared" si="0"/>
        <v>48.57</v>
      </c>
      <c r="D16" s="21">
        <f t="shared" si="0"/>
        <v>41.839999999999996</v>
      </c>
      <c r="E16" s="21">
        <f t="shared" si="0"/>
        <v>51.589999999999996</v>
      </c>
      <c r="F16" s="21">
        <f t="shared" si="0"/>
        <v>53.65</v>
      </c>
      <c r="G16" s="21">
        <f t="shared" si="0"/>
        <v>98.86999999999999</v>
      </c>
      <c r="H16" s="21">
        <f t="shared" si="0"/>
        <v>113.05999999999997</v>
      </c>
      <c r="I16" s="21">
        <f t="shared" si="0"/>
        <v>123.03</v>
      </c>
      <c r="J16" s="21">
        <f t="shared" si="0"/>
        <v>254.73999999999998</v>
      </c>
      <c r="K16" s="21">
        <f t="shared" si="0"/>
        <v>63.44</v>
      </c>
      <c r="L16" s="145">
        <f>L13-L7</f>
        <v>0</v>
      </c>
    </row>
    <row r="17" spans="1:17">
      <c r="A17" s="11" t="s">
        <v>44</v>
      </c>
      <c r="B17" s="21">
        <f>'Data Sheet'!B67</f>
        <v>13.54</v>
      </c>
      <c r="C17" s="21">
        <f>'Data Sheet'!C67</f>
        <v>15.86</v>
      </c>
      <c r="D17" s="21">
        <f>'Data Sheet'!D67</f>
        <v>8.93</v>
      </c>
      <c r="E17" s="21">
        <f>'Data Sheet'!E67</f>
        <v>22.81</v>
      </c>
      <c r="F17" s="21">
        <f>'Data Sheet'!F67</f>
        <v>15.51</v>
      </c>
      <c r="G17" s="21">
        <f>'Data Sheet'!G67</f>
        <v>39.729999999999997</v>
      </c>
      <c r="H17" s="21">
        <f>'Data Sheet'!H67</f>
        <v>45.02</v>
      </c>
      <c r="I17" s="21">
        <f>'Data Sheet'!I67</f>
        <v>33.56</v>
      </c>
      <c r="J17" s="21">
        <f>'Data Sheet'!J67</f>
        <v>34.97</v>
      </c>
      <c r="K17" s="21">
        <f>'Data Sheet'!K67</f>
        <v>23.51</v>
      </c>
      <c r="L17" s="142"/>
    </row>
    <row r="18" spans="1:17">
      <c r="A18" s="11" t="s">
        <v>45</v>
      </c>
      <c r="B18" s="21">
        <f>'Data Sheet'!B68</f>
        <v>26.7</v>
      </c>
      <c r="C18" s="21">
        <f>'Data Sheet'!C68</f>
        <v>20.38</v>
      </c>
      <c r="D18" s="21">
        <f>'Data Sheet'!D68</f>
        <v>27.27</v>
      </c>
      <c r="E18" s="21">
        <f>'Data Sheet'!E68</f>
        <v>39.049999999999997</v>
      </c>
      <c r="F18" s="21">
        <f>'Data Sheet'!F68</f>
        <v>42.15</v>
      </c>
      <c r="G18" s="21">
        <f>'Data Sheet'!G68</f>
        <v>97.16</v>
      </c>
      <c r="H18" s="21">
        <f>'Data Sheet'!H68</f>
        <v>199.15</v>
      </c>
      <c r="I18" s="21">
        <f>'Data Sheet'!I68</f>
        <v>222.02</v>
      </c>
      <c r="J18" s="21">
        <f>'Data Sheet'!J68</f>
        <v>285.55</v>
      </c>
      <c r="K18" s="21">
        <f>'Data Sheet'!K68</f>
        <v>355.7</v>
      </c>
      <c r="L18" s="142"/>
    </row>
    <row r="19" spans="1:17">
      <c r="A19" s="18" t="s">
        <v>211</v>
      </c>
      <c r="B19" s="214"/>
      <c r="C19" s="214"/>
      <c r="D19" s="214"/>
      <c r="E19" s="214"/>
      <c r="F19" s="214"/>
      <c r="G19" s="214"/>
      <c r="H19" s="214"/>
      <c r="I19" s="214"/>
      <c r="J19" s="214"/>
      <c r="K19" s="214"/>
      <c r="L19" s="116"/>
      <c r="M19" s="193" t="s">
        <v>246</v>
      </c>
      <c r="N19" s="193"/>
      <c r="O19" s="193"/>
      <c r="P19" s="193"/>
      <c r="Q19" s="193"/>
    </row>
    <row r="20" spans="1:17">
      <c r="L20" s="102"/>
    </row>
    <row r="21" spans="1:17">
      <c r="A21" s="11" t="s">
        <v>47</v>
      </c>
      <c r="B21" s="5">
        <f>IF('Balance Sheet'!B18&gt;0,'Profit &amp; Loss'!B4/'Balance Sheet'!B18,0)</f>
        <v>3.6707865168539331</v>
      </c>
      <c r="C21" s="5">
        <f>IF('Balance Sheet'!C18&gt;0,'Profit &amp; Loss'!C4/'Balance Sheet'!C18,0)</f>
        <v>3.4008832188420022</v>
      </c>
      <c r="D21" s="5">
        <f>IF('Balance Sheet'!D18&gt;0,'Profit &amp; Loss'!D4/'Balance Sheet'!D18,0)</f>
        <v>3.356802346901357</v>
      </c>
      <c r="E21" s="5">
        <f>IF('Balance Sheet'!E18&gt;0,'Profit &amp; Loss'!E4/'Balance Sheet'!E18,0)</f>
        <v>5.3201024327784898</v>
      </c>
      <c r="F21" s="5">
        <f>IF('Balance Sheet'!F18&gt;0,'Profit &amp; Loss'!F4/'Balance Sheet'!F18,0)</f>
        <v>9.3335705812574155</v>
      </c>
      <c r="G21" s="5">
        <f>IF('Balance Sheet'!G18&gt;0,'Profit &amp; Loss'!G4/'Balance Sheet'!G18,0)</f>
        <v>6.6698229724166325</v>
      </c>
      <c r="H21" s="5">
        <f>IF('Balance Sheet'!H18&gt;0,'Profit &amp; Loss'!H4/'Balance Sheet'!H18,0)</f>
        <v>5.6821993472257084</v>
      </c>
      <c r="I21" s="5">
        <f>IF('Balance Sheet'!I18&gt;0,'Profit &amp; Loss'!I4/'Balance Sheet'!I18,0)</f>
        <v>8.020268444284298</v>
      </c>
      <c r="J21" s="5">
        <f>IF('Balance Sheet'!J18&gt;0,'Profit &amp; Loss'!J4/'Balance Sheet'!J18,0)</f>
        <v>7.0680791455086673</v>
      </c>
      <c r="K21" s="5">
        <f>IF('Balance Sheet'!K18&gt;0,'Profit &amp; Loss'!K4/'Balance Sheet'!K18,0)</f>
        <v>7.6824852403710988</v>
      </c>
      <c r="L21" s="5">
        <f>IF('Balance Sheet'!L18&gt;0,'Profit &amp; Loss'!L4/'Balance Sheet'!L18,0)</f>
        <v>0</v>
      </c>
    </row>
    <row r="22" spans="1:17">
      <c r="A22" s="18" t="s">
        <v>125</v>
      </c>
      <c r="B22" s="5">
        <f>IF('Profit &amp; Loss'!B4&gt;0,'Balance Sheet'!B18/('Profit &amp; Loss'!B4/365),0)</f>
        <v>99.433731251913073</v>
      </c>
      <c r="C22" s="5">
        <f>IF('Profit &amp; Loss'!C4&gt;0,'Balance Sheet'!C18/('Profit &amp; Loss'!C4/365),0)</f>
        <v>107.32506131871303</v>
      </c>
      <c r="D22" s="5">
        <f>IF('Profit &amp; Loss'!D4&gt;0,'Balance Sheet'!D18/('Profit &amp; Loss'!D4/365),0)</f>
        <v>108.73443303473891</v>
      </c>
      <c r="E22" s="5">
        <f>IF('Profit &amp; Loss'!E4&gt;0,'Balance Sheet'!E18/('Profit &amp; Loss'!E4/365),0)</f>
        <v>68.607701564380264</v>
      </c>
      <c r="F22" s="5">
        <f>IF('Profit &amp; Loss'!F4&gt;0,'Balance Sheet'!F18/('Profit &amp; Loss'!F4/365),0)</f>
        <v>39.106148801504787</v>
      </c>
      <c r="G22" s="5">
        <f>IF('Profit &amp; Loss'!G4&gt;0,'Balance Sheet'!G18/('Profit &amp; Loss'!G4/365),0)</f>
        <v>54.724091105487318</v>
      </c>
      <c r="H22" s="5">
        <f>IF('Profit &amp; Loss'!H4&gt;0,'Balance Sheet'!H18/('Profit &amp; Loss'!H4/365),0)</f>
        <v>64.235690741509885</v>
      </c>
      <c r="I22" s="5">
        <f>IF('Profit &amp; Loss'!I4&gt;0,'Balance Sheet'!I18/('Profit &amp; Loss'!I4/365),0)</f>
        <v>45.509698651061967</v>
      </c>
      <c r="J22" s="5">
        <f>IF('Profit &amp; Loss'!J4&gt;0,'Balance Sheet'!J18/('Profit &amp; Loss'!J4/365),0)</f>
        <v>51.640621516234042</v>
      </c>
      <c r="K22" s="5">
        <f>IF('Profit &amp; Loss'!K4&gt;0,'Balance Sheet'!K18/('Profit &amp; Loss'!K4/365),0)</f>
        <v>47.510667261935261</v>
      </c>
      <c r="L22" s="145">
        <f>IF('Profit &amp; Loss'!L4&gt;0,L18/('Profit &amp; Loss'!L4/365),0)</f>
        <v>0</v>
      </c>
    </row>
    <row r="23" spans="1:17">
      <c r="A23" s="11" t="s">
        <v>46</v>
      </c>
      <c r="B23" s="5">
        <f>IF('Profit &amp; Loss'!B4&gt;0,'Balance Sheet'!B17/('Profit &amp; Loss'!B4/365),0)</f>
        <v>50.424446485052542</v>
      </c>
      <c r="C23" s="5">
        <f>IF('Profit &amp; Loss'!C4&gt;0,'Balance Sheet'!C17/('Profit &amp; Loss'!C4/365),0)</f>
        <v>83.521858317703078</v>
      </c>
      <c r="D23" s="5">
        <f>IF('Profit &amp; Loss'!D4&gt;0,'Balance Sheet'!D17/('Profit &amp; Loss'!D4/365),0)</f>
        <v>35.606838540528727</v>
      </c>
      <c r="E23" s="5">
        <f>IF('Profit &amp; Loss'!E4&gt;0,'Balance Sheet'!E17/('Profit &amp; Loss'!E4/365),0)</f>
        <v>40.075330926594468</v>
      </c>
      <c r="F23" s="5">
        <f>IF('Profit &amp; Loss'!F4&gt;0,'Balance Sheet'!F17/('Profit &amp; Loss'!F4/365),0)</f>
        <v>14.389949416639128</v>
      </c>
      <c r="G23" s="5">
        <f>IF('Profit &amp; Loss'!G4&gt;0,'Balance Sheet'!G17/('Profit &amp; Loss'!G4/365),0)</f>
        <v>22.37739954323807</v>
      </c>
      <c r="H23" s="5">
        <f>IF('Profit &amp; Loss'!H4&gt;0,'Balance Sheet'!H17/('Profit &amp; Loss'!H4/365),0)</f>
        <v>14.521168953968242</v>
      </c>
      <c r="I23" s="5">
        <f>IF('Profit &amp; Loss'!I4&gt;0,'Balance Sheet'!I17/('Profit &amp; Loss'!I4/365),0)</f>
        <v>6.8791347028629835</v>
      </c>
      <c r="J23" s="5">
        <f>IF('Profit &amp; Loss'!J4&gt;0,'Balance Sheet'!J17/('Profit &amp; Loss'!J4/365),0)</f>
        <v>6.3241902798904022</v>
      </c>
      <c r="K23" s="5">
        <f>IF('Profit &amp; Loss'!K4&gt;0,'Balance Sheet'!K17/('Profit &amp; Loss'!K4/365),0)</f>
        <v>3.1402186880182685</v>
      </c>
      <c r="L23" s="145">
        <f>IF('Profit &amp; Loss'!L4&gt;0, L17/('Profit &amp; Loss'!L4/365),0)</f>
        <v>0</v>
      </c>
    </row>
    <row r="24" spans="1:17">
      <c r="A24" s="18" t="s">
        <v>195</v>
      </c>
      <c r="B24" s="5">
        <f>IF('Profit &amp; Loss'!B4&gt;0,B19/('Profit &amp; Loss'!B4/365),0)</f>
        <v>0</v>
      </c>
      <c r="C24" s="5">
        <f>IF('Profit &amp; Loss'!C4&gt;0,C19/('Profit &amp; Loss'!C4/365),0)</f>
        <v>0</v>
      </c>
      <c r="D24" s="5">
        <f>IF('Profit &amp; Loss'!D4&gt;0,D19/('Profit &amp; Loss'!D4/365),0)</f>
        <v>0</v>
      </c>
      <c r="E24" s="5">
        <f>IF('Profit &amp; Loss'!E4&gt;0,E19/('Profit &amp; Loss'!E4/365),0)</f>
        <v>0</v>
      </c>
      <c r="F24" s="5">
        <f>IF('Profit &amp; Loss'!F4&gt;0,F19/('Profit &amp; Loss'!F4/365),0)</f>
        <v>0</v>
      </c>
      <c r="G24" s="5">
        <f>IF('Profit &amp; Loss'!G4&gt;0,G19/('Profit &amp; Loss'!G4/365),0)</f>
        <v>0</v>
      </c>
      <c r="H24" s="5">
        <f>IF('Profit &amp; Loss'!H4&gt;0,H19/('Profit &amp; Loss'!H4/365),0)</f>
        <v>0</v>
      </c>
      <c r="I24" s="5">
        <f>IF('Profit &amp; Loss'!I4&gt;0,I19/('Profit &amp; Loss'!I4/365),0)</f>
        <v>0</v>
      </c>
      <c r="J24" s="5">
        <f>IF('Profit &amp; Loss'!J4&gt;0,J19/('Profit &amp; Loss'!J4/365),0)</f>
        <v>0</v>
      </c>
      <c r="K24" s="5">
        <f>IF('Profit &amp; Loss'!K4&gt;0,K19/('Profit &amp; Loss'!K4/365),0)</f>
        <v>0</v>
      </c>
      <c r="L24" s="5">
        <f>IF('Profit &amp; Loss'!L4&gt;0,L19/('Profit &amp; Loss'!L4/365),0)</f>
        <v>0</v>
      </c>
    </row>
    <row r="25" spans="1:17">
      <c r="A25" s="18" t="s">
        <v>196</v>
      </c>
      <c r="B25" s="5">
        <f>IF(B19&gt;0,B22+B23-B24,0)</f>
        <v>0</v>
      </c>
      <c r="C25" s="5">
        <f t="shared" ref="C25:L25" si="1">IF(C19&gt;0,C22+C23-C24,0)</f>
        <v>0</v>
      </c>
      <c r="D25" s="5">
        <f t="shared" si="1"/>
        <v>0</v>
      </c>
      <c r="E25" s="5">
        <f t="shared" si="1"/>
        <v>0</v>
      </c>
      <c r="F25" s="5">
        <f t="shared" si="1"/>
        <v>0</v>
      </c>
      <c r="G25" s="5">
        <f t="shared" si="1"/>
        <v>0</v>
      </c>
      <c r="H25" s="5">
        <f t="shared" si="1"/>
        <v>0</v>
      </c>
      <c r="I25" s="5">
        <f t="shared" si="1"/>
        <v>0</v>
      </c>
      <c r="J25" s="5">
        <f t="shared" si="1"/>
        <v>0</v>
      </c>
      <c r="K25" s="5">
        <f t="shared" si="1"/>
        <v>0</v>
      </c>
      <c r="L25" s="5">
        <f t="shared" si="1"/>
        <v>0</v>
      </c>
    </row>
    <row r="26" spans="1:17">
      <c r="A26" s="18" t="s">
        <v>124</v>
      </c>
      <c r="B26" s="185">
        <f>B16/'Profit &amp; Loss'!B4</f>
        <v>0.4950515253545556</v>
      </c>
      <c r="C26" s="185">
        <f>C16/'Profit &amp; Loss'!C4</f>
        <v>0.70076468042129558</v>
      </c>
      <c r="D26" s="185">
        <f>D16/'Profit &amp; Loss'!D4</f>
        <v>0.45706794843784132</v>
      </c>
      <c r="E26" s="185">
        <f>E16/'Profit &amp; Loss'!E4</f>
        <v>0.24832731648616124</v>
      </c>
      <c r="F26" s="185">
        <f>F16/'Profit &amp; Loss'!F4</f>
        <v>0.1363717241554612</v>
      </c>
      <c r="G26" s="185">
        <f>G16/'Profit &amp; Loss'!G4</f>
        <v>0.15256774273193013</v>
      </c>
      <c r="H26" s="185">
        <f>H16/'Profit &amp; Loss'!H4</f>
        <v>9.9910746635324871E-2</v>
      </c>
      <c r="I26" s="185">
        <f>I16/'Profit &amp; Loss'!I4</f>
        <v>6.9092359012950258E-2</v>
      </c>
      <c r="J26" s="185">
        <f>J16/'Profit &amp; Loss'!J4</f>
        <v>0.12621575690312095</v>
      </c>
      <c r="K26" s="185">
        <f>K16/'Profit &amp; Loss'!K4</f>
        <v>2.321547503165414E-2</v>
      </c>
      <c r="L26" s="5"/>
    </row>
    <row r="27" spans="1:17">
      <c r="B27" s="5"/>
      <c r="C27" s="5"/>
      <c r="D27" s="5"/>
      <c r="E27" s="5"/>
      <c r="F27" s="5"/>
      <c r="G27" s="5"/>
      <c r="H27" s="5"/>
      <c r="I27" s="5"/>
      <c r="J27" s="5"/>
      <c r="K27" s="5"/>
      <c r="L27" s="102"/>
    </row>
    <row r="28" spans="1:17" s="8" customFormat="1">
      <c r="A28" s="8" t="s">
        <v>50</v>
      </c>
      <c r="B28" s="14">
        <f>IF(SUM('Balance Sheet'!B4:B5)&gt;0,'Profit &amp; Loss'!B12/SUM('Balance Sheet'!B4:B5),"")</f>
        <v>1.2850129945134276E-2</v>
      </c>
      <c r="C28" s="14">
        <f>IF(SUM('Balance Sheet'!C4:C5)&gt;0,'Profit &amp; Loss'!C12/SUM('Balance Sheet'!C4:C5),"")</f>
        <v>-0.10279001468428782</v>
      </c>
      <c r="D28" s="14">
        <f>IF(SUM('Balance Sheet'!D4:D5)&gt;0,'Profit &amp; Loss'!D12/SUM('Balance Sheet'!D4:D5),"")</f>
        <v>-1.8086696562032881E-2</v>
      </c>
      <c r="E28" s="14">
        <f>IF(SUM('Balance Sheet'!E4:E5)&gt;0,'Profit &amp; Loss'!E12/SUM('Balance Sheet'!E4:E5),"")</f>
        <v>4.8906789413118518E-2</v>
      </c>
      <c r="F28" s="14">
        <f>IF(SUM('Balance Sheet'!F4:F5)&gt;0,'Profit &amp; Loss'!F12/SUM('Balance Sheet'!F4:F5),"")</f>
        <v>0.29964747356051707</v>
      </c>
      <c r="G28" s="14">
        <f>IF(SUM('Balance Sheet'!G4:G5)&gt;0,'Profit &amp; Loss'!G12/SUM('Balance Sheet'!G4:G5),"")</f>
        <v>0.2402078337330136</v>
      </c>
      <c r="H28" s="14">
        <f>IF(SUM('Balance Sheet'!H4:H5)&gt;0,'Profit &amp; Loss'!H12/SUM('Balance Sheet'!H4:H5),"")</f>
        <v>0.39210335802194124</v>
      </c>
      <c r="I28" s="14">
        <f>IF(SUM('Balance Sheet'!I4:I5)&gt;0,'Profit &amp; Loss'!I12/SUM('Balance Sheet'!I4:I5),"")</f>
        <v>0.43695578423611903</v>
      </c>
      <c r="J28" s="14">
        <f>IF(SUM('Balance Sheet'!J4:J5)&gt;0,'Profit &amp; Loss'!J12/SUM('Balance Sheet'!J4:J5),"")</f>
        <v>0.37252536720357626</v>
      </c>
      <c r="K28" s="14">
        <f>IF(SUM('Balance Sheet'!K4:K5)&gt;0,'Profit &amp; Loss'!K12/SUM('Balance Sheet'!K4:K5),"")</f>
        <v>0.33468132279923801</v>
      </c>
      <c r="L28" s="146" t="str">
        <f>IF(SUM('Balance Sheet'!L4:L5)&gt;0,'Profit &amp; Loss'!L12/SUM('Balance Sheet'!L4:L5),"")</f>
        <v/>
      </c>
    </row>
    <row r="29" spans="1:17" s="8" customFormat="1">
      <c r="A29" s="8" t="s">
        <v>51</v>
      </c>
      <c r="B29" s="14">
        <f>IF(('Balance Sheet'!B10+'Balance Sheet'!B16)&gt;0,('Profit &amp; Loss'!B6-'Profit &amp; Loss'!B8-'Profit &amp; Loss'!B11)/('Balance Sheet'!B10+'Balance Sheet'!B16),"")</f>
        <v>-3.5021354484441596E-2</v>
      </c>
      <c r="C29" s="14">
        <f>IF(('Balance Sheet'!C10+'Balance Sheet'!C16)&gt;0,('Profit &amp; Loss'!C6-'Profit &amp; Loss'!C8-'Profit &amp; Loss'!C11)/('Balance Sheet'!C10+'Balance Sheet'!C16),"")</f>
        <v>-5.3167133045026842E-2</v>
      </c>
      <c r="D29" s="14">
        <f>IF(('Balance Sheet'!D10+'Balance Sheet'!D16)&gt;0,('Profit &amp; Loss'!D6-'Profit &amp; Loss'!D8-'Profit &amp; Loss'!D11)/('Balance Sheet'!D10+'Balance Sheet'!D16),"")</f>
        <v>-0.12582496413199459</v>
      </c>
      <c r="E29" s="14">
        <f>IF(('Balance Sheet'!E10+'Balance Sheet'!E16)&gt;0,('Profit &amp; Loss'!E6-'Profit &amp; Loss'!E8-'Profit &amp; Loss'!E11)/('Balance Sheet'!E10+'Balance Sheet'!E16),"")</f>
        <v>3.9811152226616978E-2</v>
      </c>
      <c r="F29" s="14">
        <f>IF(('Balance Sheet'!F10+'Balance Sheet'!F16)&gt;0,('Profit &amp; Loss'!F6-'Profit &amp; Loss'!F8-'Profit &amp; Loss'!F11)/('Balance Sheet'!F10+'Balance Sheet'!F16),"")</f>
        <v>0.29739507959478972</v>
      </c>
      <c r="G29" s="14">
        <f>IF(('Balance Sheet'!G10+'Balance Sheet'!G16)&gt;0,('Profit &amp; Loss'!G6-'Profit &amp; Loss'!G8-'Profit &amp; Loss'!G11)/('Balance Sheet'!G10+'Balance Sheet'!G16),"")</f>
        <v>0.21052631578947389</v>
      </c>
      <c r="H29" s="14">
        <f>IF(('Balance Sheet'!H10+'Balance Sheet'!H16)&gt;0,('Profit &amp; Loss'!H6-'Profit &amp; Loss'!H8-'Profit &amp; Loss'!H11)/('Balance Sheet'!H10+'Balance Sheet'!H16),"")</f>
        <v>0.36978538070000494</v>
      </c>
      <c r="I29" s="14">
        <f>IF(('Balance Sheet'!I10+'Balance Sheet'!I16)&gt;0,('Profit &amp; Loss'!I6-'Profit &amp; Loss'!I8-'Profit &amp; Loss'!I11)/('Balance Sheet'!I10+'Balance Sheet'!I16),"")</f>
        <v>0.51843838193791236</v>
      </c>
      <c r="J29" s="14">
        <f>IF(('Balance Sheet'!J10+'Balance Sheet'!J16)&gt;0,('Profit &amp; Loss'!J6-'Profit &amp; Loss'!J8-'Profit &amp; Loss'!J11)/('Balance Sheet'!J10+'Balance Sheet'!J16),"")</f>
        <v>0.39269088172162897</v>
      </c>
      <c r="K29" s="14">
        <f>IF(('Balance Sheet'!K10+'Balance Sheet'!K16)&gt;0,('Profit &amp; Loss'!K6-'Profit &amp; Loss'!K8-'Profit &amp; Loss'!K11)/('Balance Sheet'!K10+'Balance Sheet'!K16),"")</f>
        <v>0.93671564467866608</v>
      </c>
      <c r="L29" s="14"/>
    </row>
    <row r="30" spans="1:17" s="18" customFormat="1"/>
    <row r="31" spans="1:17" s="6" customFormat="1">
      <c r="A31" s="25" t="s">
        <v>292</v>
      </c>
      <c r="B31" s="124">
        <f t="shared" ref="B31:L31" si="2">B4+B5</f>
        <v>69.260000000000005</v>
      </c>
      <c r="C31" s="124">
        <f t="shared" si="2"/>
        <v>68.099999999999994</v>
      </c>
      <c r="D31" s="124">
        <f t="shared" si="2"/>
        <v>66.900000000000006</v>
      </c>
      <c r="E31" s="124">
        <f t="shared" si="2"/>
        <v>69.52000000000001</v>
      </c>
      <c r="F31" s="124">
        <f t="shared" si="2"/>
        <v>93.61</v>
      </c>
      <c r="G31" s="124">
        <f t="shared" si="2"/>
        <v>125.1</v>
      </c>
      <c r="H31" s="124">
        <f t="shared" si="2"/>
        <v>179.57000000000002</v>
      </c>
      <c r="I31" s="124">
        <f t="shared" si="2"/>
        <v>265.28999999999996</v>
      </c>
      <c r="J31" s="124">
        <f t="shared" si="2"/>
        <v>422.78999999999996</v>
      </c>
      <c r="K31" s="124">
        <f t="shared" si="2"/>
        <v>640.46</v>
      </c>
      <c r="L31" s="124">
        <f t="shared" si="2"/>
        <v>0</v>
      </c>
    </row>
    <row r="32" spans="1:17">
      <c r="A32" s="6" t="s">
        <v>259</v>
      </c>
      <c r="B32" s="9">
        <f>IF('Data Sheet'!B93&gt;0,B31/'Data Sheet'!B93,0)</f>
        <v>21.180428134556575</v>
      </c>
      <c r="C32" s="9">
        <f>IF('Data Sheet'!C93&gt;0,C31/'Data Sheet'!C93,0)</f>
        <v>17.024999999999999</v>
      </c>
      <c r="D32" s="9">
        <f>IF('Data Sheet'!D93&gt;0,D31/'Data Sheet'!D93,0)</f>
        <v>16.725000000000001</v>
      </c>
      <c r="E32" s="9">
        <f>IF('Data Sheet'!E93&gt;0,E31/'Data Sheet'!E93,0)</f>
        <v>17.380000000000003</v>
      </c>
      <c r="F32" s="9">
        <f>IF('Data Sheet'!F93&gt;0,F31/'Data Sheet'!F93,0)</f>
        <v>23.4025</v>
      </c>
      <c r="G32" s="9">
        <f>IF('Data Sheet'!G93&gt;0,G31/'Data Sheet'!G93,0)</f>
        <v>27.545837616956959</v>
      </c>
      <c r="H32" s="9">
        <f>IF('Data Sheet'!H93&gt;0,H31/'Data Sheet'!H93,0)</f>
        <v>39.539616793580834</v>
      </c>
      <c r="I32" s="9">
        <f>IF('Data Sheet'!I93&gt;0,I31/'Data Sheet'!I93,0)</f>
        <v>58.414350610731503</v>
      </c>
      <c r="J32" s="9">
        <f>IF('Data Sheet'!J93&gt;0,J31/'Data Sheet'!J93,0)</f>
        <v>93.09436199898667</v>
      </c>
      <c r="K32" s="9">
        <f>IF('Data Sheet'!K93&gt;0,K31/'Data Sheet'!K93,0)</f>
        <v>141.0232386902978</v>
      </c>
      <c r="L32" s="9">
        <f>IF('Data Sheet'!K93&gt;0,L31/'Data Sheet'!K93,0)</f>
        <v>0</v>
      </c>
    </row>
    <row r="33" spans="1:12">
      <c r="A33" s="6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</row>
    <row r="34" spans="1:12">
      <c r="A34" s="25" t="s">
        <v>311</v>
      </c>
      <c r="B34" s="9">
        <f>'Data Sheet'!B69</f>
        <v>3.99</v>
      </c>
      <c r="C34" s="9">
        <f>'Data Sheet'!C69</f>
        <v>9.01</v>
      </c>
      <c r="D34" s="9">
        <f>'Data Sheet'!D69</f>
        <v>3.42</v>
      </c>
      <c r="E34" s="9">
        <f>'Data Sheet'!E69</f>
        <v>4.5599999999999996</v>
      </c>
      <c r="F34" s="9">
        <f>'Data Sheet'!F69</f>
        <v>22.05</v>
      </c>
      <c r="G34" s="9">
        <f>'Data Sheet'!G69</f>
        <v>8.59</v>
      </c>
      <c r="H34" s="9">
        <f>'Data Sheet'!H69</f>
        <v>12.86</v>
      </c>
      <c r="I34" s="9">
        <f>'Data Sheet'!I69</f>
        <v>6.16</v>
      </c>
      <c r="J34" s="9">
        <f>'Data Sheet'!J69</f>
        <v>72.569999999999993</v>
      </c>
      <c r="K34" s="9">
        <f>'Data Sheet'!K69</f>
        <v>45.12</v>
      </c>
      <c r="L34" s="9"/>
    </row>
    <row r="35" spans="1:12">
      <c r="A35" s="25" t="s">
        <v>312</v>
      </c>
      <c r="B35" s="184">
        <f>B34/'Data Sheet'!B17</f>
        <v>4.0710131619222531E-2</v>
      </c>
      <c r="C35" s="184">
        <f>C34/'Data Sheet'!C17</f>
        <v>0.1299956716202568</v>
      </c>
      <c r="D35" s="184">
        <f>D34/'Data Sheet'!D17</f>
        <v>3.7360716626611314E-2</v>
      </c>
      <c r="E35" s="184">
        <f>E34/'Data Sheet'!E17</f>
        <v>2.194945848375451E-2</v>
      </c>
      <c r="F35" s="184">
        <f>F34/'Data Sheet'!F17</f>
        <v>5.6048397346279963E-2</v>
      </c>
      <c r="G35" s="184">
        <f>G34/'Data Sheet'!G17</f>
        <v>1.3255354607740263E-2</v>
      </c>
      <c r="H35" s="184">
        <f>H34/'Data Sheet'!H17</f>
        <v>1.1364339304177235E-2</v>
      </c>
      <c r="I35" s="184">
        <f>I34/'Data Sheet'!I17</f>
        <v>3.4593914615928924E-3</v>
      </c>
      <c r="J35" s="184">
        <f>J34/'Data Sheet'!J17</f>
        <v>3.59561807272493E-2</v>
      </c>
      <c r="K35" s="184">
        <f>K34/'Data Sheet'!K17</f>
        <v>1.6511384511794368E-2</v>
      </c>
    </row>
    <row r="36" spans="1:12">
      <c r="A36" s="25" t="s">
        <v>124</v>
      </c>
      <c r="B36" s="184"/>
      <c r="C36" s="184"/>
      <c r="D36" s="184"/>
      <c r="E36" s="184"/>
      <c r="F36" s="184"/>
      <c r="G36" s="184"/>
      <c r="H36" s="184"/>
      <c r="I36" s="184"/>
      <c r="J36" s="184"/>
      <c r="K36" s="184"/>
    </row>
    <row r="37" spans="1:12">
      <c r="A37" s="15" t="s">
        <v>197</v>
      </c>
      <c r="B37" s="16">
        <f t="shared" ref="B37:K37" si="3">B3</f>
        <v>39538</v>
      </c>
      <c r="C37" s="16">
        <f t="shared" si="3"/>
        <v>39903</v>
      </c>
      <c r="D37" s="16">
        <f t="shared" si="3"/>
        <v>40268</v>
      </c>
      <c r="E37" s="16">
        <f t="shared" si="3"/>
        <v>40633</v>
      </c>
      <c r="F37" s="16">
        <f t="shared" si="3"/>
        <v>40999</v>
      </c>
      <c r="G37" s="16">
        <f t="shared" si="3"/>
        <v>41364</v>
      </c>
      <c r="H37" s="16">
        <f t="shared" si="3"/>
        <v>41729</v>
      </c>
      <c r="I37" s="16">
        <f t="shared" si="3"/>
        <v>42094</v>
      </c>
      <c r="J37" s="16">
        <f t="shared" si="3"/>
        <v>42460</v>
      </c>
      <c r="K37" s="16">
        <f t="shared" si="3"/>
        <v>42825</v>
      </c>
      <c r="L37" s="11" t="s">
        <v>202</v>
      </c>
    </row>
    <row r="38" spans="1:12">
      <c r="A38" s="91" t="s">
        <v>198</v>
      </c>
      <c r="B38" s="92">
        <f t="shared" ref="B38:K38" si="4">B10/B$8</f>
        <v>0.27953842294506226</v>
      </c>
      <c r="C38" s="92">
        <f t="shared" si="4"/>
        <v>0.25442384218101771</v>
      </c>
      <c r="D38" s="92">
        <f t="shared" si="4"/>
        <v>0.24295805354495509</v>
      </c>
      <c r="E38" s="92">
        <f t="shared" si="4"/>
        <v>0.17583716349310571</v>
      </c>
      <c r="F38" s="92">
        <f t="shared" si="4"/>
        <v>0.23518174871738895</v>
      </c>
      <c r="G38" s="92">
        <f t="shared" si="4"/>
        <v>0.20431533269045324</v>
      </c>
      <c r="H38" s="92">
        <f t="shared" si="4"/>
        <v>0.19406124032948599</v>
      </c>
      <c r="I38" s="92">
        <f t="shared" si="4"/>
        <v>0.18746729734820736</v>
      </c>
      <c r="J38" s="92">
        <f t="shared" si="4"/>
        <v>0.16702537744940571</v>
      </c>
      <c r="K38" s="92">
        <f t="shared" si="4"/>
        <v>0.15189262354823138</v>
      </c>
      <c r="L38" s="11" t="s">
        <v>339</v>
      </c>
    </row>
    <row r="39" spans="1:12">
      <c r="A39" s="91" t="s">
        <v>162</v>
      </c>
      <c r="B39" s="92">
        <f t="shared" ref="B39:K39" si="5">B16/B$8</f>
        <v>0.4057195417677063</v>
      </c>
      <c r="C39" s="92">
        <f t="shared" si="5"/>
        <v>0.41122682245364489</v>
      </c>
      <c r="D39" s="92">
        <f t="shared" si="5"/>
        <v>0.36487311415365831</v>
      </c>
      <c r="E39" s="92">
        <f t="shared" si="5"/>
        <v>0.33873933026920544</v>
      </c>
      <c r="F39" s="92">
        <f t="shared" si="5"/>
        <v>0.29281737801550051</v>
      </c>
      <c r="G39" s="92">
        <f t="shared" si="5"/>
        <v>0.39725972356155576</v>
      </c>
      <c r="H39" s="92">
        <f t="shared" si="5"/>
        <v>0.28306752459878315</v>
      </c>
      <c r="I39" s="92">
        <f t="shared" si="5"/>
        <v>0.25749806400301389</v>
      </c>
      <c r="J39" s="92">
        <f t="shared" si="5"/>
        <v>0.40915515579826528</v>
      </c>
      <c r="K39" s="92">
        <f t="shared" si="5"/>
        <v>6.0049031207701116E-2</v>
      </c>
    </row>
    <row r="40" spans="1:12">
      <c r="A40" s="91" t="s">
        <v>199</v>
      </c>
      <c r="B40" s="92">
        <f t="shared" ref="B40:K40" si="6">B17/B$8</f>
        <v>0.11322016891044401</v>
      </c>
      <c r="C40" s="92">
        <f t="shared" si="6"/>
        <v>0.13428160189653712</v>
      </c>
      <c r="D40" s="92">
        <f t="shared" si="6"/>
        <v>7.7875643149908427E-2</v>
      </c>
      <c r="E40" s="92">
        <f t="shared" si="6"/>
        <v>0.14977019041365724</v>
      </c>
      <c r="F40" s="92">
        <f t="shared" si="6"/>
        <v>8.4652330531601358E-2</v>
      </c>
      <c r="G40" s="92">
        <f t="shared" si="6"/>
        <v>0.15963516554162649</v>
      </c>
      <c r="H40" s="92">
        <f t="shared" si="6"/>
        <v>0.11271625647830551</v>
      </c>
      <c r="I40" s="92">
        <f t="shared" si="6"/>
        <v>7.0240063626279325E-2</v>
      </c>
      <c r="J40" s="92">
        <f t="shared" si="6"/>
        <v>5.6167683906199806E-2</v>
      </c>
      <c r="K40" s="92">
        <f t="shared" si="6"/>
        <v>2.2253353147746742E-2</v>
      </c>
    </row>
    <row r="41" spans="1:12">
      <c r="A41" s="91" t="s">
        <v>200</v>
      </c>
      <c r="B41" s="92">
        <f t="shared" ref="B41:K41" si="7">B18/B$8</f>
        <v>0.22326281461660671</v>
      </c>
      <c r="C41" s="92">
        <f t="shared" si="7"/>
        <v>0.1725510117686902</v>
      </c>
      <c r="D41" s="92">
        <f t="shared" si="7"/>
        <v>0.23781285427749194</v>
      </c>
      <c r="E41" s="92">
        <f t="shared" si="7"/>
        <v>0.25640183847669068</v>
      </c>
      <c r="F41" s="92">
        <f t="shared" si="7"/>
        <v>0.23005130444274641</v>
      </c>
      <c r="G41" s="92">
        <f t="shared" si="7"/>
        <v>0.39038894246223077</v>
      </c>
      <c r="H41" s="92">
        <f t="shared" si="7"/>
        <v>0.49861045041436114</v>
      </c>
      <c r="I41" s="92">
        <f t="shared" si="7"/>
        <v>0.46468113606396116</v>
      </c>
      <c r="J41" s="92">
        <f t="shared" si="7"/>
        <v>0.45864118213941535</v>
      </c>
      <c r="K41" s="92">
        <f t="shared" si="7"/>
        <v>0.33668726987041753</v>
      </c>
    </row>
    <row r="42" spans="1:12">
      <c r="A42" s="93" t="s">
        <v>313</v>
      </c>
      <c r="B42" s="185">
        <f>B34/B$8</f>
        <v>3.3363993644953592E-2</v>
      </c>
      <c r="C42" s="185">
        <f t="shared" ref="C42:K42" si="8">C34/C$8</f>
        <v>7.6284819236305132E-2</v>
      </c>
      <c r="D42" s="185">
        <f t="shared" si="8"/>
        <v>2.9824714397837272E-2</v>
      </c>
      <c r="E42" s="185">
        <f t="shared" si="8"/>
        <v>2.9940906106369004E-2</v>
      </c>
      <c r="F42" s="185">
        <f t="shared" si="8"/>
        <v>0.12034712367645455</v>
      </c>
      <c r="G42" s="185">
        <f t="shared" si="8"/>
        <v>3.4514625522340081E-2</v>
      </c>
      <c r="H42" s="185">
        <f t="shared" si="8"/>
        <v>3.2197491299667008E-2</v>
      </c>
      <c r="I42" s="185">
        <f t="shared" si="8"/>
        <v>1.2892693442725884E-2</v>
      </c>
      <c r="J42" s="185">
        <f t="shared" si="8"/>
        <v>0.11655958882107291</v>
      </c>
      <c r="K42" s="185">
        <f t="shared" si="8"/>
        <v>4.2708264314178346E-2</v>
      </c>
      <c r="L42" s="11" t="s">
        <v>337</v>
      </c>
    </row>
    <row r="44" spans="1:12">
      <c r="A44" s="93" t="s">
        <v>201</v>
      </c>
      <c r="B44" s="92">
        <f t="shared" ref="B44:K44" si="9">B6/B$8</f>
        <v>0.33999498285809848</v>
      </c>
      <c r="C44" s="92">
        <f t="shared" si="9"/>
        <v>0.32190331047328763</v>
      </c>
      <c r="D44" s="92">
        <f t="shared" si="9"/>
        <v>0.29763669660765679</v>
      </c>
      <c r="E44" s="92">
        <f t="shared" si="9"/>
        <v>0.35758371634931058</v>
      </c>
      <c r="F44" s="92">
        <f t="shared" si="9"/>
        <v>0.27054906669577555</v>
      </c>
      <c r="G44" s="92">
        <f t="shared" si="9"/>
        <v>0.24541947926711669</v>
      </c>
      <c r="H44" s="92">
        <f t="shared" si="9"/>
        <v>0.14050724819108182</v>
      </c>
      <c r="I44" s="92">
        <f t="shared" si="9"/>
        <v>0.12222943134012849</v>
      </c>
      <c r="J44" s="92">
        <f t="shared" si="9"/>
        <v>1.7202055894635401E-2</v>
      </c>
      <c r="K44" s="92">
        <f t="shared" si="9"/>
        <v>1.8391435629975295E-2</v>
      </c>
    </row>
  </sheetData>
  <hyperlinks>
    <hyperlink ref="J1" r:id="rId1"/>
  </hyperlinks>
  <printOptions gridLines="1"/>
  <pageMargins left="0.7" right="0.7" top="0.75" bottom="0.75" header="0.3" footer="0.3"/>
  <pageSetup paperSize="9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>
    <pageSetUpPr fitToPage="1"/>
  </sheetPr>
  <dimension ref="A1:K24"/>
  <sheetViews>
    <sheetView workbookViewId="0">
      <pane xSplit="1" ySplit="3" topLeftCell="E4" activePane="bottomRight" state="frozen"/>
      <selection pane="topRight" activeCell="B1" sqref="B1"/>
      <selection pane="bottomLeft" activeCell="A4" sqref="A4"/>
      <selection pane="bottomRight"/>
    </sheetView>
  </sheetViews>
  <sheetFormatPr baseColWidth="10" defaultColWidth="8.83203125" defaultRowHeight="14" x14ac:dyDescent="0"/>
  <cols>
    <col min="1" max="1" width="26.83203125" style="6" bestFit="1" customWidth="1"/>
    <col min="2" max="6" width="13.5" style="6" customWidth="1"/>
    <col min="7" max="11" width="13.5" style="6" bestFit="1" customWidth="1"/>
    <col min="12" max="16384" width="8.83203125" style="6"/>
  </cols>
  <sheetData>
    <row r="1" spans="1:11" s="8" customFormat="1">
      <c r="A1" s="8" t="str">
        <f>'Balance Sheet'!A1</f>
        <v>AVANTI FEEDS LTD</v>
      </c>
      <c r="E1" t="str">
        <f>UPDATE</f>
        <v/>
      </c>
      <c r="F1"/>
      <c r="J1" s="4" t="s">
        <v>1</v>
      </c>
      <c r="K1" s="4"/>
    </row>
    <row r="3" spans="1:11" s="2" customFormat="1">
      <c r="A3" s="15" t="s">
        <v>2</v>
      </c>
      <c r="B3" s="16">
        <f>'Data Sheet'!B81</f>
        <v>39538</v>
      </c>
      <c r="C3" s="16">
        <f>'Data Sheet'!C81</f>
        <v>39903</v>
      </c>
      <c r="D3" s="16">
        <f>'Data Sheet'!D81</f>
        <v>40268</v>
      </c>
      <c r="E3" s="16">
        <f>'Data Sheet'!E81</f>
        <v>40633</v>
      </c>
      <c r="F3" s="16">
        <f>'Data Sheet'!F81</f>
        <v>40999</v>
      </c>
      <c r="G3" s="16">
        <f>'Data Sheet'!G81</f>
        <v>41364</v>
      </c>
      <c r="H3" s="16">
        <f>'Data Sheet'!H81</f>
        <v>41729</v>
      </c>
      <c r="I3" s="16">
        <f>'Data Sheet'!I81</f>
        <v>42094</v>
      </c>
      <c r="J3" s="16">
        <f>'Data Sheet'!J81</f>
        <v>42460</v>
      </c>
      <c r="K3" s="16">
        <f>'Data Sheet'!K81</f>
        <v>42825</v>
      </c>
    </row>
    <row r="4" spans="1:11" s="8" customFormat="1">
      <c r="A4" s="8" t="s">
        <v>32</v>
      </c>
      <c r="B4" s="1">
        <f>'Data Sheet'!B82</f>
        <v>17.190000000000001</v>
      </c>
      <c r="C4" s="1">
        <f>'Data Sheet'!C82</f>
        <v>9.34</v>
      </c>
      <c r="D4" s="1">
        <f>'Data Sheet'!D82</f>
        <v>3.92</v>
      </c>
      <c r="E4" s="1">
        <f>'Data Sheet'!E82</f>
        <v>-7.72</v>
      </c>
      <c r="F4" s="1">
        <f>'Data Sheet'!F82</f>
        <v>50.38</v>
      </c>
      <c r="G4" s="1">
        <f>'Data Sheet'!G82</f>
        <v>-20.55</v>
      </c>
      <c r="H4" s="1">
        <f>'Data Sheet'!H82</f>
        <v>55.56</v>
      </c>
      <c r="I4" s="1">
        <f>'Data Sheet'!I82</f>
        <v>89.34</v>
      </c>
      <c r="J4" s="1">
        <f>'Data Sheet'!J82</f>
        <v>122</v>
      </c>
      <c r="K4" s="1">
        <f>'Data Sheet'!K82</f>
        <v>291.69</v>
      </c>
    </row>
    <row r="5" spans="1:11">
      <c r="A5" s="6" t="s">
        <v>33</v>
      </c>
      <c r="B5" s="9">
        <f>'Data Sheet'!B83</f>
        <v>0.47</v>
      </c>
      <c r="C5" s="9">
        <f>'Data Sheet'!C83</f>
        <v>0.65</v>
      </c>
      <c r="D5" s="9">
        <f>'Data Sheet'!D83</f>
        <v>-2.19</v>
      </c>
      <c r="E5" s="9">
        <f>'Data Sheet'!E83</f>
        <v>-17.600000000000001</v>
      </c>
      <c r="F5" s="9">
        <f>'Data Sheet'!F83</f>
        <v>-17.440000000000001</v>
      </c>
      <c r="G5" s="9">
        <f>'Data Sheet'!G83</f>
        <v>5.43</v>
      </c>
      <c r="H5" s="9">
        <f>'Data Sheet'!H83</f>
        <v>-39.1</v>
      </c>
      <c r="I5" s="9">
        <f>'Data Sheet'!I83</f>
        <v>-83.52</v>
      </c>
      <c r="J5" s="9">
        <f>'Data Sheet'!J83</f>
        <v>18.13</v>
      </c>
      <c r="K5" s="9">
        <f>'Data Sheet'!K83</f>
        <v>-428.3</v>
      </c>
    </row>
    <row r="6" spans="1:11">
      <c r="A6" s="6" t="s">
        <v>34</v>
      </c>
      <c r="B6" s="9">
        <f>'Data Sheet'!B84</f>
        <v>-21.08</v>
      </c>
      <c r="C6" s="9">
        <f>'Data Sheet'!C84</f>
        <v>-4.97</v>
      </c>
      <c r="D6" s="9">
        <f>'Data Sheet'!D84</f>
        <v>-7.32</v>
      </c>
      <c r="E6" s="9">
        <f>'Data Sheet'!E84</f>
        <v>19.010000000000002</v>
      </c>
      <c r="F6" s="9">
        <f>'Data Sheet'!F84</f>
        <v>-14.09</v>
      </c>
      <c r="G6" s="9">
        <f>'Data Sheet'!G84</f>
        <v>0.81</v>
      </c>
      <c r="H6" s="9">
        <f>'Data Sheet'!H84</f>
        <v>-12.74</v>
      </c>
      <c r="I6" s="9">
        <f>'Data Sheet'!I84</f>
        <v>-11.97</v>
      </c>
      <c r="J6" s="9">
        <f>'Data Sheet'!J84</f>
        <v>-74.260000000000005</v>
      </c>
      <c r="K6" s="9">
        <f>'Data Sheet'!K84</f>
        <v>107.11</v>
      </c>
    </row>
    <row r="7" spans="1:11" s="8" customFormat="1">
      <c r="A7" s="8" t="s">
        <v>35</v>
      </c>
      <c r="B7" s="1">
        <f>'Data Sheet'!B85</f>
        <v>-3.42</v>
      </c>
      <c r="C7" s="1">
        <f>'Data Sheet'!C85</f>
        <v>5.0199999999999996</v>
      </c>
      <c r="D7" s="1">
        <f>'Data Sheet'!D85</f>
        <v>-5.59</v>
      </c>
      <c r="E7" s="1">
        <f>'Data Sheet'!E85</f>
        <v>-6.31</v>
      </c>
      <c r="F7" s="1">
        <f>'Data Sheet'!F85</f>
        <v>18.850000000000001</v>
      </c>
      <c r="G7" s="1">
        <f>'Data Sheet'!G85</f>
        <v>-14.31</v>
      </c>
      <c r="H7" s="1">
        <f>'Data Sheet'!H85</f>
        <v>3.72</v>
      </c>
      <c r="I7" s="1">
        <f>'Data Sheet'!I85</f>
        <v>-6.15</v>
      </c>
      <c r="J7" s="1">
        <f>'Data Sheet'!J85</f>
        <v>65.86</v>
      </c>
      <c r="K7" s="1">
        <f>'Data Sheet'!K85</f>
        <v>-29.5</v>
      </c>
    </row>
    <row r="8" spans="1:11">
      <c r="A8" s="25"/>
      <c r="B8" s="9"/>
      <c r="C8" s="9"/>
      <c r="D8" s="9"/>
      <c r="E8" s="9"/>
      <c r="F8" s="9"/>
      <c r="G8" s="9"/>
      <c r="H8" s="9"/>
      <c r="I8" s="9"/>
      <c r="J8" s="9"/>
      <c r="K8" s="9"/>
    </row>
    <row r="24" s="25" customFormat="1"/>
  </sheetData>
  <hyperlinks>
    <hyperlink ref="J1" r:id="rId1"/>
  </hyperlinks>
  <printOptions gridLines="1"/>
  <pageMargins left="0.7" right="0.7" top="0.75" bottom="0.75" header="0.3" footer="0.3"/>
  <pageSetup paperSize="9" orientation="landscape" horizontalDpi="0" verticalDpi="0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 enableFormatConditionsCalculation="0"/>
  <dimension ref="A1:N73"/>
  <sheetViews>
    <sheetView topLeftCell="A5" workbookViewId="0">
      <selection activeCell="N40" sqref="N40"/>
    </sheetView>
  </sheetViews>
  <sheetFormatPr baseColWidth="10" defaultColWidth="8.6640625" defaultRowHeight="14" x14ac:dyDescent="0"/>
  <cols>
    <col min="1" max="1" width="33.6640625" style="30" customWidth="1"/>
    <col min="2" max="2" width="11.33203125" style="30" customWidth="1"/>
    <col min="3" max="3" width="10.5" style="30" customWidth="1"/>
    <col min="4" max="4" width="10.83203125" style="30" customWidth="1"/>
    <col min="5" max="8" width="10.5" style="30" customWidth="1"/>
    <col min="9" max="9" width="10.1640625" style="30" customWidth="1"/>
    <col min="10" max="10" width="10.6640625" style="30" customWidth="1"/>
    <col min="11" max="11" width="11.1640625" style="30" customWidth="1"/>
    <col min="12" max="12" width="10.1640625" style="30" customWidth="1"/>
    <col min="13" max="13" width="14.5" style="30" customWidth="1"/>
    <col min="14" max="20" width="11.1640625" style="30" customWidth="1"/>
    <col min="21" max="16384" width="8.6640625" style="30"/>
  </cols>
  <sheetData>
    <row r="1" spans="1:14">
      <c r="A1" s="28" t="str">
        <f>'Data Sheet'!B1</f>
        <v>AVANTI FEEDS LTD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4">
      <c r="A2" s="28"/>
      <c r="B2" s="29"/>
      <c r="C2" s="29"/>
      <c r="D2" s="29"/>
      <c r="E2" s="29"/>
      <c r="F2" s="29"/>
      <c r="G2" s="29"/>
      <c r="H2" s="29"/>
      <c r="I2" s="29"/>
      <c r="J2" s="29"/>
      <c r="K2" s="29"/>
      <c r="M2" s="30" t="s">
        <v>87</v>
      </c>
    </row>
    <row r="3" spans="1:14" ht="15" customHeight="1">
      <c r="A3" s="31"/>
      <c r="M3" s="30" t="s">
        <v>87</v>
      </c>
    </row>
    <row r="4" spans="1:14" ht="30" customHeight="1">
      <c r="A4" s="16"/>
      <c r="B4" s="86" t="s">
        <v>88</v>
      </c>
      <c r="C4" s="86" t="s">
        <v>89</v>
      </c>
      <c r="D4" s="86" t="s">
        <v>90</v>
      </c>
      <c r="F4" s="236" t="s">
        <v>91</v>
      </c>
      <c r="G4" s="236"/>
      <c r="H4" s="236"/>
      <c r="I4" s="236"/>
      <c r="J4" s="236"/>
      <c r="K4" s="236"/>
      <c r="M4" s="236" t="s">
        <v>92</v>
      </c>
      <c r="N4" s="237"/>
    </row>
    <row r="5" spans="1:14" ht="15" customHeight="1">
      <c r="A5" s="32" t="s">
        <v>93</v>
      </c>
      <c r="B5" s="33">
        <f>'Calculated Data'!K10-'Calculated Data'!B10</f>
        <v>571.20000000000005</v>
      </c>
      <c r="C5" s="33">
        <f>'Calculated Data'!K33-'Calculated Data'!B33</f>
        <v>3851.5452198100002</v>
      </c>
      <c r="D5" s="34">
        <f>C5/B5</f>
        <v>6.7429012951855736</v>
      </c>
      <c r="F5" s="35"/>
      <c r="G5" s="36" t="s">
        <v>94</v>
      </c>
      <c r="H5" s="36" t="s">
        <v>95</v>
      </c>
      <c r="I5" s="37" t="s">
        <v>96</v>
      </c>
      <c r="J5" s="37" t="s">
        <v>97</v>
      </c>
      <c r="K5" s="37" t="s">
        <v>98</v>
      </c>
      <c r="M5" s="38" t="s">
        <v>99</v>
      </c>
      <c r="N5" s="39">
        <v>0.09</v>
      </c>
    </row>
    <row r="6" spans="1:14" ht="15" customHeight="1">
      <c r="A6" s="32" t="s">
        <v>100</v>
      </c>
      <c r="B6" s="33">
        <f>'Calculated Data'!K10-'Calculated Data'!E10</f>
        <v>570.94000000000005</v>
      </c>
      <c r="C6" s="33">
        <f>'Calculated Data'!K33-'Calculated Data'!E33</f>
        <v>3840.4662198100004</v>
      </c>
      <c r="D6" s="34">
        <f>C6/B6</f>
        <v>6.726567099537605</v>
      </c>
      <c r="F6" s="40" t="s">
        <v>101</v>
      </c>
      <c r="G6" s="41">
        <f>MIN('Calculated Data'!B38:K38)</f>
        <v>-16.06611570247934</v>
      </c>
      <c r="H6" s="41">
        <f>MIN('Calculated Data'!B39:K39)</f>
        <v>0.19265785609397945</v>
      </c>
      <c r="I6" s="41">
        <f>MIN('Calculated Data'!B42:K42)</f>
        <v>2.2429284525790347</v>
      </c>
      <c r="J6" s="41">
        <f>MIN('Calculated Data'!B41:K41)</f>
        <v>0.14660918974137402</v>
      </c>
      <c r="K6" s="42">
        <f>MAX('Calculated Data'!B43:K43)</f>
        <v>7.3456175298804785E-2</v>
      </c>
      <c r="M6" s="43" t="s">
        <v>102</v>
      </c>
      <c r="N6" s="41">
        <f>('Profit &amp; Loss'!$L$10/'Data Sheet'!$B$61)/N5</f>
        <v>45.044643271919803</v>
      </c>
    </row>
    <row r="7" spans="1:14" ht="15" customHeight="1">
      <c r="A7" s="32" t="s">
        <v>103</v>
      </c>
      <c r="B7" s="33">
        <f>'Calculated Data'!K10-'Calculated Data'!G10</f>
        <v>515.36</v>
      </c>
      <c r="C7" s="33">
        <f>'Calculated Data'!K33-'Calculated Data'!G33</f>
        <v>3777.1376004900003</v>
      </c>
      <c r="D7" s="34">
        <f>C7/B7</f>
        <v>7.3291244964490847</v>
      </c>
      <c r="F7" s="40" t="s">
        <v>104</v>
      </c>
      <c r="G7" s="41">
        <f>MAX('Calculated Data'!B38:K38)</f>
        <v>23.147191011235954</v>
      </c>
      <c r="H7" s="41">
        <f>MAX('Calculated Data'!B39:K39)</f>
        <v>6.0458829900540234</v>
      </c>
      <c r="I7" s="41">
        <f>MAX('Calculated Data'!B42:K42)</f>
        <v>84.26</v>
      </c>
      <c r="J7" s="41">
        <f>MAX('Calculated Data'!B41:K41)</f>
        <v>1.4169879237848837</v>
      </c>
      <c r="K7" s="42">
        <f>MIN('Calculated Data'!B43:K43)</f>
        <v>0</v>
      </c>
      <c r="M7" s="44" t="s">
        <v>204</v>
      </c>
      <c r="N7" s="42">
        <f>('Profit &amp; Loss'!$L$6/'Data Sheet'!$B$6)/'Data Sheet'!$B$8</f>
        <v>5.4214949087426821E-2</v>
      </c>
    </row>
    <row r="8" spans="1:14" ht="15" customHeight="1">
      <c r="A8" s="32" t="s">
        <v>105</v>
      </c>
      <c r="B8" s="33">
        <f>'Calculated Data'!K10-'Calculated Data'!I10</f>
        <v>375.17000000000007</v>
      </c>
      <c r="C8" s="33">
        <f>'Calculated Data'!K33-'Calculated Data'!I33</f>
        <v>2381.2102907200001</v>
      </c>
      <c r="D8" s="34">
        <f>C8/B8</f>
        <v>6.3470167943065805</v>
      </c>
      <c r="F8" s="40" t="s">
        <v>106</v>
      </c>
      <c r="G8" s="41">
        <f>'Data Sheet'!B8/'Profit &amp; Loss'!L13</f>
        <v>28.357328791335927</v>
      </c>
      <c r="H8" s="41">
        <f>'Calculated Data'!L33/'Calculated Data'!K10</f>
        <v>13.777519283015334</v>
      </c>
      <c r="I8" s="41">
        <f>'Calculated Data'!K42</f>
        <v>10.874296674799275</v>
      </c>
      <c r="J8" s="41">
        <f>'Calculated Data'!L33/'Data Sheet'!K17</f>
        <v>3.2290698440347505</v>
      </c>
      <c r="K8" s="42">
        <f>'Data Sheet'!K31/'Calculated Data'!L33</f>
        <v>3.602694938207945E-3</v>
      </c>
      <c r="M8" s="37"/>
      <c r="N8" s="45"/>
    </row>
    <row r="9" spans="1:14" ht="15" customHeight="1">
      <c r="A9" s="32" t="s">
        <v>84</v>
      </c>
      <c r="B9" s="33">
        <f>'Calculated Data'!K10-'Calculated Data'!J10</f>
        <v>217.67000000000007</v>
      </c>
      <c r="C9" s="33">
        <f>'Calculated Data'!K33-'Calculated Data'!J33</f>
        <v>1897.3566433800002</v>
      </c>
      <c r="D9" s="34">
        <f>C9/B9</f>
        <v>8.7166657940000896</v>
      </c>
      <c r="F9" s="35"/>
      <c r="G9" s="46"/>
      <c r="H9" s="35"/>
      <c r="I9" s="35"/>
      <c r="J9" s="35"/>
      <c r="K9" s="35"/>
      <c r="M9" s="47" t="s">
        <v>87</v>
      </c>
      <c r="N9" s="35"/>
    </row>
    <row r="10" spans="1:14" ht="15" customHeight="1">
      <c r="A10" s="238" t="s">
        <v>107</v>
      </c>
      <c r="B10" s="238"/>
      <c r="C10" s="238"/>
      <c r="D10" s="238"/>
      <c r="E10" s="238"/>
      <c r="F10" s="238"/>
      <c r="G10" s="238"/>
      <c r="H10" s="238"/>
      <c r="I10" s="238"/>
      <c r="J10" s="238"/>
    </row>
    <row r="11" spans="1:14" ht="15" customHeight="1">
      <c r="A11" s="48"/>
      <c r="B11" s="48"/>
      <c r="C11" s="48"/>
      <c r="D11" s="48"/>
      <c r="E11" s="48"/>
      <c r="F11" s="48"/>
      <c r="G11" s="48"/>
      <c r="H11" s="48"/>
      <c r="I11" s="48"/>
      <c r="J11" s="48"/>
    </row>
    <row r="12" spans="1:14">
      <c r="A12" s="16" t="str">
        <f>A1</f>
        <v>AVANTI FEEDS LTD</v>
      </c>
      <c r="B12" s="16" t="s">
        <v>108</v>
      </c>
      <c r="C12" s="16" t="s">
        <v>109</v>
      </c>
      <c r="D12" s="16" t="s">
        <v>86</v>
      </c>
      <c r="E12" s="16" t="s">
        <v>82</v>
      </c>
      <c r="F12" s="16" t="s">
        <v>110</v>
      </c>
      <c r="G12" s="16" t="s">
        <v>207</v>
      </c>
      <c r="H12" s="16" t="s">
        <v>112</v>
      </c>
      <c r="I12" s="16" t="s">
        <v>206</v>
      </c>
      <c r="J12" s="16" t="s">
        <v>205</v>
      </c>
      <c r="K12" s="16" t="s">
        <v>113</v>
      </c>
      <c r="L12" s="16" t="s">
        <v>114</v>
      </c>
    </row>
    <row r="13" spans="1:14">
      <c r="A13" s="49" t="s">
        <v>115</v>
      </c>
      <c r="B13" s="50">
        <f>POWER('Data Sheet'!$K17/'Data Sheet'!$B17, 1/9)-1</f>
        <v>0.44740670106639846</v>
      </c>
      <c r="C13" s="50">
        <f>POWER('Calculated Data'!$K3/'Calculated Data'!$B3, 1/9)-1</f>
        <v>0.43622949521770993</v>
      </c>
      <c r="D13" s="50">
        <f>POWER('Calculated Data'!$K4/'Calculated Data'!$B4, 1/9)-1</f>
        <v>0.55708072478980131</v>
      </c>
      <c r="E13" s="50">
        <f>POWER('Calculated Data'!$K7/'Calculated Data'!$B7, 1/9)-1</f>
        <v>0.83923428282327128</v>
      </c>
      <c r="F13" s="50">
        <f>POWER('Calculated Data'!$K8/'Calculated Data'!$B8, 1/9)-1</f>
        <v>0.54066626992082023</v>
      </c>
      <c r="G13" s="50">
        <f>POWER('Calculated Data'!$K26/'Calculated Data'!$B26, 1/9)-1</f>
        <v>-2.482841159671846</v>
      </c>
      <c r="H13" s="50">
        <f>POWER('Calculated Data'!$K33/'Calculated Data'!$B33, 1/9)-1</f>
        <v>0.78926108424491415</v>
      </c>
      <c r="I13" s="50">
        <f>POWER('Calculated Data'!$K17/'Calculated Data'!$B17, 1/9)-1</f>
        <v>0.36970580377623419</v>
      </c>
      <c r="J13" s="50">
        <f>POWER('Calculated Data'!$K19/'Calculated Data'!$C19, 1/8)-1</f>
        <v>0.44867152954560119</v>
      </c>
      <c r="K13" s="50">
        <f>POWER('Calculated Data'!$K10/'Calculated Data'!$B10, 1/9)-1</f>
        <v>0.28036676226892099</v>
      </c>
      <c r="L13" s="50">
        <f>POWER('Calculated Data'!$K34/'Calculated Data'!$B34, 1/9)-1</f>
        <v>0.78471658831935343</v>
      </c>
    </row>
    <row r="14" spans="1:14">
      <c r="A14" s="49" t="s">
        <v>116</v>
      </c>
      <c r="B14" s="50">
        <f>POWER('Data Sheet'!$K17/'Data Sheet'!$G17, 1/4)-1</f>
        <v>0.43299919556683952</v>
      </c>
      <c r="C14" s="50">
        <f>POWER('Calculated Data'!$K3/'Calculated Data'!$G3, 1/4)-1</f>
        <v>0.48011409849547038</v>
      </c>
      <c r="D14" s="50">
        <f>POWER('Calculated Data'!$K4/'Calculated Data'!$G4, 1/4)-1</f>
        <v>0.63092266150501297</v>
      </c>
      <c r="E14" s="50">
        <f>POWER('Calculated Data'!$K7/'Calculated Data'!$G7, 1/4)-1</f>
        <v>0.63425473852290026</v>
      </c>
      <c r="F14" s="50">
        <f>POWER('Calculated Data'!$K8/'Calculated Data'!$G8, 1/4)-1</f>
        <v>0.52356023513857597</v>
      </c>
      <c r="G14" s="50">
        <f>POWER('Calculated Data'!$K26/'Calculated Data'!$G26, 1/4)-1</f>
        <v>0.9052681945092671</v>
      </c>
      <c r="H14" s="50">
        <f>POWER('Calculated Data'!$K33/'Calculated Data'!$G33, 1/4)-1</f>
        <v>1.5266622133892516</v>
      </c>
      <c r="I14" s="50" t="e">
        <f>POWER('Calculated Data'!$K17/'Calculated Data'!$G17, 1/4)-1</f>
        <v>#NUM!</v>
      </c>
      <c r="J14" s="50" t="e">
        <f>POWER('Calculated Data'!$K19/'Calculated Data'!$G19, 1/4)-1</f>
        <v>#NUM!</v>
      </c>
      <c r="K14" s="50">
        <f>POWER('Calculated Data'!$K10/'Calculated Data'!$G10, 1/4)-1</f>
        <v>0.50421070582928085</v>
      </c>
      <c r="L14" s="50">
        <f>POWER('Calculated Data'!$K34/'Calculated Data'!$G34, 1/4)-1</f>
        <v>1.493983709954517</v>
      </c>
    </row>
    <row r="15" spans="1:14">
      <c r="A15" s="49" t="s">
        <v>117</v>
      </c>
      <c r="B15" s="50">
        <f>POWER('Data Sheet'!$K17/'Data Sheet'!$I17, 1/2)-1</f>
        <v>0.23880314250591805</v>
      </c>
      <c r="C15" s="50">
        <f>POWER('Calculated Data'!$K3/'Calculated Data'!$I3, 1/2)-1</f>
        <v>0.26088819258696794</v>
      </c>
      <c r="D15" s="50">
        <f>POWER('Calculated Data'!$K4/'Calculated Data'!$I4, 1/2)-1</f>
        <v>0.36494541862883478</v>
      </c>
      <c r="E15" s="50">
        <f>POWER('Calculated Data'!$K7/'Calculated Data'!$I7, 1/2)-1</f>
        <v>0.35982354841197495</v>
      </c>
      <c r="F15" s="50">
        <f>POWER('Calculated Data'!$K8/'Calculated Data'!$I8, 1/2)-1</f>
        <v>0.12810376050945793</v>
      </c>
      <c r="G15" s="50">
        <f>POWER('Calculated Data'!$K26/'Calculated Data'!$I26, 1/2)-1</f>
        <v>0.4450014681622787</v>
      </c>
      <c r="H15" s="50">
        <f>POWER('Calculated Data'!$K33/'Calculated Data'!$I33, 1/2)-1</f>
        <v>0.61155964630167703</v>
      </c>
      <c r="I15" s="50">
        <f>POWER('Calculated Data'!$K17/'Calculated Data'!$I17, 1/2)-1</f>
        <v>0.80691530368964925</v>
      </c>
      <c r="J15" s="50">
        <f>POWER('Calculated Data'!$K19/'Calculated Data'!$I19, 1/2)-1</f>
        <v>0.58736139424327694</v>
      </c>
      <c r="K15" s="50">
        <f>POWER('Calculated Data'!$K10/'Calculated Data'!$I10, 1/2)-1</f>
        <v>0.5537658275378019</v>
      </c>
      <c r="L15" s="50">
        <f>POWER('Calculated Data'!$K34/'Calculated Data'!$I34, 1/2)-1</f>
        <v>0.60477370146756027</v>
      </c>
    </row>
    <row r="16" spans="1:14">
      <c r="A16" s="49" t="s">
        <v>118</v>
      </c>
      <c r="B16" s="50">
        <f>('Data Sheet'!$K17-'Data Sheet'!$J17)/'Data Sheet'!$J17</f>
        <v>0.35394814422109799</v>
      </c>
      <c r="C16" s="50">
        <f>('Calculated Data'!$K3-'Calculated Data'!$J3)/'Calculated Data'!$J3</f>
        <v>0.32988302617184206</v>
      </c>
      <c r="D16" s="50">
        <f>('Calculated Data'!$K4-'Calculated Data'!$J4)/'Calculated Data'!$J4</f>
        <v>0.4076419937075676</v>
      </c>
      <c r="E16" s="50">
        <f>('Calculated Data'!$K7-'Calculated Data'!$J7)/'Calculated Data'!$J7</f>
        <v>0.36095238095238091</v>
      </c>
      <c r="F16" s="50">
        <f>('Calculated Data'!$K8-'Calculated Data'!$J8)/'Calculated Data'!$J8</f>
        <v>0.27261809447558039</v>
      </c>
      <c r="G16" s="50">
        <f>('Calculated Data'!$K26-'Calculated Data'!$J26)/'Calculated Data'!$J26</f>
        <v>0.7116216752728155</v>
      </c>
      <c r="H16" s="50">
        <f>('Calculated Data'!$K33-'Calculated Data'!$J33)/'Calculated Data'!$J33</f>
        <v>0.96078927396913738</v>
      </c>
      <c r="I16" s="50">
        <f>('Calculated Data'!$K17-'Calculated Data'!$J17)/'Calculated Data'!$J17</f>
        <v>1.3909016393442624</v>
      </c>
      <c r="J16" s="50">
        <f>('Calculated Data'!$K19-'Calculated Data'!$J19)/'Calculated Data'!$J19</f>
        <v>2.3136551229140498</v>
      </c>
      <c r="K16" s="50">
        <f>('Calculated Data'!$K10-'Calculated Data'!$J10)/'Calculated Data'!$J10</f>
        <v>0.51484188367747608</v>
      </c>
      <c r="L16" s="50">
        <f>('Calculated Data'!$K34-'Calculated Data'!$J34)/'Calculated Data'!$J34</f>
        <v>0.95219302554813789</v>
      </c>
    </row>
    <row r="17" spans="1:13">
      <c r="A17" s="73" t="s">
        <v>208</v>
      </c>
      <c r="B17" s="51"/>
    </row>
    <row r="18" spans="1:13">
      <c r="A18" s="16" t="str">
        <f>A1</f>
        <v>AVANTI FEEDS LTD</v>
      </c>
      <c r="B18" s="16">
        <f>'Data Sheet'!B16</f>
        <v>39538</v>
      </c>
      <c r="C18" s="16">
        <f>'Data Sheet'!C16</f>
        <v>39903</v>
      </c>
      <c r="D18" s="16">
        <f>'Data Sheet'!D16</f>
        <v>40268</v>
      </c>
      <c r="E18" s="16">
        <f>'Data Sheet'!E16</f>
        <v>40633</v>
      </c>
      <c r="F18" s="16">
        <f>'Data Sheet'!F16</f>
        <v>40999</v>
      </c>
      <c r="G18" s="16">
        <f>'Data Sheet'!G16</f>
        <v>41364</v>
      </c>
      <c r="H18" s="16">
        <f>'Data Sheet'!H16</f>
        <v>41729</v>
      </c>
      <c r="I18" s="16">
        <f>'Data Sheet'!I16</f>
        <v>42094</v>
      </c>
      <c r="J18" s="16">
        <f>'Data Sheet'!J16</f>
        <v>42460</v>
      </c>
      <c r="K18" s="16">
        <f>'Data Sheet'!K16</f>
        <v>42825</v>
      </c>
      <c r="L18" s="147" t="s">
        <v>242</v>
      </c>
      <c r="M18" s="30" t="s">
        <v>244</v>
      </c>
    </row>
    <row r="19" spans="1:13">
      <c r="A19" s="49" t="s">
        <v>188</v>
      </c>
      <c r="B19" s="52">
        <f>'Calculated Data'!B15/'Calculated Data'!B10</f>
        <v>1.7266820675714698</v>
      </c>
      <c r="C19" s="52">
        <f>'Calculated Data'!C15/'Calculated Data'!C10</f>
        <v>1.7343612334801763</v>
      </c>
      <c r="D19" s="52">
        <f>'Calculated Data'!D15/'Calculated Data'!D10</f>
        <v>1.714050822122571</v>
      </c>
      <c r="E19" s="52">
        <f>'Calculated Data'!E15/'Calculated Data'!E10</f>
        <v>2.1907364787111621</v>
      </c>
      <c r="F19" s="52">
        <f>'Calculated Data'!F15/'Calculated Data'!F10</f>
        <v>1.9572695224869139</v>
      </c>
      <c r="G19" s="52">
        <f>'Calculated Data'!G15/'Calculated Data'!G10</f>
        <v>1.9894484412470024</v>
      </c>
      <c r="H19" s="52">
        <f>'Calculated Data'!H15/'Calculated Data'!H10</f>
        <v>2.2242579495461379</v>
      </c>
      <c r="I19" s="52">
        <f>'Calculated Data'!I15/'Calculated Data'!I10</f>
        <v>1.8010102152361569</v>
      </c>
      <c r="J19" s="52">
        <f>'Calculated Data'!J15/'Calculated Data'!J10</f>
        <v>1.4725986896568037</v>
      </c>
      <c r="K19" s="161">
        <f>'Calculated Data'!K15/'Calculated Data'!K10</f>
        <v>1.6495487618274365</v>
      </c>
      <c r="L19" s="174" t="e">
        <f>'Balance Sheet'!L8/'Calculated Data'!L10</f>
        <v>#DIV/0!</v>
      </c>
    </row>
    <row r="20" spans="1:13">
      <c r="A20" s="49" t="s">
        <v>119</v>
      </c>
      <c r="B20" s="52">
        <f>'Data Sheet'!B59/'Data Sheet'!B30</f>
        <v>45.685393258426963</v>
      </c>
      <c r="C20" s="52">
        <f>'Data Sheet'!C59/'Data Sheet'!C30</f>
        <v>-5.4314285714285715</v>
      </c>
      <c r="D20" s="52">
        <f>'Data Sheet'!D59/'Data Sheet'!D30</f>
        <v>-28.206611570247937</v>
      </c>
      <c r="E20" s="52">
        <f>'Data Sheet'!E59/'Data Sheet'!E30</f>
        <v>16.017647058823531</v>
      </c>
      <c r="F20" s="52">
        <f>'Data Sheet'!F59/'Data Sheet'!F30</f>
        <v>1.7672014260249553</v>
      </c>
      <c r="G20" s="52">
        <f>'Data Sheet'!G59/'Data Sheet'!G30</f>
        <v>2.0326123128119797</v>
      </c>
      <c r="H20" s="52">
        <f>'Data Sheet'!H59/'Data Sheet'!H30</f>
        <v>0.79704587416560146</v>
      </c>
      <c r="I20" s="52">
        <f>'Data Sheet'!I59/'Data Sheet'!I30</f>
        <v>0.50379572118702554</v>
      </c>
      <c r="J20" s="52">
        <f>'Data Sheet'!J59/'Data Sheet'!J30</f>
        <v>6.8000000000000005E-2</v>
      </c>
      <c r="K20" s="161">
        <f>'Data Sheet'!K59/'Data Sheet'!K30</f>
        <v>9.0646139491485894E-2</v>
      </c>
      <c r="L20" s="76"/>
    </row>
    <row r="21" spans="1:13">
      <c r="A21" s="49" t="s">
        <v>120</v>
      </c>
      <c r="B21" s="52">
        <f>'Data Sheet'!B60/'Data Sheet'!B30</f>
        <v>10.865168539325843</v>
      </c>
      <c r="C21" s="52">
        <f>'Data Sheet'!C60/'Data Sheet'!C30</f>
        <v>-1.7128571428571429</v>
      </c>
      <c r="D21" s="52">
        <f>'Data Sheet'!D60/'Data Sheet'!D30</f>
        <v>-11.272727272727273</v>
      </c>
      <c r="E21" s="52">
        <f>'Data Sheet'!E60/'Data Sheet'!E30</f>
        <v>8.329411764705883</v>
      </c>
      <c r="F21" s="52">
        <f>'Data Sheet'!F60/'Data Sheet'!F30</f>
        <v>1.4274509803921569</v>
      </c>
      <c r="G21" s="52">
        <f>'Data Sheet'!G60/'Data Sheet'!G30</f>
        <v>2.0865224625623959</v>
      </c>
      <c r="H21" s="52">
        <f>'Data Sheet'!H60/'Data Sheet'!H30</f>
        <v>2.3252378923448376</v>
      </c>
      <c r="I21" s="52">
        <f>'Data Sheet'!I60/'Data Sheet'!I30</f>
        <v>1.3293650793650793</v>
      </c>
      <c r="J21" s="52">
        <f>'Data Sheet'!J60/'Data Sheet'!J30</f>
        <v>1.2006349206349205</v>
      </c>
      <c r="K21" s="161">
        <f>'Data Sheet'!K60/'Data Sheet'!K30</f>
        <v>1.8501516211803126</v>
      </c>
      <c r="L21" s="76"/>
    </row>
    <row r="22" spans="1:13">
      <c r="A22" s="49" t="s">
        <v>121</v>
      </c>
      <c r="B22" s="52">
        <f>('Data Sheet'!B59+'Data Sheet'!B60)/'Data Sheet'!B30</f>
        <v>56.550561797752806</v>
      </c>
      <c r="C22" s="52">
        <f>('Data Sheet'!C59+'Data Sheet'!C60)/'Data Sheet'!C30</f>
        <v>-7.144285714285715</v>
      </c>
      <c r="D22" s="52">
        <f>('Data Sheet'!D59+'Data Sheet'!D60)/'Data Sheet'!D30</f>
        <v>-39.47933884297521</v>
      </c>
      <c r="E22" s="52">
        <f>('Data Sheet'!E59+'Data Sheet'!E60)/'Data Sheet'!E30</f>
        <v>24.347058823529412</v>
      </c>
      <c r="F22" s="52">
        <f>('Data Sheet'!F59+'Data Sheet'!F60)/'Data Sheet'!F30</f>
        <v>3.194652406417112</v>
      </c>
      <c r="G22" s="52">
        <f>('Data Sheet'!G59+'Data Sheet'!G60)/'Data Sheet'!G30</f>
        <v>4.1191347753743761</v>
      </c>
      <c r="H22" s="52">
        <f>('Data Sheet'!H59+'Data Sheet'!H60)/'Data Sheet'!H30</f>
        <v>3.122283766510439</v>
      </c>
      <c r="I22" s="52">
        <f>('Data Sheet'!I59+'Data Sheet'!I60)/'Data Sheet'!I30</f>
        <v>1.833160800552105</v>
      </c>
      <c r="J22" s="52">
        <f>('Data Sheet'!J59+'Data Sheet'!J60)/'Data Sheet'!J30</f>
        <v>1.2686349206349206</v>
      </c>
      <c r="K22" s="161">
        <f>('Data Sheet'!K59+'Data Sheet'!K60)/'Data Sheet'!K30</f>
        <v>1.9407977606717985</v>
      </c>
      <c r="L22" s="175"/>
    </row>
    <row r="23" spans="1:13">
      <c r="A23" s="53" t="s">
        <v>122</v>
      </c>
      <c r="B23" s="52">
        <f>'Data Sheet'!B59/'Calculated Data'!B10</f>
        <v>0.58706323996534782</v>
      </c>
      <c r="C23" s="52">
        <f>'Data Sheet'!C59/'Calculated Data'!C10</f>
        <v>0.55829662261380331</v>
      </c>
      <c r="D23" s="52">
        <f>'Data Sheet'!D59/'Calculated Data'!D10</f>
        <v>0.5101644245142003</v>
      </c>
      <c r="E23" s="52">
        <f>'Data Sheet'!E59/'Calculated Data'!E10</f>
        <v>0.78337169159953957</v>
      </c>
      <c r="F23" s="52">
        <f>'Data Sheet'!F59/'Calculated Data'!F10</f>
        <v>0.52953744258092084</v>
      </c>
      <c r="G23" s="52">
        <f>'Data Sheet'!G59/'Calculated Data'!G10</f>
        <v>0.48824940047961629</v>
      </c>
      <c r="H23" s="52">
        <f>'Data Sheet'!H59/'Calculated Data'!H10</f>
        <v>0.31252436375786596</v>
      </c>
      <c r="I23" s="52">
        <f>'Data Sheet'!I59/'Calculated Data'!I10</f>
        <v>0.22013645444607791</v>
      </c>
      <c r="J23" s="52">
        <f>'Data Sheet'!J59/'Calculated Data'!J10</f>
        <v>2.5331724969843188E-2</v>
      </c>
      <c r="K23" s="161">
        <f>'Data Sheet'!K59/'Calculated Data'!K10</f>
        <v>3.0337569871654747E-2</v>
      </c>
      <c r="L23" s="76"/>
    </row>
    <row r="24" spans="1:13">
      <c r="A24" s="53" t="s">
        <v>123</v>
      </c>
      <c r="B24" s="52">
        <f>'Calculated Data'!B4/'Data Sheet'!B27</f>
        <v>1.264</v>
      </c>
      <c r="C24" s="52">
        <f>'Calculated Data'!C4/'Data Sheet'!C27</f>
        <v>-0.4005641748942172</v>
      </c>
      <c r="D24" s="52">
        <f>'Calculated Data'!D4/'Data Sheet'!D27</f>
        <v>0.26837060702875398</v>
      </c>
      <c r="E24" s="52">
        <f>'Calculated Data'!E4/'Data Sheet'!E27</f>
        <v>2.1500000000000004</v>
      </c>
      <c r="F24" s="52">
        <f>'Calculated Data'!F4/'Data Sheet'!F27</f>
        <v>10.830466830466829</v>
      </c>
      <c r="G24" s="52">
        <f>'Calculated Data'!G4/'Data Sheet'!G27</f>
        <v>12.260204081632654</v>
      </c>
      <c r="H24" s="52">
        <f>'Calculated Data'!H4/'Data Sheet'!H27</f>
        <v>24.956719817767656</v>
      </c>
      <c r="I24" s="52">
        <f>'Calculated Data'!I4/'Data Sheet'!I27</f>
        <v>68.355805243445687</v>
      </c>
      <c r="J24" s="52">
        <f>'Calculated Data'!J4/'Data Sheet'!J27</f>
        <v>71.467455621301781</v>
      </c>
      <c r="K24" s="161">
        <f>'Calculated Data'!K4/'Data Sheet'!K27</f>
        <v>70.109278350515481</v>
      </c>
      <c r="L24" s="76"/>
    </row>
    <row r="25" spans="1:13" s="31" customFormat="1">
      <c r="A25" s="49" t="s">
        <v>124</v>
      </c>
      <c r="B25" s="54">
        <f>'Calculated Data'!B11/'Data Sheet'!B17</f>
        <v>0.4950515253545556</v>
      </c>
      <c r="C25" s="54">
        <f>'Calculated Data'!C11/'Data Sheet'!C17</f>
        <v>0.70076468042129558</v>
      </c>
      <c r="D25" s="54">
        <f>'Calculated Data'!D11/'Data Sheet'!D17</f>
        <v>0.45706794843784132</v>
      </c>
      <c r="E25" s="54">
        <f>'Calculated Data'!E11/'Data Sheet'!E17</f>
        <v>0.24832731648616124</v>
      </c>
      <c r="F25" s="54">
        <f>'Calculated Data'!F11/'Data Sheet'!F17</f>
        <v>0.1363717241554612</v>
      </c>
      <c r="G25" s="54">
        <f>'Calculated Data'!G11/'Data Sheet'!G17</f>
        <v>0.15256774273193013</v>
      </c>
      <c r="H25" s="54">
        <f>'Calculated Data'!H11/'Data Sheet'!H17</f>
        <v>9.9910746635324871E-2</v>
      </c>
      <c r="I25" s="54">
        <f>'Calculated Data'!I11/'Data Sheet'!I17</f>
        <v>6.9092359012950258E-2</v>
      </c>
      <c r="J25" s="54">
        <f>'Calculated Data'!J11/'Data Sheet'!J17</f>
        <v>0.12621575690312095</v>
      </c>
      <c r="K25" s="162">
        <f>'Calculated Data'!K11/'Data Sheet'!K17</f>
        <v>2.321547503165414E-2</v>
      </c>
      <c r="L25" s="176"/>
      <c r="M25" s="30" t="s">
        <v>209</v>
      </c>
    </row>
    <row r="26" spans="1:13" s="31" customFormat="1">
      <c r="A26" s="49" t="s">
        <v>203</v>
      </c>
      <c r="B26" s="52">
        <f t="shared" ref="B26:K26" si="0">365/B27</f>
        <v>3.6707865168539326</v>
      </c>
      <c r="C26" s="52">
        <f t="shared" si="0"/>
        <v>3.4008832188420022</v>
      </c>
      <c r="D26" s="52">
        <f t="shared" si="0"/>
        <v>3.3568023469013566</v>
      </c>
      <c r="E26" s="52">
        <f t="shared" si="0"/>
        <v>5.3201024327784889</v>
      </c>
      <c r="F26" s="52">
        <f t="shared" si="0"/>
        <v>9.3335705812574155</v>
      </c>
      <c r="G26" s="52">
        <f t="shared" si="0"/>
        <v>6.6698229724166325</v>
      </c>
      <c r="H26" s="52">
        <f t="shared" si="0"/>
        <v>5.6821993472257093</v>
      </c>
      <c r="I26" s="52">
        <f t="shared" si="0"/>
        <v>8.020268444284298</v>
      </c>
      <c r="J26" s="52">
        <f t="shared" si="0"/>
        <v>7.0680791455086673</v>
      </c>
      <c r="K26" s="161">
        <f t="shared" si="0"/>
        <v>7.6824852403710988</v>
      </c>
      <c r="L26" s="176"/>
    </row>
    <row r="27" spans="1:13" s="31" customFormat="1">
      <c r="A27" s="49" t="s">
        <v>125</v>
      </c>
      <c r="B27" s="55">
        <f>'Balance Sheet'!B22</f>
        <v>99.433731251913073</v>
      </c>
      <c r="C27" s="55">
        <f>'Balance Sheet'!C22</f>
        <v>107.32506131871303</v>
      </c>
      <c r="D27" s="55">
        <f>'Balance Sheet'!D22</f>
        <v>108.73443303473891</v>
      </c>
      <c r="E27" s="55">
        <f>'Balance Sheet'!E22</f>
        <v>68.607701564380264</v>
      </c>
      <c r="F27" s="55">
        <f>'Balance Sheet'!F22</f>
        <v>39.106148801504787</v>
      </c>
      <c r="G27" s="55">
        <f>'Balance Sheet'!G22</f>
        <v>54.724091105487318</v>
      </c>
      <c r="H27" s="55">
        <f>'Balance Sheet'!H22</f>
        <v>64.235690741509885</v>
      </c>
      <c r="I27" s="55">
        <f>'Balance Sheet'!I22</f>
        <v>45.509698651061967</v>
      </c>
      <c r="J27" s="55">
        <f>'Balance Sheet'!J22</f>
        <v>51.640621516234042</v>
      </c>
      <c r="K27" s="163">
        <f>'Balance Sheet'!K22</f>
        <v>47.510667261935261</v>
      </c>
      <c r="L27" s="176"/>
    </row>
    <row r="28" spans="1:13" s="31" customFormat="1">
      <c r="A28" s="49" t="s">
        <v>46</v>
      </c>
      <c r="B28" s="55">
        <f>'Balance Sheet'!B23</f>
        <v>50.424446485052542</v>
      </c>
      <c r="C28" s="55">
        <f>'Balance Sheet'!C23</f>
        <v>83.521858317703078</v>
      </c>
      <c r="D28" s="55">
        <f>'Balance Sheet'!D23</f>
        <v>35.606838540528727</v>
      </c>
      <c r="E28" s="55">
        <f>'Balance Sheet'!E23</f>
        <v>40.075330926594468</v>
      </c>
      <c r="F28" s="55">
        <f>'Balance Sheet'!F23</f>
        <v>14.389949416639128</v>
      </c>
      <c r="G28" s="55">
        <f>'Balance Sheet'!G23</f>
        <v>22.37739954323807</v>
      </c>
      <c r="H28" s="55">
        <f>'Balance Sheet'!H23</f>
        <v>14.521168953968242</v>
      </c>
      <c r="I28" s="55">
        <f>'Balance Sheet'!I23</f>
        <v>6.8791347028629835</v>
      </c>
      <c r="J28" s="55">
        <f>'Balance Sheet'!J23</f>
        <v>6.3241902798904022</v>
      </c>
      <c r="K28" s="163">
        <f>'Balance Sheet'!K23</f>
        <v>3.1402186880182685</v>
      </c>
      <c r="L28" s="176"/>
    </row>
    <row r="29" spans="1:13" s="31" customFormat="1">
      <c r="A29" s="49" t="s">
        <v>195</v>
      </c>
      <c r="B29" s="99">
        <f>'Balance Sheet'!B24</f>
        <v>0</v>
      </c>
      <c r="C29" s="99">
        <f>'Balance Sheet'!C24</f>
        <v>0</v>
      </c>
      <c r="D29" s="99">
        <f>'Balance Sheet'!D24</f>
        <v>0</v>
      </c>
      <c r="E29" s="99">
        <f>'Balance Sheet'!E24</f>
        <v>0</v>
      </c>
      <c r="F29" s="99">
        <f>'Balance Sheet'!F24</f>
        <v>0</v>
      </c>
      <c r="G29" s="100">
        <f>'Balance Sheet'!G24</f>
        <v>0</v>
      </c>
      <c r="H29" s="100">
        <f>'Balance Sheet'!H24</f>
        <v>0</v>
      </c>
      <c r="I29" s="100">
        <f>'Balance Sheet'!I24</f>
        <v>0</v>
      </c>
      <c r="J29" s="100">
        <f>'Balance Sheet'!J24</f>
        <v>0</v>
      </c>
      <c r="K29" s="164">
        <f>'Balance Sheet'!K24</f>
        <v>0</v>
      </c>
      <c r="L29" s="176"/>
      <c r="M29" s="30" t="s">
        <v>210</v>
      </c>
    </row>
    <row r="30" spans="1:13" s="31" customFormat="1">
      <c r="A30" s="49" t="s">
        <v>196</v>
      </c>
      <c r="B30" s="99">
        <f>'Balance Sheet'!B25</f>
        <v>0</v>
      </c>
      <c r="C30" s="99">
        <f>'Balance Sheet'!C25</f>
        <v>0</v>
      </c>
      <c r="D30" s="99">
        <f>'Balance Sheet'!D25</f>
        <v>0</v>
      </c>
      <c r="E30" s="99">
        <f>'Balance Sheet'!E25</f>
        <v>0</v>
      </c>
      <c r="F30" s="99">
        <f>'Balance Sheet'!F25</f>
        <v>0</v>
      </c>
      <c r="G30" s="100">
        <f>'Balance Sheet'!G25</f>
        <v>0</v>
      </c>
      <c r="H30" s="100">
        <f>'Balance Sheet'!H25</f>
        <v>0</v>
      </c>
      <c r="I30" s="100">
        <f>'Balance Sheet'!I25</f>
        <v>0</v>
      </c>
      <c r="J30" s="100">
        <f>'Balance Sheet'!J25</f>
        <v>0</v>
      </c>
      <c r="K30" s="164">
        <f>'Balance Sheet'!K25</f>
        <v>0</v>
      </c>
      <c r="L30" s="176"/>
    </row>
    <row r="31" spans="1:13" s="31" customFormat="1">
      <c r="A31" s="49" t="s">
        <v>126</v>
      </c>
      <c r="B31" s="52">
        <f>('Data Sheet'!B67+'Data Sheet'!B69)/'Data Sheet'!B60</f>
        <v>1.8128231644260602</v>
      </c>
      <c r="C31" s="52">
        <f>('Data Sheet'!C67+'Data Sheet'!C69)/'Data Sheet'!C60</f>
        <v>2.0742285237698077</v>
      </c>
      <c r="D31" s="52">
        <f>('Data Sheet'!D67+'Data Sheet'!D69)/'Data Sheet'!D60</f>
        <v>0.90542521994134895</v>
      </c>
      <c r="E31" s="52">
        <f>('Data Sheet'!E67+'Data Sheet'!E69)/'Data Sheet'!E60</f>
        <v>0.96645480225988689</v>
      </c>
      <c r="F31" s="52">
        <f>('Data Sheet'!F67+'Data Sheet'!F69)/'Data Sheet'!F60</f>
        <v>0.93806193806193816</v>
      </c>
      <c r="G31" s="52">
        <f>('Data Sheet'!G67+'Data Sheet'!G69)/'Data Sheet'!G60</f>
        <v>0.77065390749601259</v>
      </c>
      <c r="H31" s="52">
        <f>('Data Sheet'!H67+'Data Sheet'!H69)/'Data Sheet'!H60</f>
        <v>0.35353041778646471</v>
      </c>
      <c r="I31" s="52">
        <f>('Data Sheet'!I67+'Data Sheet'!I69)/'Data Sheet'!I60</f>
        <v>0.25775470473718365</v>
      </c>
      <c r="J31" s="52">
        <f>('Data Sheet'!J67+'Data Sheet'!J69)/'Data Sheet'!J60</f>
        <v>0.56869381279746167</v>
      </c>
      <c r="K31" s="161">
        <f>('Data Sheet'!K67+'Data Sheet'!K69)/'Data Sheet'!K60</f>
        <v>0.17305461697513741</v>
      </c>
      <c r="L31" s="176"/>
      <c r="M31" s="31" t="s">
        <v>127</v>
      </c>
    </row>
    <row r="32" spans="1:13" s="31" customFormat="1">
      <c r="A32" s="49" t="s">
        <v>128</v>
      </c>
      <c r="B32" s="52">
        <f>'Data Sheet'!B65/'Data Sheet'!B60</f>
        <v>6.0175801447776625</v>
      </c>
      <c r="C32" s="52">
        <f>'Data Sheet'!C65/'Data Sheet'!C60</f>
        <v>5.0508757297748126</v>
      </c>
      <c r="D32" s="52">
        <f>'Data Sheet'!D65/'Data Sheet'!D60</f>
        <v>4.0674486803519061</v>
      </c>
      <c r="E32" s="52">
        <f>'Data Sheet'!E65/'Data Sheet'!E60</f>
        <v>2.821680790960452</v>
      </c>
      <c r="F32" s="52">
        <f>'Data Sheet'!F65/'Data Sheet'!F60</f>
        <v>2.3399100899100898</v>
      </c>
      <c r="G32" s="52">
        <f>'Data Sheet'!G65/'Data Sheet'!G60</f>
        <v>2.5768740031897925</v>
      </c>
      <c r="H32" s="52">
        <f>'Data Sheet'!H65/'Data Sheet'!H60</f>
        <v>1.6905692645980941</v>
      </c>
      <c r="I32" s="52">
        <f>'Data Sheet'!I65/'Data Sheet'!I60</f>
        <v>1.7983776768332251</v>
      </c>
      <c r="J32" s="52">
        <f>'Data Sheet'!J65/'Data Sheet'!J60</f>
        <v>2.3471179270227394</v>
      </c>
      <c r="K32" s="161">
        <f>'Data Sheet'!K65/'Data Sheet'!K60</f>
        <v>1.1599677240405466</v>
      </c>
      <c r="L32" s="176" t="s">
        <v>87</v>
      </c>
    </row>
    <row r="33" spans="1:14" s="31" customFormat="1">
      <c r="A33" s="56" t="s">
        <v>129</v>
      </c>
      <c r="B33" s="52">
        <f>'Calculated Data'!B17/'Calculated Data'!B7</f>
        <v>19.314606741573034</v>
      </c>
      <c r="C33" s="52">
        <f>'Calculated Data'!C17/'Calculated Data'!C7</f>
        <v>-1.3342857142857143</v>
      </c>
      <c r="D33" s="52">
        <f>'Calculated Data'!D17/'Calculated Data'!D7</f>
        <v>-3.2396694214876032</v>
      </c>
      <c r="E33" s="52">
        <f>'Calculated Data'!E17/'Calculated Data'!E7</f>
        <v>-2.2705882352941176</v>
      </c>
      <c r="F33" s="52">
        <f>'Calculated Data'!F17/'Calculated Data'!F7</f>
        <v>1.7960784313725491</v>
      </c>
      <c r="G33" s="52">
        <f>'Calculated Data'!G17/'Calculated Data'!G7</f>
        <v>-0.68386023294509157</v>
      </c>
      <c r="H33" s="52">
        <f>'Calculated Data'!H17/'Calculated Data'!H7</f>
        <v>0.78909245845760556</v>
      </c>
      <c r="I33" s="52">
        <f>'Calculated Data'!I17/'Calculated Data'!I7</f>
        <v>0.77070393374741197</v>
      </c>
      <c r="J33" s="52">
        <f>'Calculated Data'!J17/'Calculated Data'!J7</f>
        <v>0.77460317460317463</v>
      </c>
      <c r="K33" s="161">
        <f>'Calculated Data'!K17/'Calculated Data'!K7</f>
        <v>1.3608117564730582</v>
      </c>
      <c r="L33" s="176"/>
    </row>
    <row r="34" spans="1:14">
      <c r="A34" s="234"/>
      <c r="B34" s="234"/>
      <c r="C34" s="234"/>
      <c r="D34" s="234"/>
      <c r="E34" s="234"/>
      <c r="F34" s="234"/>
      <c r="G34" s="234"/>
      <c r="H34" s="234"/>
      <c r="I34" s="234"/>
      <c r="J34" s="234"/>
      <c r="K34" s="235"/>
      <c r="L34" s="76" t="s">
        <v>87</v>
      </c>
    </row>
    <row r="35" spans="1:14">
      <c r="A35" s="57" t="s">
        <v>182</v>
      </c>
      <c r="B35" s="58">
        <f>'Calculated Data'!B3/'Data Sheet'!B17</f>
        <v>0.24803591470258138</v>
      </c>
      <c r="C35" s="58">
        <f>'Calculated Data'!C3/'Data Sheet'!C17</f>
        <v>0.27918049343529072</v>
      </c>
      <c r="D35" s="58">
        <f>'Calculated Data'!D3/'Data Sheet'!D17</f>
        <v>0.15293860607384749</v>
      </c>
      <c r="E35" s="58">
        <f>'Calculated Data'!E3/'Data Sheet'!E17</f>
        <v>0.17395908543922978</v>
      </c>
      <c r="F35" s="58">
        <f>'Calculated Data'!F3/'Data Sheet'!F17</f>
        <v>0.30116163798581636</v>
      </c>
      <c r="G35" s="58">
        <f>'Calculated Data'!G3/'Data Sheet'!G17</f>
        <v>0.20324362693660875</v>
      </c>
      <c r="H35" s="58">
        <f>'Calculated Data'!H3/'Data Sheet'!H17</f>
        <v>0.22022604961073156</v>
      </c>
      <c r="I35" s="58">
        <f>'Calculated Data'!I3/'Data Sheet'!I17</f>
        <v>0.22328799433917768</v>
      </c>
      <c r="J35" s="58">
        <f>'Calculated Data'!J3/'Data Sheet'!J17</f>
        <v>0.23550629493283917</v>
      </c>
      <c r="K35" s="165">
        <f>'Calculated Data'!K3/'Data Sheet'!K17</f>
        <v>0.23132039843961558</v>
      </c>
      <c r="L35" s="177"/>
      <c r="M35" s="59"/>
      <c r="N35" s="59"/>
    </row>
    <row r="36" spans="1:14">
      <c r="A36" s="57" t="s">
        <v>177</v>
      </c>
      <c r="B36" s="58">
        <f>'Calculated Data'!B4/'Data Sheet'!B17</f>
        <v>6.448321599836751E-2</v>
      </c>
      <c r="C36" s="58">
        <f>'Calculated Data'!C4/'Data Sheet'!C17</f>
        <v>-4.0975328235463855E-2</v>
      </c>
      <c r="D36" s="58">
        <f>'Calculated Data'!D4/'Data Sheet'!D17</f>
        <v>9.1763163644308469E-3</v>
      </c>
      <c r="E36" s="58">
        <f>'Calculated Data'!E4/'Data Sheet'!E17</f>
        <v>4.7605294825511436E-2</v>
      </c>
      <c r="F36" s="58">
        <f>'Calculated Data'!F4/'Data Sheet'!F17</f>
        <v>0.11204595714394651</v>
      </c>
      <c r="G36" s="58">
        <f>'Calculated Data'!G4/'Data Sheet'!G17</f>
        <v>7.4162088759953101E-2</v>
      </c>
      <c r="H36" s="58">
        <f>'Calculated Data'!H4/'Data Sheet'!H17</f>
        <v>9.6817808255494395E-2</v>
      </c>
      <c r="I36" s="58">
        <f>'Calculated Data'!I4/'Data Sheet'!I17</f>
        <v>0.10249570384014915</v>
      </c>
      <c r="J36" s="58">
        <f>'Calculated Data'!J4/'Data Sheet'!J17</f>
        <v>0.11968547631906218</v>
      </c>
      <c r="K36" s="165">
        <f>'Calculated Data'!K4/'Data Sheet'!K17</f>
        <v>0.12443187224169858</v>
      </c>
      <c r="L36" s="165">
        <f>'Calculated Data'!L4/'Profit &amp; Loss'!L4</f>
        <v>0.16409966748366839</v>
      </c>
      <c r="M36" s="59"/>
      <c r="N36" s="59"/>
    </row>
    <row r="37" spans="1:14">
      <c r="A37" s="49" t="s">
        <v>178</v>
      </c>
      <c r="B37" s="50">
        <f>'Calculated Data'!B5/'Data Sheet'!B17</f>
        <v>0.10407101316192224</v>
      </c>
      <c r="C37" s="50">
        <f>'Calculated Data'!C5/'Data Sheet'!C17</f>
        <v>7.2139662386380031E-3</v>
      </c>
      <c r="D37" s="50">
        <f>'Calculated Data'!D5/'Data Sheet'!D17</f>
        <v>3.9545553856237703E-2</v>
      </c>
      <c r="E37" s="50">
        <f>'Calculated Data'!E5/'Data Sheet'!E17</f>
        <v>6.1564380264741279E-2</v>
      </c>
      <c r="F37" s="50">
        <f>'Calculated Data'!F5/'Data Sheet'!F17</f>
        <v>0.12221346686662768</v>
      </c>
      <c r="G37" s="50">
        <f>'Calculated Data'!G5/'Data Sheet'!G17</f>
        <v>8.1846799580272842E-2</v>
      </c>
      <c r="H37" s="50">
        <f>'Calculated Data'!H5/'Data Sheet'!H17</f>
        <v>0.10171348786242612</v>
      </c>
      <c r="I37" s="50">
        <f>'Calculated Data'!I5/'Data Sheet'!I17</f>
        <v>0.10743769164242471</v>
      </c>
      <c r="J37" s="50">
        <f>'Calculated Data'!J5/'Data Sheet'!J17</f>
        <v>0.12475412354022464</v>
      </c>
      <c r="K37" s="166">
        <f>'Calculated Data'!K5/'Data Sheet'!K17</f>
        <v>0.12944164294130994</v>
      </c>
      <c r="L37" s="177"/>
      <c r="M37" s="59"/>
      <c r="N37" s="59"/>
    </row>
    <row r="38" spans="1:14">
      <c r="A38" s="49" t="s">
        <v>179</v>
      </c>
      <c r="B38" s="50">
        <f>'Calculated Data'!B6/'Data Sheet'!B17</f>
        <v>1.469237832874196E-2</v>
      </c>
      <c r="C38" s="50">
        <f>'Calculated Data'!C6/'Data Sheet'!C17</f>
        <v>-5.4393305439330533E-2</v>
      </c>
      <c r="D38" s="50">
        <f>'Calculated Data'!D6/'Data Sheet'!D17</f>
        <v>-7.723399606729299E-2</v>
      </c>
      <c r="E38" s="50">
        <f>'Calculated Data'!E6/'Data Sheet'!E17</f>
        <v>4.1636582430806271E-2</v>
      </c>
      <c r="F38" s="50">
        <f>'Calculated Data'!F6/'Data Sheet'!F17</f>
        <v>0.11369817747388219</v>
      </c>
      <c r="G38" s="50">
        <f>'Calculated Data'!G6/'Data Sheet'!G17</f>
        <v>7.7865563854083095E-2</v>
      </c>
      <c r="H38" s="50">
        <f>'Calculated Data'!H6/'Data Sheet'!H17</f>
        <v>9.8461484080204317E-2</v>
      </c>
      <c r="I38" s="50">
        <f>'Calculated Data'!I6/'Data Sheet'!I17</f>
        <v>0.10237215414509226</v>
      </c>
      <c r="J38" s="50">
        <f>'Calculated Data'!J6/'Data Sheet'!J17</f>
        <v>0.11410649609322743</v>
      </c>
      <c r="K38" s="166">
        <f>'Calculated Data'!K6/'Data Sheet'!K17</f>
        <v>0.12143845191132452</v>
      </c>
      <c r="L38" s="177"/>
      <c r="M38" s="59"/>
      <c r="N38" s="59"/>
    </row>
    <row r="39" spans="1:14">
      <c r="A39" s="49" t="s">
        <v>181</v>
      </c>
      <c r="B39" s="50">
        <f>'Calculated Data'!B7/'Data Sheet'!B17</f>
        <v>9.0807060504030195E-3</v>
      </c>
      <c r="C39" s="50">
        <f>'Calculated Data'!C7/'Data Sheet'!C17</f>
        <v>-0.10099552734093203</v>
      </c>
      <c r="D39" s="50">
        <f>'Calculated Data'!D7/'Data Sheet'!D17</f>
        <v>-1.3218265239239675E-2</v>
      </c>
      <c r="E39" s="50">
        <f>'Calculated Data'!E7/'Data Sheet'!E17</f>
        <v>1.6365824308062576E-2</v>
      </c>
      <c r="F39" s="50">
        <f>'Calculated Data'!F7/'Data Sheet'!F17</f>
        <v>7.1299661930301725E-2</v>
      </c>
      <c r="G39" s="50">
        <f>'Calculated Data'!G7/'Data Sheet'!G17</f>
        <v>4.6370594407752611E-2</v>
      </c>
      <c r="H39" s="50">
        <f>'Calculated Data'!H7/'Data Sheet'!H17</f>
        <v>6.2221083235390287E-2</v>
      </c>
      <c r="I39" s="50">
        <f>'Calculated Data'!I7/'Data Sheet'!I17</f>
        <v>6.50994575045208E-2</v>
      </c>
      <c r="J39" s="50">
        <f>'Calculated Data'!J7/'Data Sheet'!J17</f>
        <v>7.8036357510565882E-2</v>
      </c>
      <c r="K39" s="166">
        <f>'Calculated Data'!K7/'Data Sheet'!K17</f>
        <v>7.8440054745193333E-2</v>
      </c>
      <c r="L39" s="178">
        <f>'Calculated Data'!L7/'Profit &amp; Loss'!L4</f>
        <v>0.1046199261000104</v>
      </c>
      <c r="M39" s="59"/>
      <c r="N39" s="59"/>
    </row>
    <row r="40" spans="1:14">
      <c r="A40" s="49" t="s">
        <v>180</v>
      </c>
      <c r="B40" s="50">
        <f>'Calculated Data'!B17/'Data Sheet'!B17</f>
        <v>0.17539026629935722</v>
      </c>
      <c r="C40" s="50">
        <f>'Calculated Data'!C17/'Data Sheet'!C17</f>
        <v>0.1347568893377579</v>
      </c>
      <c r="D40" s="50">
        <f>'Calculated Data'!D17/'Data Sheet'!D17</f>
        <v>4.2822809700677297E-2</v>
      </c>
      <c r="E40" s="50">
        <f>'Calculated Data'!E17/'Data Sheet'!E17</f>
        <v>-3.7160048134777378E-2</v>
      </c>
      <c r="F40" s="50">
        <f>'Calculated Data'!F17/'Data Sheet'!F17</f>
        <v>0.12805978495716935</v>
      </c>
      <c r="G40" s="50">
        <f>'Calculated Data'!G17/'Data Sheet'!G17</f>
        <v>-3.1711005493488056E-2</v>
      </c>
      <c r="H40" s="50">
        <f>'Calculated Data'!H17/'Data Sheet'!H17</f>
        <v>4.9098187538109427E-2</v>
      </c>
      <c r="I40" s="50">
        <f>'Calculated Data'!I17/'Data Sheet'!I17</f>
        <v>5.0172407983556655E-2</v>
      </c>
      <c r="J40" s="50">
        <f>'Calculated Data'!J17/'Data Sheet'!J17</f>
        <v>6.0447210262152613E-2</v>
      </c>
      <c r="K40" s="166">
        <f>'Calculated Data'!K17/'Data Sheet'!K17</f>
        <v>0.10674214867564938</v>
      </c>
      <c r="L40" s="177"/>
      <c r="M40" s="59"/>
      <c r="N40" s="59"/>
    </row>
    <row r="41" spans="1:14">
      <c r="A41" s="49" t="s">
        <v>130</v>
      </c>
      <c r="B41" s="50">
        <f>'Calculated Data'!B19/'Data Sheet'!B17</f>
        <v>0</v>
      </c>
      <c r="C41" s="50">
        <f>'Calculated Data'!C19/'Data Sheet'!C17</f>
        <v>0.13735391718366757</v>
      </c>
      <c r="D41" s="50">
        <f>'Calculated Data'!D19/'Data Sheet'!D17</f>
        <v>3.6377539873279456E-2</v>
      </c>
      <c r="E41" s="50">
        <f>'Calculated Data'!E19/'Data Sheet'!E17</f>
        <v>-9.9446450060168473E-2</v>
      </c>
      <c r="F41" s="50">
        <f>'Calculated Data'!F19/'Data Sheet'!F17</f>
        <v>0.10045499606008997</v>
      </c>
      <c r="G41" s="50">
        <f>'Calculated Data'!G19/'Data Sheet'!G17</f>
        <v>-5.1246836615023765E-2</v>
      </c>
      <c r="H41" s="50">
        <f>'Calculated Data'!H19/'Data Sheet'!H17</f>
        <v>1.7797651134224692E-2</v>
      </c>
      <c r="I41" s="50">
        <f>'Calculated Data'!I19/'Data Sheet'!I17</f>
        <v>4.1158896139633631E-2</v>
      </c>
      <c r="J41" s="50">
        <f>'Calculated Data'!J19/'Data Sheet'!J17</f>
        <v>2.7612483835325947E-2</v>
      </c>
      <c r="K41" s="166">
        <f>'Calculated Data'!K19/'Data Sheet'!K17</f>
        <v>6.7578842592931426E-2</v>
      </c>
      <c r="L41" s="177"/>
      <c r="M41" s="59"/>
      <c r="N41" s="59"/>
    </row>
    <row r="42" spans="1:14">
      <c r="A42" s="49" t="s">
        <v>138</v>
      </c>
      <c r="B42" s="50">
        <f>'Calculated Data'!B26/'Data Sheet'!B17</f>
        <v>-5.7030791539515124E-2</v>
      </c>
      <c r="C42" s="50">
        <f>'Calculated Data'!C26/'Data Sheet'!C17</f>
        <v>-0.16500381039807871</v>
      </c>
      <c r="D42" s="50">
        <f>'Calculated Data'!D26/'Data Sheet'!D17</f>
        <v>-8.6521271632512262E-2</v>
      </c>
      <c r="E42" s="50">
        <f>'Calculated Data'!E26/'Data Sheet'!E17</f>
        <v>-1.9924114477057497E-2</v>
      </c>
      <c r="F42" s="50">
        <f>'Calculated Data'!F26/'Data Sheet'!F17</f>
        <v>4.8535050345595888E-2</v>
      </c>
      <c r="G42" s="50">
        <f>'Calculated Data'!G26/'Data Sheet'!G17</f>
        <v>2.2688469251829511E-2</v>
      </c>
      <c r="H42" s="50">
        <f>'Calculated Data'!H26/'Data Sheet'!H17</f>
        <v>4.3491927808943606E-2</v>
      </c>
      <c r="I42" s="50">
        <f>'Calculated Data'!I26/'Data Sheet'!I17</f>
        <v>5.2109139325384295E-2</v>
      </c>
      <c r="J42" s="50">
        <f>'Calculated Data'!J26/'Data Sheet'!J17</f>
        <v>5.6084148916467756E-2</v>
      </c>
      <c r="K42" s="166">
        <f>'Calculated Data'!K26/'Data Sheet'!K17</f>
        <v>7.0899942020954357E-2</v>
      </c>
      <c r="L42" s="177"/>
      <c r="M42" s="59"/>
      <c r="N42" s="59"/>
    </row>
    <row r="43" spans="1:14">
      <c r="A43" s="49" t="s">
        <v>319</v>
      </c>
      <c r="B43" s="50"/>
      <c r="C43" s="50"/>
      <c r="D43" s="50"/>
      <c r="E43" s="50"/>
      <c r="F43" s="50">
        <f>(F42-B42)</f>
        <v>0.10556584188511101</v>
      </c>
      <c r="G43" s="50">
        <f t="shared" ref="G43:K43" si="1">(G42-C42)</f>
        <v>0.18769227964990823</v>
      </c>
      <c r="H43" s="50">
        <f t="shared" si="1"/>
        <v>0.13001319944145587</v>
      </c>
      <c r="I43" s="50">
        <f t="shared" si="1"/>
        <v>7.2033253802441799E-2</v>
      </c>
      <c r="J43" s="50">
        <f t="shared" si="1"/>
        <v>7.5490985708718678E-3</v>
      </c>
      <c r="K43" s="166">
        <f t="shared" si="1"/>
        <v>4.8211472769124845E-2</v>
      </c>
      <c r="L43" s="215"/>
      <c r="M43" s="59"/>
      <c r="N43" s="59"/>
    </row>
    <row r="44" spans="1:14">
      <c r="A44" s="49" t="s">
        <v>320</v>
      </c>
      <c r="B44" s="50"/>
      <c r="C44" s="50"/>
      <c r="D44" s="50">
        <f>(D42-B42)</f>
        <v>-2.9490480092997137E-2</v>
      </c>
      <c r="E44" s="50">
        <f t="shared" ref="E44:K44" si="2">(E42-C42)</f>
        <v>0.14507969592102121</v>
      </c>
      <c r="F44" s="50">
        <f t="shared" si="2"/>
        <v>0.13505632197810816</v>
      </c>
      <c r="G44" s="50">
        <f t="shared" si="2"/>
        <v>4.2612583728887009E-2</v>
      </c>
      <c r="H44" s="50">
        <f t="shared" si="2"/>
        <v>-5.0431225366522822E-3</v>
      </c>
      <c r="I44" s="50">
        <f t="shared" si="2"/>
        <v>2.9420670073554783E-2</v>
      </c>
      <c r="J44" s="50">
        <f t="shared" si="2"/>
        <v>1.259222110752415E-2</v>
      </c>
      <c r="K44" s="166">
        <f t="shared" si="2"/>
        <v>1.8790802695570062E-2</v>
      </c>
      <c r="L44" s="215"/>
      <c r="M44" s="59"/>
      <c r="N44" s="59"/>
    </row>
    <row r="45" spans="1:14">
      <c r="A45" s="216" t="s">
        <v>321</v>
      </c>
      <c r="B45" s="50"/>
      <c r="C45" s="50"/>
      <c r="D45" s="50"/>
      <c r="E45" s="50"/>
      <c r="F45" s="50">
        <f>POWER('Calculated Data'!F33/'Calculated Data'!B33, 1/4)-1</f>
        <v>0.40518611388173031</v>
      </c>
      <c r="G45" s="50">
        <f>POWER('Calculated Data'!G33/'Calculated Data'!C33, 1/4)-1</f>
        <v>0.64042845114339797</v>
      </c>
      <c r="H45" s="50">
        <f>POWER('Calculated Data'!H33/'Calculated Data'!D33, 1/4)-1</f>
        <v>1.2968442789712076</v>
      </c>
      <c r="I45" s="50">
        <f>POWER('Calculated Data'!I33/'Calculated Data'!E33, 1/4)-1</f>
        <v>1.619198732690986</v>
      </c>
      <c r="J45" s="50">
        <f>POWER('Calculated Data'!J33/'Calculated Data'!F33, 1/4)-1</f>
        <v>1.2267644621293843</v>
      </c>
      <c r="K45" s="166">
        <f>POWER('Calculated Data'!K33/'Calculated Data'!G33, 1/4)-1</f>
        <v>1.5266622133892516</v>
      </c>
      <c r="L45" s="215"/>
      <c r="M45" s="59"/>
      <c r="N45" s="59"/>
    </row>
    <row r="46" spans="1:14">
      <c r="A46" s="216" t="s">
        <v>322</v>
      </c>
      <c r="B46" s="50"/>
      <c r="C46" s="50"/>
      <c r="D46" s="50">
        <f>POWER('Calculated Data'!D33/'Calculated Data'!B33, 1/2)-1</f>
        <v>-2.8586847705441065E-2</v>
      </c>
      <c r="E46" s="50">
        <f>POWER('Calculated Data'!E33/'Calculated Data'!C33, 1/2)-1</f>
        <v>0.55390931084843675</v>
      </c>
      <c r="F46" s="50">
        <f>POWER('Calculated Data'!F33/'Calculated Data'!D33, 1/2)-1</f>
        <v>1.0326552198536656</v>
      </c>
      <c r="G46" s="50">
        <f>POWER('Calculated Data'!G33/'Calculated Data'!E33, 1/2)-1</f>
        <v>0.7317648362962923</v>
      </c>
      <c r="H46" s="50">
        <f>POWER('Calculated Data'!H33/'Calculated Data'!F33, 1/2)-1</f>
        <v>1.5953706217931827</v>
      </c>
      <c r="I46" s="50">
        <f>POWER('Calculated Data'!I33/'Calculated Data'!G33, 1/2)-1</f>
        <v>2.9613935203823107</v>
      </c>
      <c r="J46" s="50">
        <f>POWER('Calculated Data'!J33/'Calculated Data'!H33, 1/2)-1</f>
        <v>0.91050940014743409</v>
      </c>
      <c r="K46" s="166">
        <f>POWER('Calculated Data'!K33/'Calculated Data'!I33, 1/2)-1</f>
        <v>0.61155964630167703</v>
      </c>
      <c r="L46" s="215"/>
      <c r="M46" s="59"/>
      <c r="N46" s="59"/>
    </row>
    <row r="47" spans="1:14">
      <c r="M47" s="59"/>
      <c r="N47" s="59"/>
    </row>
    <row r="48" spans="1:14">
      <c r="A48" s="234"/>
      <c r="B48" s="234"/>
      <c r="C48" s="234"/>
      <c r="D48" s="234"/>
      <c r="E48" s="234"/>
      <c r="F48" s="234"/>
      <c r="G48" s="234"/>
      <c r="H48" s="234"/>
      <c r="I48" s="234"/>
      <c r="J48" s="234"/>
      <c r="K48" s="235"/>
      <c r="L48" s="76"/>
    </row>
    <row r="49" spans="1:13">
      <c r="A49" s="49" t="s">
        <v>185</v>
      </c>
      <c r="B49" s="52">
        <f>'Data Sheet'!B17/'Calculated Data'!B13</f>
        <v>1.1939334876355221</v>
      </c>
      <c r="C49" s="52">
        <f>'Data Sheet'!C17/'Calculated Data'!C13</f>
        <v>0.88158229458153137</v>
      </c>
      <c r="D49" s="52">
        <f>'Data Sheet'!D17/'Calculated Data'!D13</f>
        <v>1.313342898134864</v>
      </c>
      <c r="E49" s="52">
        <f>'Data Sheet'!E17/'Calculated Data'!E13</f>
        <v>2.3214884344619513</v>
      </c>
      <c r="F49" s="52">
        <f>'Data Sheet'!F17/'Calculated Data'!F13</f>
        <v>3.9976628391423641</v>
      </c>
      <c r="G49" s="52">
        <f>'Data Sheet'!G17/'Calculated Data'!G13</f>
        <v>4.2828629964972569</v>
      </c>
      <c r="H49" s="52">
        <f>'Data Sheet'!H17/'Calculated Data'!H13</f>
        <v>5.7918415395639267</v>
      </c>
      <c r="I49" s="52">
        <f>'Data Sheet'!I17/'Calculated Data'!I13</f>
        <v>8.3756349952963323</v>
      </c>
      <c r="J49" s="52">
        <f>'Data Sheet'!J17/'Calculated Data'!J13</f>
        <v>5.0413138503809174</v>
      </c>
      <c r="K49" s="161">
        <f>'Data Sheet'!K17/'Calculated Data'!K13</f>
        <v>9.0371717706197501</v>
      </c>
      <c r="L49" s="76"/>
    </row>
    <row r="50" spans="1:13" s="31" customFormat="1">
      <c r="A50" s="49" t="s">
        <v>186</v>
      </c>
      <c r="B50" s="52">
        <f>'Data Sheet'!B17/'Data Sheet'!B62</f>
        <v>2.9317977864193838</v>
      </c>
      <c r="C50" s="52">
        <f>'Data Sheet'!C17/'Data Sheet'!C62</f>
        <v>2.3064891846921798</v>
      </c>
      <c r="D50" s="52">
        <f>'Data Sheet'!D17/'Data Sheet'!D62</f>
        <v>3.285714285714286</v>
      </c>
      <c r="E50" s="52">
        <f>'Data Sheet'!E17/'Data Sheet'!E62</f>
        <v>7.7576549663928303</v>
      </c>
      <c r="F50" s="52">
        <f>'Data Sheet'!F17/'Data Sheet'!F62</f>
        <v>9.1299605476908798</v>
      </c>
      <c r="G50" s="52">
        <f>'Data Sheet'!G17/'Data Sheet'!G62</f>
        <v>12.744149459193705</v>
      </c>
      <c r="H50" s="52">
        <f>'Data Sheet'!H17/'Data Sheet'!H62</f>
        <v>14.599535543800798</v>
      </c>
      <c r="I50" s="52">
        <f>'Data Sheet'!I17/'Data Sheet'!I62</f>
        <v>19.880093781400024</v>
      </c>
      <c r="J50" s="52">
        <f>'Data Sheet'!J17/'Data Sheet'!J62</f>
        <v>19.408500817386287</v>
      </c>
      <c r="K50" s="161">
        <f>'Data Sheet'!K17/'Data Sheet'!K62</f>
        <v>17.029102012837289</v>
      </c>
      <c r="L50" s="176"/>
    </row>
    <row r="51" spans="1:13">
      <c r="A51" s="49" t="s">
        <v>187</v>
      </c>
      <c r="B51" s="52">
        <f>'Data Sheet'!B17/'Calculated Data'!B15</f>
        <v>0.81955012960949913</v>
      </c>
      <c r="C51" s="52">
        <f>'Data Sheet'!C17/'Calculated Data'!C15</f>
        <v>0.58682584031834728</v>
      </c>
      <c r="D51" s="52">
        <f>'Data Sheet'!D17/'Calculated Data'!D15</f>
        <v>0.79829074736199535</v>
      </c>
      <c r="E51" s="52">
        <f>'Data Sheet'!E17/'Calculated Data'!E15</f>
        <v>1.3640840446487195</v>
      </c>
      <c r="F51" s="52">
        <f>'Data Sheet'!F17/'Calculated Data'!F15</f>
        <v>2.1472000873267114</v>
      </c>
      <c r="G51" s="52">
        <f>'Data Sheet'!G17/'Calculated Data'!G15</f>
        <v>2.6038251366120218</v>
      </c>
      <c r="H51" s="52">
        <f>'Data Sheet'!H17/'Calculated Data'!H15</f>
        <v>2.8332039758643996</v>
      </c>
      <c r="I51" s="52">
        <f>'Data Sheet'!I17/'Calculated Data'!I15</f>
        <v>3.7268674522279661</v>
      </c>
      <c r="J51" s="52">
        <f>'Data Sheet'!J17/'Calculated Data'!J15</f>
        <v>3.241712174751044</v>
      </c>
      <c r="K51" s="161">
        <f>'Data Sheet'!K17/'Calculated Data'!K15</f>
        <v>2.5865949814003235</v>
      </c>
      <c r="L51" s="174" t="e">
        <f>'Profit &amp; Loss'!L4/'Balance Sheet'!L8</f>
        <v>#DIV/0!</v>
      </c>
    </row>
    <row r="52" spans="1:13">
      <c r="A52" s="49" t="s">
        <v>183</v>
      </c>
      <c r="B52" s="50">
        <f>B39*B51</f>
        <v>7.4420938205535577E-3</v>
      </c>
      <c r="C52" s="50">
        <f t="shared" ref="C52:K52" si="3">C39*C51</f>
        <v>-5.9266785200237058E-2</v>
      </c>
      <c r="D52" s="50">
        <f t="shared" si="3"/>
        <v>-1.0552018836661724E-2</v>
      </c>
      <c r="E52" s="50">
        <f t="shared" si="3"/>
        <v>2.2324359816152328E-2</v>
      </c>
      <c r="F52" s="50">
        <f t="shared" si="3"/>
        <v>0.15309464032310888</v>
      </c>
      <c r="G52" s="50">
        <f t="shared" si="3"/>
        <v>0.12074091931854709</v>
      </c>
      <c r="H52" s="50">
        <f t="shared" si="3"/>
        <v>0.1762850204050975</v>
      </c>
      <c r="I52" s="50">
        <f t="shared" si="3"/>
        <v>0.24261704933129619</v>
      </c>
      <c r="J52" s="50">
        <f t="shared" si="3"/>
        <v>0.25297141021522651</v>
      </c>
      <c r="K52" s="166">
        <f t="shared" si="3"/>
        <v>0.2028926519446837</v>
      </c>
      <c r="L52" s="178" t="e">
        <f>L39*L51</f>
        <v>#DIV/0!</v>
      </c>
      <c r="M52" s="30" t="s">
        <v>190</v>
      </c>
    </row>
    <row r="53" spans="1:13">
      <c r="A53" s="49" t="s">
        <v>184</v>
      </c>
      <c r="B53" s="50">
        <f t="shared" ref="B53:K53" si="4">B39*B51*B19</f>
        <v>1.2850129945134276E-2</v>
      </c>
      <c r="C53" s="50">
        <f t="shared" si="4"/>
        <v>-0.10279001468428781</v>
      </c>
      <c r="D53" s="50">
        <f t="shared" si="4"/>
        <v>-1.8086696562032885E-2</v>
      </c>
      <c r="E53" s="50">
        <f t="shared" si="4"/>
        <v>4.8906789413118518E-2</v>
      </c>
      <c r="F53" s="50">
        <f t="shared" si="4"/>
        <v>0.29964747356051713</v>
      </c>
      <c r="G53" s="50">
        <f t="shared" si="4"/>
        <v>0.2402078337330136</v>
      </c>
      <c r="H53" s="50">
        <f t="shared" si="4"/>
        <v>0.39210335802194124</v>
      </c>
      <c r="I53" s="50">
        <f t="shared" si="4"/>
        <v>0.43695578423611903</v>
      </c>
      <c r="J53" s="50">
        <f t="shared" si="4"/>
        <v>0.37252536720357632</v>
      </c>
      <c r="K53" s="166">
        <f t="shared" si="4"/>
        <v>0.33468132279923801</v>
      </c>
      <c r="L53" s="178" t="e">
        <f>L39*L51*L19</f>
        <v>#DIV/0!</v>
      </c>
      <c r="M53" s="30" t="s">
        <v>191</v>
      </c>
    </row>
    <row r="54" spans="1:13">
      <c r="A54" s="49" t="s">
        <v>131</v>
      </c>
      <c r="B54" s="50">
        <f>'Calculated Data'!B4/'Calculated Data'!B14</f>
        <v>5.7496360989810771E-2</v>
      </c>
      <c r="C54" s="50">
        <f>'Calculated Data'!C4/'Calculated Data'!C14</f>
        <v>-2.6762156049754991E-2</v>
      </c>
      <c r="D54" s="50">
        <f>'Calculated Data'!D4/'Calculated Data'!D14</f>
        <v>8.3143620706720763E-3</v>
      </c>
      <c r="E54" s="50">
        <f>'Calculated Data'!E4/'Calculated Data'!E14</f>
        <v>7.977093079528956E-2</v>
      </c>
      <c r="F54" s="50">
        <f>'Calculated Data'!F4/'Calculated Data'!F14</f>
        <v>0.30786422684732501</v>
      </c>
      <c r="G54" s="50">
        <f>'Calculated Data'!G4/'Calculated Data'!G14</f>
        <v>0.25813728649693846</v>
      </c>
      <c r="H54" s="50">
        <f>'Calculated Data'!H4/'Calculated Data'!H14</f>
        <v>0.46484789341932192</v>
      </c>
      <c r="I54" s="50">
        <f>'Calculated Data'!I4/'Calculated Data'!I14</f>
        <v>0.5638419475424018</v>
      </c>
      <c r="J54" s="50">
        <f>'Calculated Data'!J4/'Calculated Data'!J14</f>
        <v>0.55723183391003472</v>
      </c>
      <c r="K54" s="166">
        <f>'Calculated Data'!K4/'Calculated Data'!K14</f>
        <v>0.51528285017199837</v>
      </c>
      <c r="L54" s="76"/>
    </row>
    <row r="55" spans="1:13">
      <c r="A55" s="49" t="s">
        <v>189</v>
      </c>
      <c r="B55" s="50">
        <f>B36*B49*(1-'Calculated Data'!B22)</f>
        <v>5.1909028154612277E-2</v>
      </c>
      <c r="C55" s="50">
        <f>C36*C49*(1-'Calculated Data'!C22)</f>
        <v>-2.5464437785434186E-2</v>
      </c>
      <c r="D55" s="50">
        <f>D36*D49*(1-'Calculated Data'!D22)</f>
        <v>6.3679023638425437E-3</v>
      </c>
      <c r="E55" s="50">
        <f>E36*E49*(1-'Calculated Data'!E22)</f>
        <v>7.3746398674615091E-2</v>
      </c>
      <c r="F55" s="50">
        <f>F36*F49*(1-'Calculated Data'!F22)</f>
        <v>0.3140267671624925</v>
      </c>
      <c r="G55" s="50">
        <f>G36*G49*(1-'Calculated Data'!G22)</f>
        <v>0.21717160540582642</v>
      </c>
      <c r="H55" s="50">
        <f>H36*H49*(1-'Calculated Data'!H22)</f>
        <v>0.37189835411955513</v>
      </c>
      <c r="I55" s="50">
        <f>I36*I49*(1-'Calculated Data'!I22)</f>
        <v>0.55644713090846099</v>
      </c>
      <c r="J55" s="50">
        <f>J36*J49*(1-'Calculated Data'!J22)</f>
        <v>0.40273779671941484</v>
      </c>
      <c r="K55" s="166">
        <f>K36*K49*(1-'Calculated Data'!K22)</f>
        <v>0.76073495457034568</v>
      </c>
      <c r="L55" s="178" t="e">
        <f>'Business Robustness'!L14*'Business Robustness'!L16*(1-'Calculated Data'!K22)</f>
        <v>#DIV/0!</v>
      </c>
      <c r="M55" s="30" t="s">
        <v>192</v>
      </c>
    </row>
    <row r="56" spans="1:13">
      <c r="A56" s="49" t="s">
        <v>213</v>
      </c>
      <c r="B56" s="50"/>
      <c r="C56" s="50"/>
      <c r="D56" s="50">
        <f>'Calculated Data'!D27</f>
        <v>-0.70485789436618496</v>
      </c>
      <c r="E56" s="50">
        <f>'Calculated Data'!E27</f>
        <v>-0.69010341060890901</v>
      </c>
      <c r="F56" s="50">
        <f>'Calculated Data'!F27</f>
        <v>1.2280853430555618</v>
      </c>
      <c r="G56" s="50">
        <f>'Calculated Data'!G27</f>
        <v>0.21937908716308449</v>
      </c>
      <c r="H56" s="50">
        <f>'Calculated Data'!H27</f>
        <v>0.75238685848625864</v>
      </c>
      <c r="I56" s="50">
        <f>'Calculated Data'!I27</f>
        <v>1.0356060722319065</v>
      </c>
      <c r="J56" s="50">
        <f>'Calculated Data'!J27</f>
        <v>2.4933459283088792</v>
      </c>
      <c r="K56" s="166">
        <f>'Calculated Data'!K27</f>
        <v>0.36641788892869992</v>
      </c>
      <c r="L56" s="76"/>
    </row>
    <row r="57" spans="1:13">
      <c r="A57" s="49" t="str">
        <f>'Calculated Data'!A28</f>
        <v xml:space="preserve">3Yr Rolling RoIIC </v>
      </c>
      <c r="B57" s="50"/>
      <c r="C57" s="50"/>
      <c r="D57" s="50"/>
      <c r="E57" s="50"/>
      <c r="F57" s="50"/>
      <c r="G57" s="50">
        <f>'Calculated Data'!G28</f>
        <v>1.6380188387668411</v>
      </c>
      <c r="H57" s="50">
        <f>'Calculated Data'!H28</f>
        <v>0.80948333795475269</v>
      </c>
      <c r="I57" s="50">
        <f>'Calculated Data'!I28</f>
        <v>0.82535920176294175</v>
      </c>
      <c r="J57" s="50">
        <f>'Calculated Data'!J28</f>
        <v>1.1242301541523958</v>
      </c>
      <c r="K57" s="166">
        <f>'Calculated Data'!K28</f>
        <v>0.63190465441335697</v>
      </c>
      <c r="L57" s="76"/>
      <c r="M57" s="73" t="s">
        <v>250</v>
      </c>
    </row>
    <row r="58" spans="1:13">
      <c r="A58" s="49" t="str">
        <f>'Calculated Data'!A29</f>
        <v>5Yr Rolling RoIIC</v>
      </c>
      <c r="B58" s="50"/>
      <c r="C58" s="50"/>
      <c r="D58" s="50"/>
      <c r="E58" s="50"/>
      <c r="F58" s="50"/>
      <c r="G58" s="50">
        <f>'Calculated Data'!G29</f>
        <v>0</v>
      </c>
      <c r="H58" s="50">
        <f>'Calculated Data'!H29</f>
        <v>1.0786407761711863</v>
      </c>
      <c r="I58" s="50">
        <f>'Calculated Data'!I29</f>
        <v>1.0093937755770723</v>
      </c>
      <c r="J58" s="50">
        <f>'Calculated Data'!J29</f>
        <v>1.0821309426118011</v>
      </c>
      <c r="K58" s="166">
        <f>'Calculated Data'!K29</f>
        <v>0.64057022906298733</v>
      </c>
      <c r="L58" s="76"/>
      <c r="M58" s="73" t="s">
        <v>250</v>
      </c>
    </row>
    <row r="59" spans="1:13">
      <c r="A59" s="234"/>
      <c r="B59" s="234"/>
      <c r="C59" s="234"/>
      <c r="D59" s="234"/>
      <c r="E59" s="234"/>
      <c r="F59" s="234"/>
      <c r="G59" s="234"/>
      <c r="H59" s="234"/>
      <c r="I59" s="234"/>
      <c r="J59" s="234"/>
      <c r="K59" s="235"/>
      <c r="L59" s="76"/>
    </row>
    <row r="60" spans="1:13">
      <c r="A60" s="60" t="s">
        <v>133</v>
      </c>
      <c r="B60" s="61">
        <f>'Calculated Data'!B50</f>
        <v>1.5869771720043482</v>
      </c>
      <c r="C60" s="61">
        <f>'Calculated Data'!C50</f>
        <v>0.98462450258233847</v>
      </c>
      <c r="D60" s="61">
        <f>'Calculated Data'!D50</f>
        <v>1.3472573471701406</v>
      </c>
      <c r="E60" s="61">
        <f>'Calculated Data'!E50</f>
        <v>2.133571897570584</v>
      </c>
      <c r="F60" s="61">
        <f>'Calculated Data'!F50</f>
        <v>3.7247898701015174</v>
      </c>
      <c r="G60" s="61">
        <f>'Calculated Data'!G50</f>
        <v>4.0826790886853104</v>
      </c>
      <c r="H60" s="61">
        <f>'Calculated Data'!H50</f>
        <v>5.0898946897623993</v>
      </c>
      <c r="I60" s="61">
        <f>'Calculated Data'!I50</f>
        <v>7.4351839876389203</v>
      </c>
      <c r="J60" s="61">
        <f>'Calculated Data'!J50</f>
        <v>7.2141467167651783</v>
      </c>
      <c r="K60" s="167">
        <f>'Calculated Data'!K50</f>
        <v>6.161801785082397</v>
      </c>
      <c r="L60" s="76"/>
    </row>
    <row r="61" spans="1:13">
      <c r="A61" s="62" t="s">
        <v>17</v>
      </c>
      <c r="B61" s="63">
        <f>'Data Sheet'!B31/'Data Sheet'!B30</f>
        <v>0.7303370786516854</v>
      </c>
      <c r="C61" s="63">
        <f>'Data Sheet'!C31/'Data Sheet'!C30</f>
        <v>0</v>
      </c>
      <c r="D61" s="63">
        <f>'Data Sheet'!D31/'Data Sheet'!D30</f>
        <v>0</v>
      </c>
      <c r="E61" s="63">
        <f>'Data Sheet'!E31/'Data Sheet'!E30</f>
        <v>0.23529411764705885</v>
      </c>
      <c r="F61" s="63">
        <f>'Data Sheet'!F31/'Data Sheet'!F30</f>
        <v>0.21033868092691624</v>
      </c>
      <c r="G61" s="63">
        <f>'Data Sheet'!G31/'Data Sheet'!G30</f>
        <v>0.19633943427620634</v>
      </c>
      <c r="H61" s="63">
        <f>'Data Sheet'!H31/'Data Sheet'!H30</f>
        <v>0.19343843204090327</v>
      </c>
      <c r="I61" s="63">
        <f>'Data Sheet'!I31/'Data Sheet'!I30</f>
        <v>0.21549344375431331</v>
      </c>
      <c r="J61" s="63">
        <f>'Data Sheet'!J31/'Data Sheet'!J30</f>
        <v>0.15860317460317461</v>
      </c>
      <c r="K61" s="168">
        <f>'Data Sheet'!K31/'Data Sheet'!K30</f>
        <v>0.14830884068112898</v>
      </c>
      <c r="L61" s="76"/>
    </row>
    <row r="62" spans="1:13">
      <c r="A62" s="62" t="s">
        <v>135</v>
      </c>
      <c r="B62" s="87">
        <f>'Data Sheet'!B69/'Data Sheet'!B61</f>
        <v>3.3363993644953592E-2</v>
      </c>
      <c r="C62" s="87">
        <f>'Data Sheet'!C69/'Data Sheet'!C61</f>
        <v>7.6284819236305132E-2</v>
      </c>
      <c r="D62" s="87">
        <f>'Data Sheet'!D69/'Data Sheet'!D61</f>
        <v>2.9824714397837272E-2</v>
      </c>
      <c r="E62" s="87">
        <f>'Data Sheet'!E69/'Data Sheet'!E61</f>
        <v>2.9940906106369004E-2</v>
      </c>
      <c r="F62" s="87">
        <f>'Data Sheet'!F69/'Data Sheet'!F61</f>
        <v>0.12034712367645455</v>
      </c>
      <c r="G62" s="87">
        <f>'Data Sheet'!G69/'Data Sheet'!G61</f>
        <v>3.4514625522340081E-2</v>
      </c>
      <c r="H62" s="87">
        <f>'Data Sheet'!H69/'Data Sheet'!H61</f>
        <v>3.2197491299667008E-2</v>
      </c>
      <c r="I62" s="87">
        <f>'Data Sheet'!I69/'Data Sheet'!I61</f>
        <v>1.2892693442725884E-2</v>
      </c>
      <c r="J62" s="87">
        <f>'Data Sheet'!J69/'Data Sheet'!J61</f>
        <v>0.11655958882107291</v>
      </c>
      <c r="K62" s="169">
        <f>'Data Sheet'!K69/'Data Sheet'!K61</f>
        <v>4.2708264314178346E-2</v>
      </c>
      <c r="L62" s="76"/>
    </row>
    <row r="63" spans="1:13">
      <c r="A63" s="62" t="s">
        <v>136</v>
      </c>
      <c r="B63" s="63">
        <f>'Calculated Data'!B4/'Calculated Data'!B13</f>
        <v>7.6988670970885617E-2</v>
      </c>
      <c r="C63" s="63">
        <f>'Calculated Data'!C4/'Calculated Data'!C13</f>
        <v>-3.6123123887051634E-2</v>
      </c>
      <c r="D63" s="63">
        <f>'Calculated Data'!D4/'Calculated Data'!D13</f>
        <v>1.2051649928263988E-2</v>
      </c>
      <c r="E63" s="63">
        <f>'Calculated Data'!E4/'Calculated Data'!E13</f>
        <v>0.11051514135657617</v>
      </c>
      <c r="F63" s="63">
        <f>'Calculated Data'!F4/'Calculated Data'!F13</f>
        <v>0.44792195915049282</v>
      </c>
      <c r="G63" s="63">
        <f>'Calculated Data'!G4/'Calculated Data'!G13</f>
        <v>0.31762606569294827</v>
      </c>
      <c r="H63" s="63">
        <f>'Calculated Data'!H4/'Calculated Data'!H13</f>
        <v>0.56075340362370762</v>
      </c>
      <c r="I63" s="63">
        <f>'Calculated Data'!I4/'Calculated Data'!I13</f>
        <v>0.85846660395108187</v>
      </c>
      <c r="J63" s="63">
        <f>'Calculated Data'!J4/'Calculated Data'!J13</f>
        <v>0.6033720494567254</v>
      </c>
      <c r="K63" s="168">
        <f>'Calculated Data'!K4/'Calculated Data'!K13</f>
        <v>1.1245122031880417</v>
      </c>
      <c r="L63" s="76"/>
      <c r="M63" s="30" t="s">
        <v>194</v>
      </c>
    </row>
    <row r="64" spans="1:13">
      <c r="A64" s="62" t="s">
        <v>111</v>
      </c>
      <c r="B64" s="64">
        <f>'Calculated Data'!B26</f>
        <v>-5.5895878787878779</v>
      </c>
      <c r="C64" s="64">
        <f>'Calculated Data'!C26</f>
        <v>-11.436414098690836</v>
      </c>
      <c r="D64" s="64">
        <f>'Calculated Data'!D26</f>
        <v>-7.920157205240173</v>
      </c>
      <c r="E64" s="64">
        <f>'Calculated Data'!E26</f>
        <v>-4.1392347826086953</v>
      </c>
      <c r="F64" s="64">
        <f>'Calculated Data'!F26</f>
        <v>19.09417415646088</v>
      </c>
      <c r="G64" s="64">
        <f>'Calculated Data'!G26</f>
        <v>14.703035613955596</v>
      </c>
      <c r="H64" s="64">
        <f>'Calculated Data'!H26</f>
        <v>49.215900427878672</v>
      </c>
      <c r="I64" s="64">
        <f>'Calculated Data'!I26</f>
        <v>92.788660031138804</v>
      </c>
      <c r="J64" s="64">
        <f>'Calculated Data'!J26</f>
        <v>113.1940769166177</v>
      </c>
      <c r="K64" s="170">
        <f>'Calculated Data'!K26</f>
        <v>193.74543556298113</v>
      </c>
      <c r="L64" s="76"/>
      <c r="M64" s="30" t="s">
        <v>193</v>
      </c>
    </row>
    <row r="65" spans="1:12" ht="15" customHeight="1">
      <c r="A65" s="65" t="s">
        <v>139</v>
      </c>
      <c r="B65" s="88">
        <f>'Calculated Data'!B33</f>
        <v>20.600999999999999</v>
      </c>
      <c r="C65" s="88">
        <f>'Calculated Data'!C33</f>
        <v>13.12</v>
      </c>
      <c r="D65" s="88">
        <f>'Calculated Data'!D33</f>
        <v>19.440000000000001</v>
      </c>
      <c r="E65" s="88">
        <f>'Calculated Data'!E33</f>
        <v>31.68</v>
      </c>
      <c r="F65" s="88">
        <f>'Calculated Data'!F33</f>
        <v>80.319999999999993</v>
      </c>
      <c r="G65" s="88">
        <f>'Calculated Data'!G33</f>
        <v>95.008619320000022</v>
      </c>
      <c r="H65" s="88">
        <f>'Calculated Data'!H33</f>
        <v>541.03139672999998</v>
      </c>
      <c r="I65" s="88">
        <f>'Calculated Data'!I33</f>
        <v>1490.9359290900002</v>
      </c>
      <c r="J65" s="88">
        <f>'Calculated Data'!J33</f>
        <v>1974.7895764300001</v>
      </c>
      <c r="K65" s="171">
        <f>'Calculated Data'!K33</f>
        <v>3872.1462198100003</v>
      </c>
      <c r="L65" s="76"/>
    </row>
    <row r="66" spans="1:12" ht="15" customHeight="1">
      <c r="A66" s="66" t="s">
        <v>140</v>
      </c>
      <c r="B66" s="66"/>
      <c r="C66" s="89">
        <f>C65-B65</f>
        <v>-7.4809999999999999</v>
      </c>
      <c r="D66" s="89">
        <f t="shared" ref="D66:K66" si="5">D65-C65</f>
        <v>6.3200000000000021</v>
      </c>
      <c r="E66" s="89">
        <f t="shared" si="5"/>
        <v>12.239999999999998</v>
      </c>
      <c r="F66" s="89">
        <f t="shared" si="5"/>
        <v>48.639999999999993</v>
      </c>
      <c r="G66" s="89">
        <f t="shared" si="5"/>
        <v>14.688619320000029</v>
      </c>
      <c r="H66" s="89">
        <f t="shared" si="5"/>
        <v>446.02277740999995</v>
      </c>
      <c r="I66" s="89">
        <f t="shared" si="5"/>
        <v>949.90453236000019</v>
      </c>
      <c r="J66" s="89">
        <f t="shared" si="5"/>
        <v>483.85364733999995</v>
      </c>
      <c r="K66" s="172">
        <f t="shared" si="5"/>
        <v>1897.3566433800002</v>
      </c>
      <c r="L66" s="76"/>
    </row>
    <row r="67" spans="1:12">
      <c r="A67" s="35" t="s">
        <v>141</v>
      </c>
      <c r="B67" s="46"/>
      <c r="C67" s="46">
        <f t="shared" ref="C67:K67" si="6">C66-C64</f>
        <v>3.9554140986908362</v>
      </c>
      <c r="D67" s="46">
        <f t="shared" si="6"/>
        <v>14.240157205240175</v>
      </c>
      <c r="E67" s="46">
        <f t="shared" si="6"/>
        <v>16.379234782608695</v>
      </c>
      <c r="F67" s="46">
        <f t="shared" si="6"/>
        <v>29.545825843539113</v>
      </c>
      <c r="G67" s="46">
        <f t="shared" si="6"/>
        <v>-1.4416293955566317E-2</v>
      </c>
      <c r="H67" s="46">
        <f t="shared" si="6"/>
        <v>396.80687698212125</v>
      </c>
      <c r="I67" s="46">
        <f t="shared" si="6"/>
        <v>857.11587232886143</v>
      </c>
      <c r="J67" s="46">
        <f t="shared" si="6"/>
        <v>370.65957042338226</v>
      </c>
      <c r="K67" s="173">
        <f t="shared" si="6"/>
        <v>1703.611207817019</v>
      </c>
      <c r="L67" s="76"/>
    </row>
    <row r="68" spans="1:12">
      <c r="A68" s="29"/>
      <c r="B68" s="67"/>
      <c r="C68" s="67"/>
      <c r="D68" s="67"/>
      <c r="E68" s="67"/>
      <c r="F68" s="67"/>
      <c r="G68" s="67"/>
      <c r="H68" s="67"/>
      <c r="I68" s="67"/>
      <c r="J68" s="67"/>
      <c r="K68" s="67"/>
    </row>
    <row r="69" spans="1:12">
      <c r="A69" s="68" t="s">
        <v>142</v>
      </c>
      <c r="B69" s="90">
        <f>SUM('Calculated Data'!B$18:K$18)/SUM('Calculated Data'!B$7:K$7)</f>
        <v>0.42724867724867721</v>
      </c>
      <c r="C69" s="69"/>
      <c r="D69" s="69"/>
      <c r="E69" s="69"/>
      <c r="F69" s="69"/>
      <c r="G69" s="69"/>
      <c r="H69" s="69"/>
      <c r="I69" s="69"/>
      <c r="J69" s="69"/>
      <c r="K69" s="69"/>
    </row>
    <row r="70" spans="1:12">
      <c r="A70" s="68" t="s">
        <v>143</v>
      </c>
      <c r="B70" s="90">
        <f>SUM('Calculated Data'!E$18:K$18)/SUM('Calculated Data'!E$7:K$7)</f>
        <v>0.42154014975471221</v>
      </c>
      <c r="C70" s="70"/>
      <c r="D70" s="70"/>
      <c r="E70" s="70"/>
      <c r="F70" s="70"/>
      <c r="G70" s="70"/>
      <c r="H70" s="70"/>
      <c r="I70" s="70"/>
      <c r="J70" s="70"/>
      <c r="K70" s="70"/>
    </row>
    <row r="71" spans="1:12">
      <c r="A71" s="68" t="s">
        <v>144</v>
      </c>
      <c r="B71" s="90">
        <f>SUM('Calculated Data'!G$18:K$18)/SUM('Calculated Data'!G$7:K$7)</f>
        <v>0.40361763255869298</v>
      </c>
      <c r="C71" s="71"/>
      <c r="D71" s="71"/>
      <c r="E71" s="71"/>
      <c r="F71" s="71"/>
      <c r="G71" s="71"/>
      <c r="H71" s="71"/>
      <c r="I71" s="71"/>
      <c r="J71" s="71"/>
      <c r="K71" s="71"/>
    </row>
    <row r="72" spans="1:12">
      <c r="A72" s="68" t="s">
        <v>145</v>
      </c>
      <c r="B72" s="90">
        <f>SUM('Calculated Data'!I$18:K$18)/SUM('Calculated Data'!I$7:K$7)</f>
        <v>0.38817475449494643</v>
      </c>
      <c r="C72" s="72"/>
      <c r="D72" s="72"/>
      <c r="E72" s="72"/>
      <c r="F72" s="72"/>
      <c r="G72" s="72"/>
      <c r="H72" s="72"/>
      <c r="I72" s="72"/>
      <c r="J72" s="72"/>
      <c r="K72" s="72"/>
    </row>
    <row r="73" spans="1:12">
      <c r="A73" s="35" t="s">
        <v>146</v>
      </c>
      <c r="B73" s="90">
        <f>SUM('Calculated Data'!B$18:K$18)/SUM('Data Sheet'!B26:K26)</f>
        <v>4.3503491852344531</v>
      </c>
    </row>
  </sheetData>
  <mergeCells count="6">
    <mergeCell ref="A59:K59"/>
    <mergeCell ref="F4:K4"/>
    <mergeCell ref="M4:N4"/>
    <mergeCell ref="A10:J10"/>
    <mergeCell ref="A34:K34"/>
    <mergeCell ref="A48:K48"/>
  </mergeCells>
  <pageMargins left="0.7" right="0.7" top="0.75" bottom="0.75" header="0.3" footer="0.3"/>
  <pageSetup paperSize="9" orientation="portrait" horizontalDpi="4294967292" verticalDpi="4294967292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 enableFormatConditionsCalculation="0"/>
  <dimension ref="A1:K93"/>
  <sheetViews>
    <sheetView workbookViewId="0">
      <pane xSplit="1" ySplit="1" topLeftCell="B2" activePane="bottomRight" state="frozen"/>
      <selection activeCell="C4" sqref="C4"/>
      <selection pane="topRight" activeCell="C4" sqref="C4"/>
      <selection pane="bottomLeft" activeCell="C4" sqref="C4"/>
      <selection pane="bottomRight" activeCell="B16" sqref="B16"/>
    </sheetView>
  </sheetViews>
  <sheetFormatPr baseColWidth="10" defaultColWidth="8.83203125" defaultRowHeight="14" x14ac:dyDescent="0"/>
  <cols>
    <col min="1" max="1" width="27.6640625" style="5" bestFit="1" customWidth="1"/>
    <col min="2" max="11" width="13.5" style="5" bestFit="1" customWidth="1"/>
    <col min="12" max="16384" width="8.83203125" style="5"/>
  </cols>
  <sheetData>
    <row r="1" spans="1:11" s="1" customFormat="1">
      <c r="A1" s="1" t="s">
        <v>0</v>
      </c>
      <c r="B1" s="1" t="s">
        <v>54</v>
      </c>
      <c r="E1" s="239" t="str">
        <f>IF(B2&lt;&gt;B3, "A NEW VERSION OF THE WORKSHEET IS AVAILABLE", "")</f>
        <v/>
      </c>
      <c r="F1" s="239"/>
      <c r="G1" s="239"/>
      <c r="H1" s="239"/>
      <c r="I1" s="239"/>
      <c r="J1" s="239"/>
      <c r="K1" s="239"/>
    </row>
    <row r="2" spans="1:11">
      <c r="A2" s="1" t="s">
        <v>52</v>
      </c>
      <c r="B2" s="5">
        <v>2.1</v>
      </c>
      <c r="E2" s="240" t="s">
        <v>36</v>
      </c>
      <c r="F2" s="240"/>
      <c r="G2" s="240"/>
      <c r="H2" s="240"/>
      <c r="I2" s="240"/>
      <c r="J2" s="240"/>
      <c r="K2" s="240"/>
    </row>
    <row r="3" spans="1:11">
      <c r="A3" s="1" t="s">
        <v>53</v>
      </c>
      <c r="B3" s="5">
        <v>2.1</v>
      </c>
    </row>
    <row r="4" spans="1:11">
      <c r="A4" s="1"/>
    </row>
    <row r="5" spans="1:11">
      <c r="A5" s="1" t="s">
        <v>55</v>
      </c>
    </row>
    <row r="6" spans="1:11">
      <c r="A6" s="5" t="s">
        <v>42</v>
      </c>
      <c r="B6" s="5">
        <f>IF(B9&gt;0, B9/B8, 0)</f>
        <v>4.5415219125556501</v>
      </c>
    </row>
    <row r="7" spans="1:11">
      <c r="A7" s="5" t="s">
        <v>31</v>
      </c>
      <c r="B7">
        <v>2</v>
      </c>
    </row>
    <row r="8" spans="1:11">
      <c r="A8" s="5" t="s">
        <v>43</v>
      </c>
      <c r="B8">
        <v>1942.95</v>
      </c>
    </row>
    <row r="9" spans="1:11">
      <c r="A9" s="5" t="s">
        <v>70</v>
      </c>
      <c r="B9">
        <v>8823.9500000000007</v>
      </c>
    </row>
    <row r="15" spans="1:11">
      <c r="A15" s="1" t="s">
        <v>37</v>
      </c>
    </row>
    <row r="16" spans="1:11" s="24" customFormat="1">
      <c r="A16" s="23" t="s">
        <v>38</v>
      </c>
      <c r="B16" s="16">
        <v>39538</v>
      </c>
      <c r="C16" s="16">
        <v>39903</v>
      </c>
      <c r="D16" s="16">
        <v>40268</v>
      </c>
      <c r="E16" s="16">
        <v>40633</v>
      </c>
      <c r="F16" s="16">
        <v>40999</v>
      </c>
      <c r="G16" s="16">
        <v>41364</v>
      </c>
      <c r="H16" s="16">
        <v>41729</v>
      </c>
      <c r="I16" s="16">
        <v>42094</v>
      </c>
      <c r="J16" s="16">
        <v>42460</v>
      </c>
      <c r="K16" s="16">
        <v>42825</v>
      </c>
    </row>
    <row r="17" spans="1:11" s="9" customFormat="1">
      <c r="A17" s="9" t="s">
        <v>6</v>
      </c>
      <c r="B17">
        <v>98.01</v>
      </c>
      <c r="C17">
        <v>69.31</v>
      </c>
      <c r="D17">
        <v>91.54</v>
      </c>
      <c r="E17">
        <v>207.75</v>
      </c>
      <c r="F17">
        <v>393.41</v>
      </c>
      <c r="G17">
        <v>648.04</v>
      </c>
      <c r="H17">
        <v>1131.6099999999999</v>
      </c>
      <c r="I17">
        <v>1780.66</v>
      </c>
      <c r="J17">
        <v>2018.29</v>
      </c>
      <c r="K17">
        <v>2732.66</v>
      </c>
    </row>
    <row r="18" spans="1:11" s="9" customFormat="1">
      <c r="A18" s="5" t="s">
        <v>71</v>
      </c>
      <c r="B18">
        <v>73.7</v>
      </c>
      <c r="C18">
        <v>49.96</v>
      </c>
      <c r="D18">
        <v>77.540000000000006</v>
      </c>
      <c r="E18">
        <v>171.61</v>
      </c>
      <c r="F18">
        <v>274.93</v>
      </c>
      <c r="G18">
        <v>516.33000000000004</v>
      </c>
      <c r="H18">
        <v>882.4</v>
      </c>
      <c r="I18">
        <v>1383.06</v>
      </c>
      <c r="J18">
        <v>1542.97</v>
      </c>
      <c r="K18">
        <v>2100.54</v>
      </c>
    </row>
    <row r="19" spans="1:11" s="9" customFormat="1">
      <c r="A19" s="5" t="s">
        <v>72</v>
      </c>
      <c r="B19">
        <v>0.89</v>
      </c>
      <c r="C19">
        <v>-3.17</v>
      </c>
      <c r="D19">
        <v>1</v>
      </c>
      <c r="E19">
        <v>9.42</v>
      </c>
      <c r="F19">
        <v>-4.17</v>
      </c>
      <c r="G19">
        <v>19.36</v>
      </c>
      <c r="H19">
        <v>12.63</v>
      </c>
      <c r="I19">
        <v>15</v>
      </c>
      <c r="J19">
        <v>14.06</v>
      </c>
      <c r="K19">
        <v>29.38</v>
      </c>
    </row>
    <row r="20" spans="1:11" s="9" customFormat="1">
      <c r="A20" s="5" t="s">
        <v>73</v>
      </c>
      <c r="B20">
        <v>3.57</v>
      </c>
      <c r="C20">
        <v>3.02</v>
      </c>
      <c r="D20">
        <v>3.73</v>
      </c>
      <c r="E20">
        <v>7.05</v>
      </c>
      <c r="F20">
        <v>10.85</v>
      </c>
      <c r="G20">
        <v>19.12</v>
      </c>
      <c r="H20">
        <v>26.39</v>
      </c>
      <c r="I20">
        <v>28.83</v>
      </c>
      <c r="J20">
        <v>25.63</v>
      </c>
      <c r="K20">
        <v>33.65</v>
      </c>
    </row>
    <row r="21" spans="1:11" s="9" customFormat="1">
      <c r="A21" s="5" t="s">
        <v>74</v>
      </c>
      <c r="B21">
        <v>4.74</v>
      </c>
      <c r="C21">
        <v>4.2</v>
      </c>
      <c r="D21">
        <v>4.93</v>
      </c>
      <c r="E21">
        <v>9.18</v>
      </c>
      <c r="F21">
        <v>9.07</v>
      </c>
      <c r="G21">
        <v>13.91</v>
      </c>
      <c r="H21">
        <v>20.420000000000002</v>
      </c>
      <c r="I21">
        <v>34.56</v>
      </c>
      <c r="J21">
        <v>34.869999999999997</v>
      </c>
      <c r="K21">
        <v>45.43</v>
      </c>
    </row>
    <row r="22" spans="1:11" s="9" customFormat="1">
      <c r="A22" s="5" t="s">
        <v>75</v>
      </c>
      <c r="B22">
        <v>4.53</v>
      </c>
      <c r="C22">
        <v>4.3099999999999996</v>
      </c>
      <c r="D22">
        <v>4.6500000000000004</v>
      </c>
      <c r="E22">
        <v>6.7</v>
      </c>
      <c r="F22">
        <v>12.47</v>
      </c>
      <c r="G22">
        <v>17.420000000000002</v>
      </c>
      <c r="H22">
        <v>35.22</v>
      </c>
      <c r="I22">
        <v>47.64</v>
      </c>
      <c r="J22">
        <v>58.08</v>
      </c>
      <c r="K22">
        <v>73.349999999999994</v>
      </c>
    </row>
    <row r="23" spans="1:11" s="9" customFormat="1">
      <c r="A23" s="5" t="s">
        <v>76</v>
      </c>
      <c r="B23">
        <v>7.58</v>
      </c>
      <c r="C23">
        <v>7.12</v>
      </c>
      <c r="D23">
        <v>7.98</v>
      </c>
      <c r="E23">
        <v>14.34</v>
      </c>
      <c r="F23">
        <v>29.9</v>
      </c>
      <c r="G23">
        <v>47.48</v>
      </c>
      <c r="H23">
        <v>66.400000000000006</v>
      </c>
      <c r="I23">
        <v>116.67</v>
      </c>
      <c r="J23">
        <v>133.26</v>
      </c>
      <c r="K23">
        <v>168.94</v>
      </c>
    </row>
    <row r="24" spans="1:11" s="9" customFormat="1">
      <c r="A24" s="5" t="s">
        <v>77</v>
      </c>
      <c r="B24">
        <v>3.34</v>
      </c>
      <c r="C24">
        <v>1.3</v>
      </c>
      <c r="D24">
        <v>0.78</v>
      </c>
      <c r="E24">
        <v>0.51</v>
      </c>
      <c r="F24">
        <v>7.29</v>
      </c>
      <c r="G24">
        <v>2.68</v>
      </c>
      <c r="H24">
        <v>1.98</v>
      </c>
      <c r="I24">
        <v>2.61</v>
      </c>
      <c r="J24">
        <v>7.24</v>
      </c>
      <c r="K24">
        <v>8.27</v>
      </c>
    </row>
    <row r="25" spans="1:11" s="9" customFormat="1">
      <c r="A25" s="9" t="s">
        <v>9</v>
      </c>
      <c r="B25">
        <v>8.76</v>
      </c>
      <c r="C25">
        <v>4.2699999999999996</v>
      </c>
      <c r="D25">
        <v>10.69</v>
      </c>
      <c r="E25">
        <v>4.1399999999999997</v>
      </c>
      <c r="F25">
        <v>3.35</v>
      </c>
      <c r="G25">
        <v>2.58</v>
      </c>
      <c r="H25">
        <v>3.68</v>
      </c>
      <c r="I25">
        <v>9.02</v>
      </c>
      <c r="J25">
        <v>21.49</v>
      </c>
      <c r="K25">
        <v>21.87</v>
      </c>
    </row>
    <row r="26" spans="1:11" s="9" customFormat="1">
      <c r="A26" s="9" t="s">
        <v>10</v>
      </c>
      <c r="B26">
        <v>3.88</v>
      </c>
      <c r="C26">
        <v>3.34</v>
      </c>
      <c r="D26">
        <v>2.78</v>
      </c>
      <c r="E26">
        <v>2.9</v>
      </c>
      <c r="F26">
        <v>4</v>
      </c>
      <c r="G26">
        <v>4.9800000000000004</v>
      </c>
      <c r="H26">
        <v>5.54</v>
      </c>
      <c r="I26">
        <v>8.8000000000000007</v>
      </c>
      <c r="J26">
        <v>10.23</v>
      </c>
      <c r="K26">
        <v>13.69</v>
      </c>
    </row>
    <row r="27" spans="1:11" s="9" customFormat="1">
      <c r="A27" s="9" t="s">
        <v>11</v>
      </c>
      <c r="B27">
        <v>5</v>
      </c>
      <c r="C27">
        <v>7.09</v>
      </c>
      <c r="D27">
        <v>3.13</v>
      </c>
      <c r="E27">
        <v>4.5999999999999996</v>
      </c>
      <c r="F27">
        <v>4.07</v>
      </c>
      <c r="G27">
        <v>3.92</v>
      </c>
      <c r="H27">
        <v>4.3899999999999997</v>
      </c>
      <c r="I27">
        <v>2.67</v>
      </c>
      <c r="J27">
        <v>3.38</v>
      </c>
      <c r="K27">
        <v>4.8499999999999996</v>
      </c>
    </row>
    <row r="28" spans="1:11" s="9" customFormat="1">
      <c r="A28" s="9" t="s">
        <v>12</v>
      </c>
      <c r="B28">
        <v>1.32</v>
      </c>
      <c r="C28">
        <v>-9.93</v>
      </c>
      <c r="D28">
        <v>-2.29</v>
      </c>
      <c r="E28">
        <v>5.29</v>
      </c>
      <c r="F28">
        <v>40.01</v>
      </c>
      <c r="G28">
        <v>44.14</v>
      </c>
      <c r="H28">
        <v>105.17</v>
      </c>
      <c r="I28">
        <v>179.84</v>
      </c>
      <c r="J28">
        <v>238.18</v>
      </c>
      <c r="K28">
        <v>335.18</v>
      </c>
    </row>
    <row r="29" spans="1:11" s="9" customFormat="1">
      <c r="A29" s="9" t="s">
        <v>13</v>
      </c>
      <c r="B29">
        <v>0.43</v>
      </c>
      <c r="C29">
        <v>-2.93</v>
      </c>
      <c r="D29">
        <v>-1.08</v>
      </c>
      <c r="E29">
        <v>1.76</v>
      </c>
      <c r="F29">
        <v>11.96</v>
      </c>
      <c r="G29">
        <v>13.96</v>
      </c>
      <c r="H29">
        <v>35.42</v>
      </c>
      <c r="I29">
        <v>63.27</v>
      </c>
      <c r="J29">
        <v>79.2</v>
      </c>
      <c r="K29">
        <v>108.43</v>
      </c>
    </row>
    <row r="30" spans="1:11" s="9" customFormat="1">
      <c r="A30" s="9" t="s">
        <v>14</v>
      </c>
      <c r="B30">
        <v>0.89</v>
      </c>
      <c r="C30">
        <v>-7</v>
      </c>
      <c r="D30">
        <v>-1.21</v>
      </c>
      <c r="E30">
        <v>3.4</v>
      </c>
      <c r="F30">
        <v>28.05</v>
      </c>
      <c r="G30">
        <v>30.05</v>
      </c>
      <c r="H30">
        <v>70.41</v>
      </c>
      <c r="I30">
        <v>115.92</v>
      </c>
      <c r="J30">
        <v>157.5</v>
      </c>
      <c r="K30">
        <v>214.35</v>
      </c>
    </row>
    <row r="31" spans="1:11" s="9" customFormat="1">
      <c r="A31" s="9" t="s">
        <v>61</v>
      </c>
      <c r="B31">
        <v>0.65</v>
      </c>
      <c r="E31">
        <v>0.8</v>
      </c>
      <c r="F31">
        <v>5.9</v>
      </c>
      <c r="G31">
        <v>5.9</v>
      </c>
      <c r="H31">
        <v>13.62</v>
      </c>
      <c r="I31">
        <v>24.98</v>
      </c>
      <c r="J31">
        <v>24.98</v>
      </c>
      <c r="K31">
        <v>31.79</v>
      </c>
    </row>
    <row r="32" spans="1:11" s="9" customFormat="1"/>
    <row r="33" spans="1:11">
      <c r="A33" s="9"/>
    </row>
    <row r="34" spans="1:11">
      <c r="A34" s="9"/>
    </row>
    <row r="35" spans="1:11">
      <c r="A35" s="9"/>
    </row>
    <row r="36" spans="1:11">
      <c r="A36" s="9"/>
    </row>
    <row r="37" spans="1:11">
      <c r="A37" s="9"/>
    </row>
    <row r="38" spans="1:11">
      <c r="A38" s="9"/>
    </row>
    <row r="39" spans="1:11">
      <c r="A39" s="9"/>
    </row>
    <row r="40" spans="1:11">
      <c r="A40" s="1" t="s">
        <v>39</v>
      </c>
    </row>
    <row r="41" spans="1:11" s="24" customFormat="1">
      <c r="A41" s="23" t="s">
        <v>38</v>
      </c>
      <c r="B41" s="16">
        <v>42094</v>
      </c>
      <c r="C41" s="16">
        <v>42185</v>
      </c>
      <c r="D41" s="16">
        <v>42277</v>
      </c>
      <c r="E41" s="16">
        <v>42369</v>
      </c>
      <c r="F41" s="16">
        <v>42460</v>
      </c>
      <c r="G41" s="16">
        <v>42551</v>
      </c>
      <c r="H41" s="16">
        <v>42643</v>
      </c>
      <c r="I41" s="16">
        <v>42735</v>
      </c>
      <c r="J41" s="16">
        <v>42825</v>
      </c>
      <c r="K41" s="16">
        <v>42916</v>
      </c>
    </row>
    <row r="42" spans="1:11" s="9" customFormat="1">
      <c r="A42" s="9" t="s">
        <v>6</v>
      </c>
      <c r="B42">
        <v>381.45</v>
      </c>
      <c r="C42">
        <v>603.4</v>
      </c>
      <c r="D42">
        <v>532.95000000000005</v>
      </c>
      <c r="E42">
        <v>413.11</v>
      </c>
      <c r="F42">
        <v>468.83</v>
      </c>
      <c r="G42">
        <v>724.38</v>
      </c>
      <c r="H42">
        <v>713.06</v>
      </c>
      <c r="I42">
        <v>558.63</v>
      </c>
      <c r="J42">
        <v>704.43</v>
      </c>
      <c r="K42">
        <v>998.17</v>
      </c>
    </row>
    <row r="43" spans="1:11" s="9" customFormat="1">
      <c r="A43" s="9" t="s">
        <v>7</v>
      </c>
      <c r="B43">
        <v>344.57</v>
      </c>
      <c r="C43">
        <v>539.25</v>
      </c>
      <c r="D43">
        <v>470.5</v>
      </c>
      <c r="E43">
        <v>357.62</v>
      </c>
      <c r="F43">
        <v>422.44</v>
      </c>
      <c r="G43">
        <v>648.34</v>
      </c>
      <c r="H43">
        <v>656.63</v>
      </c>
      <c r="I43">
        <v>489.73</v>
      </c>
      <c r="J43">
        <v>576.34</v>
      </c>
      <c r="K43">
        <v>773.2</v>
      </c>
    </row>
    <row r="44" spans="1:11" s="9" customFormat="1">
      <c r="A44" s="9" t="s">
        <v>9</v>
      </c>
      <c r="B44">
        <v>1.52</v>
      </c>
      <c r="C44">
        <v>7.53</v>
      </c>
      <c r="D44">
        <v>5.84</v>
      </c>
      <c r="E44">
        <v>3.5</v>
      </c>
      <c r="F44">
        <v>4.62</v>
      </c>
      <c r="G44">
        <v>1.85</v>
      </c>
      <c r="H44">
        <v>7</v>
      </c>
      <c r="I44">
        <v>3.59</v>
      </c>
      <c r="J44">
        <v>7.99</v>
      </c>
      <c r="K44">
        <v>6.18</v>
      </c>
    </row>
    <row r="45" spans="1:11" s="9" customFormat="1">
      <c r="A45" s="9" t="s">
        <v>10</v>
      </c>
      <c r="B45">
        <v>2.2400000000000002</v>
      </c>
      <c r="C45">
        <v>2.6</v>
      </c>
      <c r="D45">
        <v>2.5299999999999998</v>
      </c>
      <c r="E45">
        <v>2.58</v>
      </c>
      <c r="F45">
        <v>2.52</v>
      </c>
      <c r="G45">
        <v>2.71</v>
      </c>
      <c r="H45">
        <v>3.24</v>
      </c>
      <c r="I45">
        <v>3.93</v>
      </c>
      <c r="J45">
        <v>3.81</v>
      </c>
      <c r="K45">
        <v>4.07</v>
      </c>
    </row>
    <row r="46" spans="1:11" s="9" customFormat="1">
      <c r="A46" s="9" t="s">
        <v>11</v>
      </c>
      <c r="B46">
        <v>0.49</v>
      </c>
      <c r="C46">
        <v>0.28999999999999998</v>
      </c>
      <c r="D46">
        <v>0.3</v>
      </c>
      <c r="E46">
        <v>0.19</v>
      </c>
      <c r="F46">
        <v>0.78</v>
      </c>
      <c r="G46">
        <v>0.2</v>
      </c>
      <c r="H46">
        <v>0.22</v>
      </c>
      <c r="I46">
        <v>0.24</v>
      </c>
      <c r="J46">
        <v>2.1800000000000002</v>
      </c>
      <c r="K46">
        <v>0.62</v>
      </c>
    </row>
    <row r="47" spans="1:11" s="9" customFormat="1">
      <c r="A47" s="9" t="s">
        <v>12</v>
      </c>
      <c r="B47">
        <v>35.67</v>
      </c>
      <c r="C47">
        <v>68.790000000000006</v>
      </c>
      <c r="D47">
        <v>65.47</v>
      </c>
      <c r="E47">
        <v>56.22</v>
      </c>
      <c r="F47">
        <v>47.7</v>
      </c>
      <c r="G47">
        <v>74.98</v>
      </c>
      <c r="H47">
        <v>59.96</v>
      </c>
      <c r="I47">
        <v>68.31</v>
      </c>
      <c r="J47">
        <v>130.09</v>
      </c>
      <c r="K47">
        <v>226.46</v>
      </c>
    </row>
    <row r="48" spans="1:11" s="9" customFormat="1">
      <c r="A48" s="9" t="s">
        <v>13</v>
      </c>
      <c r="B48">
        <v>13.39</v>
      </c>
      <c r="C48">
        <v>23.08</v>
      </c>
      <c r="D48">
        <v>21.5</v>
      </c>
      <c r="E48">
        <v>19.04</v>
      </c>
      <c r="F48">
        <v>15.58</v>
      </c>
      <c r="G48">
        <v>25.76</v>
      </c>
      <c r="H48">
        <v>19.77</v>
      </c>
      <c r="I48">
        <v>21.84</v>
      </c>
      <c r="J48">
        <v>40.409999999999997</v>
      </c>
      <c r="K48">
        <v>77.67</v>
      </c>
    </row>
    <row r="49" spans="1:11" s="9" customFormat="1">
      <c r="A49" s="9" t="s">
        <v>14</v>
      </c>
      <c r="B49">
        <v>21.79</v>
      </c>
      <c r="C49">
        <v>45.4</v>
      </c>
      <c r="D49">
        <v>43.96</v>
      </c>
      <c r="E49">
        <v>36.54</v>
      </c>
      <c r="F49">
        <v>31.23</v>
      </c>
      <c r="G49">
        <v>49.03</v>
      </c>
      <c r="H49">
        <v>37.340000000000003</v>
      </c>
      <c r="I49">
        <v>41.11</v>
      </c>
      <c r="J49">
        <v>83.88</v>
      </c>
      <c r="K49">
        <v>148.84</v>
      </c>
    </row>
    <row r="50" spans="1:11">
      <c r="A50" s="9" t="s">
        <v>8</v>
      </c>
      <c r="B50">
        <v>36.880000000000003</v>
      </c>
      <c r="C50">
        <v>64.150000000000006</v>
      </c>
      <c r="D50">
        <v>62.45</v>
      </c>
      <c r="E50">
        <v>55.49</v>
      </c>
      <c r="F50">
        <v>46.39</v>
      </c>
      <c r="G50">
        <v>76.040000000000006</v>
      </c>
      <c r="H50">
        <v>56.43</v>
      </c>
      <c r="I50">
        <v>68.900000000000006</v>
      </c>
      <c r="J50">
        <v>128.09</v>
      </c>
      <c r="K50">
        <v>224.97</v>
      </c>
    </row>
    <row r="51" spans="1:11">
      <c r="A51" s="9"/>
    </row>
    <row r="52" spans="1:11">
      <c r="A52" s="9"/>
    </row>
    <row r="53" spans="1:11">
      <c r="A53" s="9"/>
    </row>
    <row r="54" spans="1:11">
      <c r="A54" s="9"/>
    </row>
    <row r="55" spans="1:11">
      <c r="A55" s="1" t="s">
        <v>40</v>
      </c>
    </row>
    <row r="56" spans="1:11" s="24" customFormat="1">
      <c r="A56" s="23" t="s">
        <v>38</v>
      </c>
      <c r="B56" s="16">
        <v>39538</v>
      </c>
      <c r="C56" s="16">
        <v>39903</v>
      </c>
      <c r="D56" s="16">
        <v>40268</v>
      </c>
      <c r="E56" s="16">
        <v>40633</v>
      </c>
      <c r="F56" s="16">
        <v>40999</v>
      </c>
      <c r="G56" s="16">
        <v>41364</v>
      </c>
      <c r="H56" s="16">
        <v>41729</v>
      </c>
      <c r="I56" s="16">
        <v>42094</v>
      </c>
      <c r="J56" s="16">
        <v>42460</v>
      </c>
      <c r="K56" s="16">
        <v>42825</v>
      </c>
    </row>
    <row r="57" spans="1:11">
      <c r="A57" s="9" t="s">
        <v>24</v>
      </c>
      <c r="B57">
        <v>6.54</v>
      </c>
      <c r="C57">
        <v>8</v>
      </c>
      <c r="D57">
        <v>8</v>
      </c>
      <c r="E57">
        <v>8</v>
      </c>
      <c r="F57">
        <v>8</v>
      </c>
      <c r="G57">
        <v>9.08</v>
      </c>
      <c r="H57">
        <v>9.08</v>
      </c>
      <c r="I57">
        <v>9.08</v>
      </c>
      <c r="J57">
        <v>9.08</v>
      </c>
      <c r="K57">
        <v>9.08</v>
      </c>
    </row>
    <row r="58" spans="1:11">
      <c r="A58" s="9" t="s">
        <v>25</v>
      </c>
      <c r="B58">
        <v>62.72</v>
      </c>
      <c r="C58">
        <v>60.1</v>
      </c>
      <c r="D58">
        <v>58.9</v>
      </c>
      <c r="E58">
        <v>61.52</v>
      </c>
      <c r="F58">
        <v>85.61</v>
      </c>
      <c r="G58">
        <v>116.02</v>
      </c>
      <c r="H58">
        <v>170.49</v>
      </c>
      <c r="I58">
        <v>256.20999999999998</v>
      </c>
      <c r="J58">
        <v>413.71</v>
      </c>
      <c r="K58">
        <v>631.38</v>
      </c>
    </row>
    <row r="59" spans="1:11">
      <c r="A59" s="9" t="s">
        <v>62</v>
      </c>
      <c r="B59">
        <v>40.659999999999997</v>
      </c>
      <c r="C59">
        <v>38.020000000000003</v>
      </c>
      <c r="D59">
        <v>34.130000000000003</v>
      </c>
      <c r="E59">
        <v>54.46</v>
      </c>
      <c r="F59">
        <v>49.57</v>
      </c>
      <c r="G59">
        <v>61.08</v>
      </c>
      <c r="H59">
        <v>56.12</v>
      </c>
      <c r="I59">
        <v>58.4</v>
      </c>
      <c r="J59">
        <v>10.71</v>
      </c>
      <c r="K59">
        <v>19.43</v>
      </c>
    </row>
    <row r="60" spans="1:11">
      <c r="A60" s="9" t="s">
        <v>63</v>
      </c>
      <c r="B60">
        <v>9.67</v>
      </c>
      <c r="C60">
        <v>11.99</v>
      </c>
      <c r="D60">
        <v>13.64</v>
      </c>
      <c r="E60">
        <v>28.32</v>
      </c>
      <c r="F60">
        <v>40.04</v>
      </c>
      <c r="G60">
        <v>62.7</v>
      </c>
      <c r="H60">
        <v>163.72</v>
      </c>
      <c r="I60">
        <v>154.1</v>
      </c>
      <c r="J60">
        <v>189.1</v>
      </c>
      <c r="K60">
        <v>396.58</v>
      </c>
    </row>
    <row r="61" spans="1:11" s="1" customFormat="1">
      <c r="A61" s="1" t="s">
        <v>26</v>
      </c>
      <c r="B61">
        <v>119.59</v>
      </c>
      <c r="C61">
        <v>118.11</v>
      </c>
      <c r="D61">
        <v>114.67</v>
      </c>
      <c r="E61">
        <v>152.30000000000001</v>
      </c>
      <c r="F61">
        <v>183.22</v>
      </c>
      <c r="G61">
        <v>248.88</v>
      </c>
      <c r="H61">
        <v>399.41</v>
      </c>
      <c r="I61">
        <v>477.79</v>
      </c>
      <c r="J61">
        <v>622.6</v>
      </c>
      <c r="K61">
        <v>1056.47</v>
      </c>
    </row>
    <row r="62" spans="1:11">
      <c r="A62" s="9" t="s">
        <v>27</v>
      </c>
      <c r="B62">
        <v>33.43</v>
      </c>
      <c r="C62">
        <v>30.05</v>
      </c>
      <c r="D62">
        <v>27.86</v>
      </c>
      <c r="E62">
        <v>26.78</v>
      </c>
      <c r="F62">
        <v>43.09</v>
      </c>
      <c r="G62">
        <v>50.85</v>
      </c>
      <c r="H62">
        <v>77.510000000000005</v>
      </c>
      <c r="I62">
        <v>89.57</v>
      </c>
      <c r="J62">
        <v>103.99</v>
      </c>
      <c r="K62">
        <v>160.47</v>
      </c>
    </row>
    <row r="63" spans="1:11">
      <c r="A63" s="9" t="s">
        <v>28</v>
      </c>
      <c r="B63">
        <v>0.14000000000000001</v>
      </c>
      <c r="E63">
        <v>11.12</v>
      </c>
      <c r="F63">
        <v>1.67</v>
      </c>
      <c r="G63">
        <v>1.59</v>
      </c>
      <c r="H63">
        <v>4.8099999999999996</v>
      </c>
      <c r="J63">
        <v>41.62</v>
      </c>
      <c r="K63">
        <v>78.47</v>
      </c>
    </row>
    <row r="64" spans="1:11">
      <c r="A64" s="9" t="s">
        <v>29</v>
      </c>
      <c r="B64">
        <v>27.83</v>
      </c>
      <c r="C64">
        <v>27.5</v>
      </c>
      <c r="D64">
        <v>31.33</v>
      </c>
      <c r="E64">
        <v>34.49</v>
      </c>
      <c r="F64">
        <v>44.77</v>
      </c>
      <c r="G64">
        <v>34.869999999999997</v>
      </c>
      <c r="H64">
        <v>40.31</v>
      </c>
      <c r="I64">
        <v>111.09</v>
      </c>
      <c r="J64">
        <v>33.15</v>
      </c>
      <c r="K64">
        <v>357.51</v>
      </c>
    </row>
    <row r="65" spans="1:11">
      <c r="A65" s="9" t="s">
        <v>64</v>
      </c>
      <c r="B65">
        <v>58.19</v>
      </c>
      <c r="C65">
        <v>60.56</v>
      </c>
      <c r="D65">
        <v>55.48</v>
      </c>
      <c r="E65">
        <v>79.91</v>
      </c>
      <c r="F65">
        <v>93.69</v>
      </c>
      <c r="G65">
        <v>161.57</v>
      </c>
      <c r="H65">
        <v>276.77999999999997</v>
      </c>
      <c r="I65">
        <v>277.13</v>
      </c>
      <c r="J65">
        <v>443.84</v>
      </c>
      <c r="K65">
        <v>460.02</v>
      </c>
    </row>
    <row r="66" spans="1:11" s="1" customFormat="1">
      <c r="A66" s="1" t="s">
        <v>26</v>
      </c>
      <c r="B66">
        <v>119.59</v>
      </c>
      <c r="C66">
        <v>118.11</v>
      </c>
      <c r="D66">
        <v>114.67</v>
      </c>
      <c r="E66">
        <v>152.30000000000001</v>
      </c>
      <c r="F66">
        <v>183.22</v>
      </c>
      <c r="G66">
        <v>248.88</v>
      </c>
      <c r="H66">
        <v>399.41</v>
      </c>
      <c r="I66">
        <v>477.79</v>
      </c>
      <c r="J66">
        <v>622.6</v>
      </c>
      <c r="K66">
        <v>1056.47</v>
      </c>
    </row>
    <row r="67" spans="1:11" s="9" customFormat="1">
      <c r="A67" s="9" t="s">
        <v>69</v>
      </c>
      <c r="B67">
        <v>13.54</v>
      </c>
      <c r="C67">
        <v>15.86</v>
      </c>
      <c r="D67">
        <v>8.93</v>
      </c>
      <c r="E67">
        <v>22.81</v>
      </c>
      <c r="F67">
        <v>15.51</v>
      </c>
      <c r="G67">
        <v>39.729999999999997</v>
      </c>
      <c r="H67">
        <v>45.02</v>
      </c>
      <c r="I67">
        <v>33.56</v>
      </c>
      <c r="J67">
        <v>34.97</v>
      </c>
      <c r="K67">
        <v>23.51</v>
      </c>
    </row>
    <row r="68" spans="1:11">
      <c r="A68" s="9" t="s">
        <v>45</v>
      </c>
      <c r="B68">
        <v>26.7</v>
      </c>
      <c r="C68">
        <v>20.38</v>
      </c>
      <c r="D68">
        <v>27.27</v>
      </c>
      <c r="E68">
        <v>39.049999999999997</v>
      </c>
      <c r="F68">
        <v>42.15</v>
      </c>
      <c r="G68">
        <v>97.16</v>
      </c>
      <c r="H68">
        <v>199.15</v>
      </c>
      <c r="I68">
        <v>222.02</v>
      </c>
      <c r="J68">
        <v>285.55</v>
      </c>
      <c r="K68">
        <v>355.7</v>
      </c>
    </row>
    <row r="69" spans="1:11">
      <c r="A69" s="5" t="s">
        <v>78</v>
      </c>
      <c r="B69">
        <v>3.99</v>
      </c>
      <c r="C69">
        <v>9.01</v>
      </c>
      <c r="D69">
        <v>3.42</v>
      </c>
      <c r="E69">
        <v>4.5599999999999996</v>
      </c>
      <c r="F69">
        <v>22.05</v>
      </c>
      <c r="G69">
        <v>8.59</v>
      </c>
      <c r="H69">
        <v>12.86</v>
      </c>
      <c r="I69">
        <v>6.16</v>
      </c>
      <c r="J69">
        <v>72.569999999999993</v>
      </c>
      <c r="K69">
        <v>45.12</v>
      </c>
    </row>
    <row r="70" spans="1:11">
      <c r="A70" s="5" t="s">
        <v>65</v>
      </c>
      <c r="B70">
        <v>6540000</v>
      </c>
      <c r="C70">
        <v>8000000</v>
      </c>
      <c r="D70">
        <v>8000000</v>
      </c>
      <c r="E70">
        <v>8000000</v>
      </c>
      <c r="F70">
        <v>8000000</v>
      </c>
      <c r="G70">
        <v>9083042</v>
      </c>
      <c r="H70">
        <v>9083042</v>
      </c>
      <c r="I70">
        <v>9083042</v>
      </c>
      <c r="J70">
        <v>45415210</v>
      </c>
      <c r="K70">
        <v>45415210</v>
      </c>
    </row>
    <row r="71" spans="1:11">
      <c r="A71" s="5" t="s">
        <v>66</v>
      </c>
    </row>
    <row r="72" spans="1:11">
      <c r="A72" s="5" t="s">
        <v>79</v>
      </c>
      <c r="B72">
        <v>10</v>
      </c>
      <c r="C72">
        <v>10</v>
      </c>
      <c r="D72">
        <v>10</v>
      </c>
      <c r="E72">
        <v>10</v>
      </c>
      <c r="F72">
        <v>10</v>
      </c>
      <c r="G72">
        <v>10</v>
      </c>
      <c r="H72">
        <v>10</v>
      </c>
      <c r="I72">
        <v>10</v>
      </c>
      <c r="J72">
        <v>2</v>
      </c>
      <c r="K72">
        <v>2</v>
      </c>
    </row>
    <row r="74" spans="1:11">
      <c r="A74" s="9"/>
    </row>
    <row r="75" spans="1:11">
      <c r="A75" s="9"/>
    </row>
    <row r="76" spans="1:11">
      <c r="A76" s="9"/>
    </row>
    <row r="77" spans="1:11">
      <c r="A77" s="9"/>
    </row>
    <row r="78" spans="1:11">
      <c r="A78" s="9"/>
    </row>
    <row r="79" spans="1:11">
      <c r="A79" s="9"/>
    </row>
    <row r="80" spans="1:11">
      <c r="A80" s="1" t="s">
        <v>41</v>
      </c>
    </row>
    <row r="81" spans="1:11" s="24" customFormat="1">
      <c r="A81" s="23" t="s">
        <v>38</v>
      </c>
      <c r="B81" s="16">
        <v>39538</v>
      </c>
      <c r="C81" s="16">
        <v>39903</v>
      </c>
      <c r="D81" s="16">
        <v>40268</v>
      </c>
      <c r="E81" s="16">
        <v>40633</v>
      </c>
      <c r="F81" s="16">
        <v>40999</v>
      </c>
      <c r="G81" s="16">
        <v>41364</v>
      </c>
      <c r="H81" s="16">
        <v>41729</v>
      </c>
      <c r="I81" s="16">
        <v>42094</v>
      </c>
      <c r="J81" s="16">
        <v>42460</v>
      </c>
      <c r="K81" s="16">
        <v>42825</v>
      </c>
    </row>
    <row r="82" spans="1:11" s="1" customFormat="1">
      <c r="A82" s="9" t="s">
        <v>32</v>
      </c>
      <c r="B82">
        <v>17.190000000000001</v>
      </c>
      <c r="C82">
        <v>9.34</v>
      </c>
      <c r="D82">
        <v>3.92</v>
      </c>
      <c r="E82">
        <v>-7.72</v>
      </c>
      <c r="F82">
        <v>50.38</v>
      </c>
      <c r="G82">
        <v>-20.55</v>
      </c>
      <c r="H82">
        <v>55.56</v>
      </c>
      <c r="I82">
        <v>89.34</v>
      </c>
      <c r="J82">
        <v>122</v>
      </c>
      <c r="K82">
        <v>291.69</v>
      </c>
    </row>
    <row r="83" spans="1:11" s="9" customFormat="1">
      <c r="A83" s="9" t="s">
        <v>33</v>
      </c>
      <c r="B83">
        <v>0.47</v>
      </c>
      <c r="C83">
        <v>0.65</v>
      </c>
      <c r="D83">
        <v>-2.19</v>
      </c>
      <c r="E83">
        <v>-17.600000000000001</v>
      </c>
      <c r="F83">
        <v>-17.440000000000001</v>
      </c>
      <c r="G83">
        <v>5.43</v>
      </c>
      <c r="H83">
        <v>-39.1</v>
      </c>
      <c r="I83">
        <v>-83.52</v>
      </c>
      <c r="J83">
        <v>18.13</v>
      </c>
      <c r="K83">
        <v>-428.3</v>
      </c>
    </row>
    <row r="84" spans="1:11" s="9" customFormat="1">
      <c r="A84" s="9" t="s">
        <v>34</v>
      </c>
      <c r="B84">
        <v>-21.08</v>
      </c>
      <c r="C84">
        <v>-4.97</v>
      </c>
      <c r="D84">
        <v>-7.32</v>
      </c>
      <c r="E84">
        <v>19.010000000000002</v>
      </c>
      <c r="F84">
        <v>-14.09</v>
      </c>
      <c r="G84">
        <v>0.81</v>
      </c>
      <c r="H84">
        <v>-12.74</v>
      </c>
      <c r="I84">
        <v>-11.97</v>
      </c>
      <c r="J84">
        <v>-74.260000000000005</v>
      </c>
      <c r="K84">
        <v>107.11</v>
      </c>
    </row>
    <row r="85" spans="1:11" s="1" customFormat="1">
      <c r="A85" s="9" t="s">
        <v>35</v>
      </c>
      <c r="B85">
        <v>-3.42</v>
      </c>
      <c r="C85">
        <v>5.0199999999999996</v>
      </c>
      <c r="D85">
        <v>-5.59</v>
      </c>
      <c r="E85">
        <v>-6.31</v>
      </c>
      <c r="F85">
        <v>18.850000000000001</v>
      </c>
      <c r="G85">
        <v>-14.31</v>
      </c>
      <c r="H85">
        <v>3.72</v>
      </c>
      <c r="I85">
        <v>-6.15</v>
      </c>
      <c r="J85">
        <v>65.86</v>
      </c>
      <c r="K85">
        <v>-29.5</v>
      </c>
    </row>
    <row r="86" spans="1:11">
      <c r="A86" s="9"/>
    </row>
    <row r="87" spans="1:11">
      <c r="A87" s="9"/>
    </row>
    <row r="88" spans="1:11">
      <c r="A88" s="9"/>
    </row>
    <row r="89" spans="1:11">
      <c r="A89" s="9"/>
    </row>
    <row r="90" spans="1:11" s="1" customFormat="1">
      <c r="A90" s="1" t="s">
        <v>68</v>
      </c>
      <c r="B90">
        <v>6.3</v>
      </c>
      <c r="C90">
        <v>3.28</v>
      </c>
      <c r="D90">
        <v>4.8600000000000003</v>
      </c>
      <c r="E90">
        <v>7.92</v>
      </c>
      <c r="F90">
        <v>20.079999999999998</v>
      </c>
      <c r="G90">
        <v>20.92</v>
      </c>
      <c r="H90">
        <v>119.13</v>
      </c>
      <c r="I90">
        <v>328.29</v>
      </c>
      <c r="J90">
        <v>434.83</v>
      </c>
      <c r="K90">
        <v>852.61</v>
      </c>
    </row>
    <row r="92" spans="1:11" s="1" customFormat="1">
      <c r="A92" s="1" t="s">
        <v>67</v>
      </c>
    </row>
    <row r="93" spans="1:11">
      <c r="A93" s="5" t="s">
        <v>80</v>
      </c>
      <c r="B93" s="27">
        <f>IF($B7&gt;0,(B70*B72/$B7)+SUM(C71:$K71),0)/10000000</f>
        <v>3.27</v>
      </c>
      <c r="C93" s="27">
        <f>IF($B7&gt;0,(C70*C72/$B7)+SUM(D71:$K71),0)/10000000</f>
        <v>4</v>
      </c>
      <c r="D93" s="27">
        <f>IF($B7&gt;0,(D70*D72/$B7)+SUM(E71:$K71),0)/10000000</f>
        <v>4</v>
      </c>
      <c r="E93" s="27">
        <f>IF($B7&gt;0,(E70*E72/$B7)+SUM(F71:$K71),0)/10000000</f>
        <v>4</v>
      </c>
      <c r="F93" s="27">
        <f>IF($B7&gt;0,(F70*F72/$B7)+SUM(G71:$K71),0)/10000000</f>
        <v>4</v>
      </c>
      <c r="G93" s="27">
        <f>IF($B7&gt;0,(G70*G72/$B7)+SUM(H71:$K71),0)/10000000</f>
        <v>4.5415210000000004</v>
      </c>
      <c r="H93" s="27">
        <f>IF($B7&gt;0,(H70*H72/$B7)+SUM(I71:$K71),0)/10000000</f>
        <v>4.5415210000000004</v>
      </c>
      <c r="I93" s="27">
        <f>IF($B7&gt;0,(I70*I72/$B7)+SUM(J71:$K71),0)/10000000</f>
        <v>4.5415210000000004</v>
      </c>
      <c r="J93" s="27">
        <f>IF($B7&gt;0,(J70*J72/$B7)+SUM(K71:$K71),0)/10000000</f>
        <v>4.5415210000000004</v>
      </c>
      <c r="K93" s="27">
        <f>IF($B7&gt;0,(K70*K72/$B7),0)/10000000</f>
        <v>4.5415210000000004</v>
      </c>
    </row>
  </sheetData>
  <mergeCells count="2">
    <mergeCell ref="E1:K1"/>
    <mergeCell ref="E2:K2"/>
  </mergeCells>
  <conditionalFormatting sqref="E1:K1">
    <cfRule type="cellIs" dxfId="0" priority="1" operator="notEqual">
      <formula>""</formula>
    </cfRule>
  </conditionalFormatting>
  <hyperlinks>
    <hyperlink ref="E1:K1" r:id="rId1" display="https://www.screener.in/excel/"/>
  </hyperlink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topLeftCell="A10" workbookViewId="0">
      <selection activeCell="Q44" sqref="Q44"/>
    </sheetView>
  </sheetViews>
  <sheetFormatPr baseColWidth="10" defaultColWidth="8.83203125" defaultRowHeight="14" x14ac:dyDescent="0"/>
  <cols>
    <col min="1" max="1" width="28" style="73" customWidth="1"/>
    <col min="2" max="2" width="9.6640625" style="73" customWidth="1"/>
    <col min="3" max="3" width="10.33203125" style="73" customWidth="1"/>
    <col min="4" max="11" width="8.83203125" style="73"/>
    <col min="12" max="12" width="9.1640625" style="73" customWidth="1"/>
    <col min="13" max="16384" width="8.83203125" style="73"/>
  </cols>
  <sheetData>
    <row r="1" spans="1:13" s="30" customFormat="1">
      <c r="A1" s="28" t="str">
        <f>'Data Sheet'!B1</f>
        <v>AVANTI FEEDS LTD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3">
      <c r="A2" s="16" t="str">
        <f>A1</f>
        <v>AVANTI FEEDS LTD</v>
      </c>
      <c r="B2" s="16">
        <f>'Data Sheet'!B16</f>
        <v>39538</v>
      </c>
      <c r="C2" s="16">
        <f>'Data Sheet'!C16</f>
        <v>39903</v>
      </c>
      <c r="D2" s="16">
        <f>'Data Sheet'!D16</f>
        <v>40268</v>
      </c>
      <c r="E2" s="16">
        <f>'Data Sheet'!E16</f>
        <v>40633</v>
      </c>
      <c r="F2" s="16">
        <f>'Data Sheet'!F16</f>
        <v>40999</v>
      </c>
      <c r="G2" s="16">
        <f>'Data Sheet'!G16</f>
        <v>41364</v>
      </c>
      <c r="H2" s="16">
        <f>'Data Sheet'!H16</f>
        <v>41729</v>
      </c>
      <c r="I2" s="16">
        <f>'Data Sheet'!I16</f>
        <v>42094</v>
      </c>
      <c r="J2" s="16">
        <f>'Data Sheet'!J16</f>
        <v>42460</v>
      </c>
      <c r="K2" s="16">
        <f>'Data Sheet'!K16</f>
        <v>42825</v>
      </c>
      <c r="L2" s="16" t="s">
        <v>242</v>
      </c>
    </row>
    <row r="3" spans="1:13">
      <c r="A3" s="74" t="s">
        <v>148</v>
      </c>
      <c r="B3" s="74">
        <f>'Data Sheet'!B17-'Data Sheet'!B18</f>
        <v>24.310000000000002</v>
      </c>
      <c r="C3" s="74">
        <f>'Data Sheet'!C17-'Data Sheet'!C18</f>
        <v>19.350000000000001</v>
      </c>
      <c r="D3" s="74">
        <f>'Data Sheet'!D17-'Data Sheet'!D18</f>
        <v>14</v>
      </c>
      <c r="E3" s="74">
        <f>'Data Sheet'!E17-'Data Sheet'!E18</f>
        <v>36.139999999999986</v>
      </c>
      <c r="F3" s="74">
        <f>'Data Sheet'!F17-'Data Sheet'!F18</f>
        <v>118.48000000000002</v>
      </c>
      <c r="G3" s="74">
        <f>'Data Sheet'!G17-'Data Sheet'!G18</f>
        <v>131.70999999999992</v>
      </c>
      <c r="H3" s="74">
        <f>'Data Sheet'!H17-'Data Sheet'!H18</f>
        <v>249.20999999999992</v>
      </c>
      <c r="I3" s="74">
        <f>'Data Sheet'!I17-'Data Sheet'!I18</f>
        <v>397.60000000000014</v>
      </c>
      <c r="J3" s="74">
        <f>'Data Sheet'!J17-'Data Sheet'!J18</f>
        <v>475.31999999999994</v>
      </c>
      <c r="K3" s="74">
        <f>'Data Sheet'!K17-'Data Sheet'!K18</f>
        <v>632.11999999999989</v>
      </c>
      <c r="L3" s="74"/>
    </row>
    <row r="4" spans="1:13">
      <c r="A4" s="74" t="s">
        <v>86</v>
      </c>
      <c r="B4" s="74">
        <f>'Data Sheet'!B28+'Data Sheet'!B27</f>
        <v>6.32</v>
      </c>
      <c r="C4" s="74">
        <f>'Data Sheet'!C28+'Data Sheet'!C27</f>
        <v>-2.84</v>
      </c>
      <c r="D4" s="74">
        <f>'Data Sheet'!D28+'Data Sheet'!D27</f>
        <v>0.83999999999999986</v>
      </c>
      <c r="E4" s="74">
        <f>'Data Sheet'!E28+'Data Sheet'!E27</f>
        <v>9.89</v>
      </c>
      <c r="F4" s="74">
        <f>'Data Sheet'!F28+'Data Sheet'!F27</f>
        <v>44.08</v>
      </c>
      <c r="G4" s="74">
        <f>'Data Sheet'!G28+'Data Sheet'!G27</f>
        <v>48.06</v>
      </c>
      <c r="H4" s="74">
        <f>'Data Sheet'!H28+'Data Sheet'!H27</f>
        <v>109.56</v>
      </c>
      <c r="I4" s="74">
        <f>'Data Sheet'!I28+'Data Sheet'!I27</f>
        <v>182.51</v>
      </c>
      <c r="J4" s="74">
        <f>'Data Sheet'!J28+'Data Sheet'!J27</f>
        <v>241.56</v>
      </c>
      <c r="K4" s="74">
        <f>'Data Sheet'!K28+'Data Sheet'!K27</f>
        <v>340.03000000000003</v>
      </c>
      <c r="L4" s="74">
        <f>'Profit &amp; Loss'!L17</f>
        <v>488.08000000000004</v>
      </c>
    </row>
    <row r="5" spans="1:13">
      <c r="A5" s="74" t="s">
        <v>149</v>
      </c>
      <c r="B5" s="74">
        <f>'Calculated Data'!B4+'Data Sheet'!B26</f>
        <v>10.199999999999999</v>
      </c>
      <c r="C5" s="74">
        <f>'Calculated Data'!C4+'Data Sheet'!C26</f>
        <v>0.5</v>
      </c>
      <c r="D5" s="74">
        <f>'Calculated Data'!D4+'Data Sheet'!D26</f>
        <v>3.6199999999999997</v>
      </c>
      <c r="E5" s="74">
        <f>'Calculated Data'!E4+'Data Sheet'!E26</f>
        <v>12.790000000000001</v>
      </c>
      <c r="F5" s="74">
        <f>'Calculated Data'!F4+'Data Sheet'!F26</f>
        <v>48.08</v>
      </c>
      <c r="G5" s="74">
        <f>'Calculated Data'!G4+'Data Sheet'!G26</f>
        <v>53.040000000000006</v>
      </c>
      <c r="H5" s="74">
        <f>'Calculated Data'!H4+'Data Sheet'!H26</f>
        <v>115.10000000000001</v>
      </c>
      <c r="I5" s="74">
        <f>'Calculated Data'!I4+'Data Sheet'!I26</f>
        <v>191.31</v>
      </c>
      <c r="J5" s="74">
        <f>'Calculated Data'!J4+'Data Sheet'!J26</f>
        <v>251.79</v>
      </c>
      <c r="K5" s="74">
        <f>'Calculated Data'!K4+'Data Sheet'!K26</f>
        <v>353.72</v>
      </c>
      <c r="L5" s="74">
        <f>'Profit &amp; Loss'!L18</f>
        <v>503.13000000000005</v>
      </c>
    </row>
    <row r="6" spans="1:13">
      <c r="A6" s="74" t="s">
        <v>170</v>
      </c>
      <c r="B6" s="74">
        <f>B5-'Data Sheet'!B25</f>
        <v>1.4399999999999995</v>
      </c>
      <c r="C6" s="74">
        <f>C5-'Data Sheet'!C25</f>
        <v>-3.7699999999999996</v>
      </c>
      <c r="D6" s="74">
        <f>D5-'Data Sheet'!D25</f>
        <v>-7.07</v>
      </c>
      <c r="E6" s="74">
        <f>E5-'Data Sheet'!E25</f>
        <v>8.6500000000000021</v>
      </c>
      <c r="F6" s="74">
        <f>F5-'Data Sheet'!F25</f>
        <v>44.73</v>
      </c>
      <c r="G6" s="74">
        <f>G5-'Data Sheet'!G25</f>
        <v>50.460000000000008</v>
      </c>
      <c r="H6" s="74">
        <f>H5-'Data Sheet'!H25</f>
        <v>111.42</v>
      </c>
      <c r="I6" s="74">
        <f>I5-'Data Sheet'!I25</f>
        <v>182.29</v>
      </c>
      <c r="J6" s="74">
        <f>J5-'Data Sheet'!J25</f>
        <v>230.29999999999998</v>
      </c>
      <c r="K6" s="74">
        <f>K5-'Data Sheet'!K25</f>
        <v>331.85</v>
      </c>
      <c r="L6" s="74">
        <f>'Profit &amp; Loss'!L19</f>
        <v>478.37000000000006</v>
      </c>
    </row>
    <row r="7" spans="1:13">
      <c r="A7" s="82" t="s">
        <v>82</v>
      </c>
      <c r="B7" s="83">
        <f>'Data Sheet'!B30</f>
        <v>0.89</v>
      </c>
      <c r="C7" s="83">
        <f>'Data Sheet'!C30</f>
        <v>-7</v>
      </c>
      <c r="D7" s="83">
        <f>'Data Sheet'!D30</f>
        <v>-1.21</v>
      </c>
      <c r="E7" s="83">
        <f>'Data Sheet'!E30</f>
        <v>3.4</v>
      </c>
      <c r="F7" s="83">
        <f>'Data Sheet'!F30</f>
        <v>28.05</v>
      </c>
      <c r="G7" s="83">
        <f>'Data Sheet'!G30</f>
        <v>30.05</v>
      </c>
      <c r="H7" s="83">
        <f>'Data Sheet'!H30</f>
        <v>70.41</v>
      </c>
      <c r="I7" s="83">
        <f>'Data Sheet'!I30</f>
        <v>115.92</v>
      </c>
      <c r="J7" s="83">
        <f>'Data Sheet'!J30</f>
        <v>157.5</v>
      </c>
      <c r="K7" s="83">
        <f>'Data Sheet'!K30</f>
        <v>214.35</v>
      </c>
      <c r="L7" s="74">
        <f>'Profit &amp; Loss'!L12</f>
        <v>311.16999999999996</v>
      </c>
    </row>
    <row r="8" spans="1:13">
      <c r="A8" s="84" t="s">
        <v>85</v>
      </c>
      <c r="B8" s="84">
        <f>'Data Sheet'!B31</f>
        <v>0.65</v>
      </c>
      <c r="C8" s="84">
        <f>'Data Sheet'!C31</f>
        <v>0</v>
      </c>
      <c r="D8" s="84">
        <f>'Data Sheet'!D31</f>
        <v>0</v>
      </c>
      <c r="E8" s="84">
        <f>'Data Sheet'!E31</f>
        <v>0.8</v>
      </c>
      <c r="F8" s="84">
        <f>'Data Sheet'!F31</f>
        <v>5.9</v>
      </c>
      <c r="G8" s="84">
        <f>'Data Sheet'!G31</f>
        <v>5.9</v>
      </c>
      <c r="H8" s="84">
        <f>'Data Sheet'!H31</f>
        <v>13.62</v>
      </c>
      <c r="I8" s="84">
        <f>'Data Sheet'!I31</f>
        <v>24.98</v>
      </c>
      <c r="J8" s="84">
        <f>'Data Sheet'!J31</f>
        <v>24.98</v>
      </c>
      <c r="K8" s="84">
        <f>'Data Sheet'!K31</f>
        <v>31.79</v>
      </c>
      <c r="L8" s="74"/>
    </row>
    <row r="9" spans="1:13">
      <c r="A9" s="16"/>
      <c r="B9" s="16">
        <f t="shared" ref="B9:K9" si="0">B2</f>
        <v>39538</v>
      </c>
      <c r="C9" s="16">
        <f t="shared" si="0"/>
        <v>39903</v>
      </c>
      <c r="D9" s="16">
        <f t="shared" si="0"/>
        <v>40268</v>
      </c>
      <c r="E9" s="16">
        <f t="shared" si="0"/>
        <v>40633</v>
      </c>
      <c r="F9" s="16">
        <f t="shared" si="0"/>
        <v>40999</v>
      </c>
      <c r="G9" s="16">
        <f t="shared" si="0"/>
        <v>41364</v>
      </c>
      <c r="H9" s="16">
        <f t="shared" si="0"/>
        <v>41729</v>
      </c>
      <c r="I9" s="16">
        <f t="shared" si="0"/>
        <v>42094</v>
      </c>
      <c r="J9" s="16">
        <f t="shared" si="0"/>
        <v>42460</v>
      </c>
      <c r="K9" s="16">
        <f t="shared" si="0"/>
        <v>42825</v>
      </c>
      <c r="L9" s="16" t="s">
        <v>243</v>
      </c>
    </row>
    <row r="10" spans="1:13">
      <c r="A10" s="75" t="s">
        <v>150</v>
      </c>
      <c r="B10" s="74">
        <f>'Data Sheet'!B57+'Data Sheet'!B58</f>
        <v>69.260000000000005</v>
      </c>
      <c r="C10" s="74">
        <f>'Data Sheet'!C57+'Data Sheet'!C58</f>
        <v>68.099999999999994</v>
      </c>
      <c r="D10" s="74">
        <f>'Data Sheet'!D57+'Data Sheet'!D58</f>
        <v>66.900000000000006</v>
      </c>
      <c r="E10" s="74">
        <f>'Data Sheet'!E57+'Data Sheet'!E58</f>
        <v>69.52000000000001</v>
      </c>
      <c r="F10" s="74">
        <f>'Data Sheet'!F57+'Data Sheet'!F58</f>
        <v>93.61</v>
      </c>
      <c r="G10" s="74">
        <f>'Data Sheet'!G57+'Data Sheet'!G58</f>
        <v>125.1</v>
      </c>
      <c r="H10" s="74">
        <f>'Data Sheet'!H57+'Data Sheet'!H58</f>
        <v>179.57000000000002</v>
      </c>
      <c r="I10" s="74">
        <f>'Data Sheet'!I57+'Data Sheet'!I58</f>
        <v>265.28999999999996</v>
      </c>
      <c r="J10" s="74">
        <f>'Data Sheet'!J57+'Data Sheet'!J58</f>
        <v>422.78999999999996</v>
      </c>
      <c r="K10" s="74">
        <f>'Data Sheet'!K57+'Data Sheet'!K58</f>
        <v>640.46</v>
      </c>
      <c r="L10" s="77">
        <f>'Balance Sheet'!L4+'Balance Sheet'!L5</f>
        <v>0</v>
      </c>
    </row>
    <row r="11" spans="1:13">
      <c r="A11" s="74" t="s">
        <v>30</v>
      </c>
      <c r="B11" s="74">
        <f>'Data Sheet'!B65-'Data Sheet'!B60</f>
        <v>48.519999999999996</v>
      </c>
      <c r="C11" s="74">
        <f>'Data Sheet'!C65-'Data Sheet'!C60</f>
        <v>48.57</v>
      </c>
      <c r="D11" s="74">
        <f>'Data Sheet'!D65-'Data Sheet'!D60</f>
        <v>41.839999999999996</v>
      </c>
      <c r="E11" s="74">
        <f>'Data Sheet'!E65-'Data Sheet'!E60</f>
        <v>51.589999999999996</v>
      </c>
      <c r="F11" s="74">
        <f>'Data Sheet'!F65-'Data Sheet'!F60</f>
        <v>53.65</v>
      </c>
      <c r="G11" s="74">
        <f>'Data Sheet'!G65-'Data Sheet'!G60</f>
        <v>98.86999999999999</v>
      </c>
      <c r="H11" s="74">
        <f>'Data Sheet'!H65-'Data Sheet'!H60</f>
        <v>113.05999999999997</v>
      </c>
      <c r="I11" s="74">
        <f>'Data Sheet'!I65-'Data Sheet'!I60</f>
        <v>123.03</v>
      </c>
      <c r="J11" s="74">
        <f>'Data Sheet'!J65-'Data Sheet'!J60</f>
        <v>254.73999999999998</v>
      </c>
      <c r="K11" s="74">
        <f>'Data Sheet'!K65-'Data Sheet'!K60</f>
        <v>63.44</v>
      </c>
      <c r="L11" s="77">
        <f>'Balance Sheet'!L16</f>
        <v>0</v>
      </c>
    </row>
    <row r="12" spans="1:13">
      <c r="A12" s="74" t="s">
        <v>336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7"/>
      <c r="M12" s="73" t="s">
        <v>338</v>
      </c>
    </row>
    <row r="13" spans="1:13">
      <c r="A13" s="74" t="s">
        <v>151</v>
      </c>
      <c r="B13" s="74">
        <f>'Data Sheet'!B62+'Data Sheet'!B63+'Calculated Data'!B11</f>
        <v>82.09</v>
      </c>
      <c r="C13" s="74">
        <f>'Data Sheet'!C62+'Data Sheet'!C63+'Calculated Data'!C11</f>
        <v>78.62</v>
      </c>
      <c r="D13" s="74">
        <f>'Data Sheet'!D62+'Data Sheet'!D63+'Calculated Data'!D11</f>
        <v>69.699999999999989</v>
      </c>
      <c r="E13" s="74">
        <f>'Data Sheet'!E62+'Data Sheet'!E63+'Calculated Data'!E11</f>
        <v>89.49</v>
      </c>
      <c r="F13" s="74">
        <f>'Data Sheet'!F62+'Data Sheet'!F63+'Calculated Data'!F11</f>
        <v>98.41</v>
      </c>
      <c r="G13" s="74">
        <f>'Data Sheet'!G62+'Data Sheet'!G63+'Calculated Data'!G11</f>
        <v>151.31</v>
      </c>
      <c r="H13" s="74">
        <f>'Data Sheet'!H62+'Data Sheet'!H63+'Calculated Data'!H11</f>
        <v>195.38</v>
      </c>
      <c r="I13" s="74">
        <f>'Data Sheet'!I62+'Data Sheet'!I63+'Calculated Data'!I11</f>
        <v>212.6</v>
      </c>
      <c r="J13" s="74">
        <f>'Data Sheet'!J62+'Data Sheet'!J63+'Calculated Data'!J11</f>
        <v>400.34999999999997</v>
      </c>
      <c r="K13" s="74">
        <f>'Data Sheet'!K62+'Data Sheet'!K63+'Calculated Data'!K11</f>
        <v>302.38</v>
      </c>
      <c r="L13" s="77">
        <f>'Balance Sheet'!L10+'Balance Sheet'!L11+'Balance Sheet'!L16</f>
        <v>0</v>
      </c>
    </row>
    <row r="14" spans="1:13">
      <c r="A14" s="74" t="s">
        <v>152</v>
      </c>
      <c r="B14" s="74">
        <f>B10+'Data Sheet'!B59</f>
        <v>109.92</v>
      </c>
      <c r="C14" s="74">
        <f>C10+'Data Sheet'!C59</f>
        <v>106.12</v>
      </c>
      <c r="D14" s="74">
        <f>D10+'Data Sheet'!D59</f>
        <v>101.03</v>
      </c>
      <c r="E14" s="74">
        <f>E10+'Data Sheet'!E59</f>
        <v>123.98000000000002</v>
      </c>
      <c r="F14" s="74">
        <f>F10+'Data Sheet'!F59</f>
        <v>143.18</v>
      </c>
      <c r="G14" s="74">
        <f>G10+'Data Sheet'!G59</f>
        <v>186.18</v>
      </c>
      <c r="H14" s="74">
        <f>H10+'Data Sheet'!H59</f>
        <v>235.69000000000003</v>
      </c>
      <c r="I14" s="74">
        <f>I10+'Data Sheet'!I59</f>
        <v>323.68999999999994</v>
      </c>
      <c r="J14" s="74">
        <f>J10+'Data Sheet'!J59</f>
        <v>433.49999999999994</v>
      </c>
      <c r="K14" s="74">
        <f>K10+'Data Sheet'!K59</f>
        <v>659.89</v>
      </c>
      <c r="L14" s="74"/>
    </row>
    <row r="15" spans="1:13">
      <c r="A15" s="74" t="s">
        <v>81</v>
      </c>
      <c r="B15" s="76">
        <f>'Data Sheet'!B61</f>
        <v>119.59</v>
      </c>
      <c r="C15" s="76">
        <f>'Data Sheet'!C61</f>
        <v>118.11</v>
      </c>
      <c r="D15" s="76">
        <f>'Data Sheet'!D61</f>
        <v>114.67</v>
      </c>
      <c r="E15" s="76">
        <f>'Data Sheet'!E61</f>
        <v>152.30000000000001</v>
      </c>
      <c r="F15" s="76">
        <f>'Data Sheet'!F61</f>
        <v>183.22</v>
      </c>
      <c r="G15" s="76">
        <f>'Data Sheet'!G61</f>
        <v>248.88</v>
      </c>
      <c r="H15" s="76">
        <f>'Data Sheet'!H61</f>
        <v>399.41</v>
      </c>
      <c r="I15" s="76">
        <f>'Data Sheet'!I61</f>
        <v>477.79</v>
      </c>
      <c r="J15" s="76">
        <f>'Data Sheet'!J61</f>
        <v>622.6</v>
      </c>
      <c r="K15" s="154">
        <f>'Data Sheet'!K61</f>
        <v>1056.47</v>
      </c>
      <c r="L15" s="77">
        <f>'Balance Sheet'!L8</f>
        <v>0</v>
      </c>
    </row>
    <row r="16" spans="1:13">
      <c r="A16" s="16"/>
      <c r="B16" s="16">
        <f t="shared" ref="B16:K16" si="1">B2</f>
        <v>39538</v>
      </c>
      <c r="C16" s="16">
        <f t="shared" si="1"/>
        <v>39903</v>
      </c>
      <c r="D16" s="16">
        <f t="shared" si="1"/>
        <v>40268</v>
      </c>
      <c r="E16" s="16">
        <f t="shared" si="1"/>
        <v>40633</v>
      </c>
      <c r="F16" s="16">
        <f t="shared" si="1"/>
        <v>40999</v>
      </c>
      <c r="G16" s="16">
        <f t="shared" si="1"/>
        <v>41364</v>
      </c>
      <c r="H16" s="16">
        <f t="shared" si="1"/>
        <v>41729</v>
      </c>
      <c r="I16" s="16">
        <f t="shared" si="1"/>
        <v>42094</v>
      </c>
      <c r="J16" s="16">
        <f t="shared" si="1"/>
        <v>42460</v>
      </c>
      <c r="K16" s="16">
        <f t="shared" si="1"/>
        <v>42825</v>
      </c>
      <c r="L16" s="16"/>
    </row>
    <row r="17" spans="1:14">
      <c r="A17" s="75" t="s">
        <v>153</v>
      </c>
      <c r="B17" s="74">
        <f>'Data Sheet'!B82</f>
        <v>17.190000000000001</v>
      </c>
      <c r="C17" s="74">
        <f>'Data Sheet'!C82</f>
        <v>9.34</v>
      </c>
      <c r="D17" s="74">
        <f>'Data Sheet'!D82</f>
        <v>3.92</v>
      </c>
      <c r="E17" s="74">
        <f>'Data Sheet'!E82</f>
        <v>-7.72</v>
      </c>
      <c r="F17" s="74">
        <f>'Data Sheet'!F82</f>
        <v>50.38</v>
      </c>
      <c r="G17" s="74">
        <f>'Data Sheet'!G82</f>
        <v>-20.55</v>
      </c>
      <c r="H17" s="74">
        <f>'Data Sheet'!H82</f>
        <v>55.56</v>
      </c>
      <c r="I17" s="74">
        <f>'Data Sheet'!I82</f>
        <v>89.34</v>
      </c>
      <c r="J17" s="74">
        <f>'Data Sheet'!J82</f>
        <v>122</v>
      </c>
      <c r="K17" s="155">
        <f>'Data Sheet'!K82</f>
        <v>291.69</v>
      </c>
      <c r="L17" s="74"/>
    </row>
    <row r="18" spans="1:14">
      <c r="A18" s="75" t="s">
        <v>147</v>
      </c>
      <c r="B18" s="74"/>
      <c r="C18" s="74">
        <f>('Data Sheet'!C62-'Data Sheet'!B62)+('Data Sheet'!C63-'Data Sheet'!B63)+'Data Sheet'!C26</f>
        <v>-0.17999999999999927</v>
      </c>
      <c r="D18" s="74">
        <f>('Data Sheet'!D62-'Data Sheet'!C62)+('Data Sheet'!D63-'Data Sheet'!C63)+'Data Sheet'!D26</f>
        <v>0.58999999999999853</v>
      </c>
      <c r="E18" s="74">
        <f>('Data Sheet'!E62-'Data Sheet'!D62)+('Data Sheet'!E63-'Data Sheet'!D63)+'Data Sheet'!E26</f>
        <v>12.940000000000001</v>
      </c>
      <c r="F18" s="74">
        <f>('Data Sheet'!F62-'Data Sheet'!E62)+('Data Sheet'!F63-'Data Sheet'!E63)+'Data Sheet'!F26</f>
        <v>10.860000000000003</v>
      </c>
      <c r="G18" s="74">
        <f>('Data Sheet'!G62-'Data Sheet'!F62)+('Data Sheet'!G63-'Data Sheet'!F63)+'Data Sheet'!G26</f>
        <v>12.659999999999998</v>
      </c>
      <c r="H18" s="74">
        <f>('Data Sheet'!H62-'Data Sheet'!G62)+('Data Sheet'!H63-'Data Sheet'!G63)+'Data Sheet'!H26</f>
        <v>35.42</v>
      </c>
      <c r="I18" s="74">
        <f>('Data Sheet'!I62-'Data Sheet'!H62)+('Data Sheet'!I63-'Data Sheet'!H63)+'Data Sheet'!I26</f>
        <v>16.04999999999999</v>
      </c>
      <c r="J18" s="74">
        <f>('Data Sheet'!J62-'Data Sheet'!I62)+('Data Sheet'!J63-'Data Sheet'!I63)+'Data Sheet'!J26</f>
        <v>66.27</v>
      </c>
      <c r="K18" s="155">
        <f>('Data Sheet'!K62-'Data Sheet'!J62)+('Data Sheet'!K63-'Data Sheet'!J63)+'Data Sheet'!K26</f>
        <v>107.02000000000001</v>
      </c>
      <c r="L18" s="74"/>
      <c r="M18" s="73" t="s">
        <v>175</v>
      </c>
      <c r="N18" s="73" t="s">
        <v>176</v>
      </c>
    </row>
    <row r="19" spans="1:14">
      <c r="A19" s="75" t="s">
        <v>83</v>
      </c>
      <c r="B19" s="77"/>
      <c r="C19" s="77">
        <f>C17-C18</f>
        <v>9.52</v>
      </c>
      <c r="D19" s="77">
        <f t="shared" ref="D19:K19" si="2">D17-D18</f>
        <v>3.3300000000000014</v>
      </c>
      <c r="E19" s="77">
        <f t="shared" si="2"/>
        <v>-20.66</v>
      </c>
      <c r="F19" s="77">
        <f t="shared" si="2"/>
        <v>39.519999999999996</v>
      </c>
      <c r="G19" s="77">
        <f t="shared" si="2"/>
        <v>-33.21</v>
      </c>
      <c r="H19" s="77">
        <f t="shared" si="2"/>
        <v>20.14</v>
      </c>
      <c r="I19" s="77">
        <f t="shared" si="2"/>
        <v>73.29000000000002</v>
      </c>
      <c r="J19" s="77">
        <f t="shared" si="2"/>
        <v>55.730000000000004</v>
      </c>
      <c r="K19" s="156">
        <f t="shared" si="2"/>
        <v>184.67</v>
      </c>
      <c r="L19" s="74"/>
    </row>
    <row r="20" spans="1:14">
      <c r="A20" s="75" t="s">
        <v>254</v>
      </c>
      <c r="B20" s="151">
        <f>Customization!B53</f>
        <v>1.2850129945134276E-2</v>
      </c>
      <c r="C20" s="151">
        <f>Customization!C53</f>
        <v>-0.10279001468428781</v>
      </c>
      <c r="D20" s="151">
        <f>Customization!D53</f>
        <v>-1.8086696562032885E-2</v>
      </c>
      <c r="E20" s="151">
        <f>Customization!E53</f>
        <v>4.8906789413118518E-2</v>
      </c>
      <c r="F20" s="151">
        <f>Customization!F53</f>
        <v>0.29964747356051713</v>
      </c>
      <c r="G20" s="151">
        <f>Customization!G53</f>
        <v>0.2402078337330136</v>
      </c>
      <c r="H20" s="151">
        <f>Customization!H53</f>
        <v>0.39210335802194124</v>
      </c>
      <c r="I20" s="151">
        <f>Customization!I53</f>
        <v>0.43695578423611903</v>
      </c>
      <c r="J20" s="151">
        <f>Customization!J53</f>
        <v>0.37252536720357632</v>
      </c>
      <c r="K20" s="157">
        <f>Customization!K53</f>
        <v>0.33468132279923801</v>
      </c>
      <c r="L20" s="74"/>
    </row>
    <row r="21" spans="1:14">
      <c r="A21" s="75" t="s">
        <v>17</v>
      </c>
      <c r="B21" s="151">
        <f>'Profit &amp; Loss'!B23</f>
        <v>0.7303370786516854</v>
      </c>
      <c r="C21" s="151">
        <f>'Profit &amp; Loss'!C23</f>
        <v>0</v>
      </c>
      <c r="D21" s="151">
        <f>'Profit &amp; Loss'!D23</f>
        <v>0</v>
      </c>
      <c r="E21" s="151">
        <f>'Profit &amp; Loss'!E23</f>
        <v>0.23529411764705885</v>
      </c>
      <c r="F21" s="151">
        <f>'Profit &amp; Loss'!F23</f>
        <v>0.21033868092691624</v>
      </c>
      <c r="G21" s="151">
        <f>'Profit &amp; Loss'!G23</f>
        <v>0.19633943427620634</v>
      </c>
      <c r="H21" s="151">
        <f>'Profit &amp; Loss'!H23</f>
        <v>0.19343843204090327</v>
      </c>
      <c r="I21" s="151">
        <f>'Profit &amp; Loss'!I23</f>
        <v>0.21549344375431331</v>
      </c>
      <c r="J21" s="151">
        <f>'Profit &amp; Loss'!J23</f>
        <v>0.15860317460317461</v>
      </c>
      <c r="K21" s="157">
        <f>'Profit &amp; Loss'!K23</f>
        <v>0.14830884068112898</v>
      </c>
      <c r="L21" s="74"/>
    </row>
    <row r="22" spans="1:14">
      <c r="A22" s="75" t="s">
        <v>134</v>
      </c>
      <c r="B22" s="78">
        <f>'Data Sheet'!B29/'Data Sheet'!B28</f>
        <v>0.32575757575757575</v>
      </c>
      <c r="C22" s="78">
        <f>'Data Sheet'!C29/'Data Sheet'!C28</f>
        <v>0.29506545820745217</v>
      </c>
      <c r="D22" s="78">
        <f>'Data Sheet'!D29/'Data Sheet'!D28</f>
        <v>0.47161572052401751</v>
      </c>
      <c r="E22" s="78">
        <f>'Data Sheet'!E29/'Data Sheet'!E28</f>
        <v>0.33270321361058602</v>
      </c>
      <c r="F22" s="78">
        <f>'Data Sheet'!F29/'Data Sheet'!F28</f>
        <v>0.29892526868282931</v>
      </c>
      <c r="G22" s="78">
        <f>'Data Sheet'!G29/'Data Sheet'!G28</f>
        <v>0.31626642501132762</v>
      </c>
      <c r="H22" s="78">
        <f>'Data Sheet'!H29/'Data Sheet'!H28</f>
        <v>0.33678805743082629</v>
      </c>
      <c r="I22" s="78">
        <f>'Data Sheet'!I29/'Data Sheet'!I28</f>
        <v>0.35181272241992884</v>
      </c>
      <c r="J22" s="78">
        <f>'Data Sheet'!J29/'Data Sheet'!J28</f>
        <v>0.33252162230246035</v>
      </c>
      <c r="K22" s="158">
        <f>'Data Sheet'!K29/'Data Sheet'!K28</f>
        <v>0.32349782206575572</v>
      </c>
      <c r="L22" s="74"/>
    </row>
    <row r="23" spans="1:14">
      <c r="A23" s="75" t="s">
        <v>154</v>
      </c>
      <c r="B23" s="77">
        <f t="shared" ref="B23:K23" si="3">B4*(1-B22)</f>
        <v>4.2612121212121217</v>
      </c>
      <c r="C23" s="77">
        <f t="shared" si="3"/>
        <v>-2.0020140986908359</v>
      </c>
      <c r="D23" s="77">
        <f t="shared" si="3"/>
        <v>0.44384279475982524</v>
      </c>
      <c r="E23" s="77">
        <f t="shared" si="3"/>
        <v>6.5995652173913042</v>
      </c>
      <c r="F23" s="77">
        <f t="shared" si="3"/>
        <v>30.903374156460881</v>
      </c>
      <c r="G23" s="77">
        <f t="shared" si="3"/>
        <v>32.860235613955595</v>
      </c>
      <c r="H23" s="77">
        <f t="shared" si="3"/>
        <v>72.661500427878678</v>
      </c>
      <c r="I23" s="77">
        <f t="shared" si="3"/>
        <v>118.30066003113879</v>
      </c>
      <c r="J23" s="77">
        <f t="shared" si="3"/>
        <v>161.23607691661769</v>
      </c>
      <c r="K23" s="156">
        <f t="shared" si="3"/>
        <v>230.03103556298109</v>
      </c>
      <c r="L23" s="74"/>
    </row>
    <row r="24" spans="1:14">
      <c r="A24" s="75" t="s">
        <v>132</v>
      </c>
      <c r="B24" s="78">
        <f>(B4/B13)*(1-B22)</f>
        <v>5.1909028154612277E-2</v>
      </c>
      <c r="C24" s="78">
        <f t="shared" ref="C24:K24" si="4">(C4/C13)*(1-C22)</f>
        <v>-2.5464437785434186E-2</v>
      </c>
      <c r="D24" s="78">
        <f t="shared" si="4"/>
        <v>6.3679023638425437E-3</v>
      </c>
      <c r="E24" s="78">
        <f t="shared" si="4"/>
        <v>7.3746398674615091E-2</v>
      </c>
      <c r="F24" s="78">
        <f t="shared" si="4"/>
        <v>0.31402676716249245</v>
      </c>
      <c r="G24" s="78">
        <f t="shared" si="4"/>
        <v>0.21717160540582642</v>
      </c>
      <c r="H24" s="78">
        <f t="shared" si="4"/>
        <v>0.37189835411955507</v>
      </c>
      <c r="I24" s="78">
        <f t="shared" si="4"/>
        <v>0.55644713090846099</v>
      </c>
      <c r="J24" s="78">
        <f t="shared" si="4"/>
        <v>0.40273779671941479</v>
      </c>
      <c r="K24" s="158">
        <f t="shared" si="4"/>
        <v>0.76073495457034568</v>
      </c>
      <c r="L24" s="74"/>
    </row>
    <row r="25" spans="1:14">
      <c r="A25" s="74" t="s">
        <v>137</v>
      </c>
      <c r="B25" s="85">
        <v>0.12</v>
      </c>
      <c r="C25" s="85">
        <v>0.12</v>
      </c>
      <c r="D25" s="85">
        <v>0.12</v>
      </c>
      <c r="E25" s="85">
        <v>0.12</v>
      </c>
      <c r="F25" s="85">
        <v>0.12</v>
      </c>
      <c r="G25" s="85">
        <v>0.12</v>
      </c>
      <c r="H25" s="85">
        <v>0.12</v>
      </c>
      <c r="I25" s="85">
        <v>0.12</v>
      </c>
      <c r="J25" s="85">
        <v>0.12</v>
      </c>
      <c r="K25" s="85">
        <v>0.12</v>
      </c>
      <c r="L25" s="74"/>
    </row>
    <row r="26" spans="1:14">
      <c r="A26" s="74" t="s">
        <v>174</v>
      </c>
      <c r="B26" s="77">
        <f>B13*(B24-B25)</f>
        <v>-5.5895878787878779</v>
      </c>
      <c r="C26" s="77">
        <f t="shared" ref="C26:K26" si="5">C13*(C24-C25)</f>
        <v>-11.436414098690836</v>
      </c>
      <c r="D26" s="77">
        <f t="shared" si="5"/>
        <v>-7.920157205240173</v>
      </c>
      <c r="E26" s="77">
        <f t="shared" si="5"/>
        <v>-4.1392347826086953</v>
      </c>
      <c r="F26" s="77">
        <f t="shared" si="5"/>
        <v>19.09417415646088</v>
      </c>
      <c r="G26" s="77">
        <f t="shared" si="5"/>
        <v>14.703035613955596</v>
      </c>
      <c r="H26" s="77">
        <f t="shared" si="5"/>
        <v>49.215900427878672</v>
      </c>
      <c r="I26" s="77">
        <f t="shared" si="5"/>
        <v>92.788660031138804</v>
      </c>
      <c r="J26" s="77">
        <f t="shared" si="5"/>
        <v>113.1940769166177</v>
      </c>
      <c r="K26" s="156">
        <f t="shared" si="5"/>
        <v>193.74543556298113</v>
      </c>
      <c r="L26" s="74"/>
    </row>
    <row r="27" spans="1:14">
      <c r="A27" s="74" t="s">
        <v>212</v>
      </c>
      <c r="B27" s="77"/>
      <c r="C27" s="96"/>
      <c r="D27" s="96">
        <f>(D23-C23)/(C13-B13)</f>
        <v>-0.70485789436618496</v>
      </c>
      <c r="E27" s="96">
        <f t="shared" ref="E27:K27" si="6">(E23-D23)/(D13-C13)</f>
        <v>-0.69010341060890901</v>
      </c>
      <c r="F27" s="96">
        <f t="shared" si="6"/>
        <v>1.2280853430555618</v>
      </c>
      <c r="G27" s="96">
        <f t="shared" si="6"/>
        <v>0.21937908716308449</v>
      </c>
      <c r="H27" s="96">
        <f t="shared" si="6"/>
        <v>0.75238685848625864</v>
      </c>
      <c r="I27" s="96">
        <f t="shared" si="6"/>
        <v>1.0356060722319065</v>
      </c>
      <c r="J27" s="96">
        <f t="shared" si="6"/>
        <v>2.4933459283088792</v>
      </c>
      <c r="K27" s="159">
        <f t="shared" si="6"/>
        <v>0.36641788892869992</v>
      </c>
      <c r="L27" s="74"/>
    </row>
    <row r="28" spans="1:14">
      <c r="A28" s="74" t="s">
        <v>215</v>
      </c>
      <c r="B28" s="77"/>
      <c r="C28" s="96"/>
      <c r="D28" s="96"/>
      <c r="E28" s="96"/>
      <c r="F28" s="96"/>
      <c r="G28" s="96">
        <f t="shared" ref="G28:J28" si="7">(G23-D23)/(F13-C13)</f>
        <v>1.6380188387668411</v>
      </c>
      <c r="H28" s="96">
        <f t="shared" si="7"/>
        <v>0.80948333795475269</v>
      </c>
      <c r="I28" s="96">
        <f t="shared" si="7"/>
        <v>0.82535920176294175</v>
      </c>
      <c r="J28" s="96">
        <f t="shared" si="7"/>
        <v>1.1242301541523958</v>
      </c>
      <c r="K28" s="159">
        <f>(K23-H23)/(J13-G13)</f>
        <v>0.63190465441335697</v>
      </c>
      <c r="L28" s="74"/>
    </row>
    <row r="29" spans="1:14">
      <c r="A29" s="74" t="s">
        <v>214</v>
      </c>
      <c r="B29" s="77"/>
      <c r="C29" s="96"/>
      <c r="D29" s="96"/>
      <c r="E29" s="96"/>
      <c r="F29" s="96"/>
      <c r="G29" s="96"/>
      <c r="H29" s="96">
        <f>(H23-C23)/(G13-B13)</f>
        <v>1.0786407761711863</v>
      </c>
      <c r="I29" s="96">
        <f t="shared" ref="I29:J29" si="8">(I23-D23)/(H13-C13)</f>
        <v>1.0093937755770723</v>
      </c>
      <c r="J29" s="96">
        <f t="shared" si="8"/>
        <v>1.0821309426118011</v>
      </c>
      <c r="K29" s="159">
        <f>(K23-F23)/(J13-E13)</f>
        <v>0.64057022906298733</v>
      </c>
      <c r="L29" s="74"/>
    </row>
    <row r="30" spans="1:14">
      <c r="A30" s="74" t="s">
        <v>216</v>
      </c>
      <c r="B30" s="77"/>
      <c r="C30" s="98">
        <f>((C4-B4)/B4)/(('Data Sheet'!C17-'Data Sheet'!B17)/'Data Sheet'!B17)</f>
        <v>4.9495633572972251</v>
      </c>
      <c r="D30" s="98">
        <f>((D4-C4)/C4)/(('Data Sheet'!D17-'Data Sheet'!C17)/'Data Sheet'!C17)</f>
        <v>-4.0400423232150429</v>
      </c>
      <c r="E30" s="98">
        <f>((E4-D4)/D4)/(('Data Sheet'!E17-'Data Sheet'!D17)/'Data Sheet'!D17)</f>
        <v>8.4866579796017927</v>
      </c>
      <c r="F30" s="98">
        <f>((F4-E4)/E4)/(('Data Sheet'!F17-'Data Sheet'!E17)/'Data Sheet'!E17)</f>
        <v>3.8683476335129705</v>
      </c>
      <c r="G30" s="98">
        <f>((G4-F4)/F4)/(('Data Sheet'!G17-'Data Sheet'!F17)/'Data Sheet'!F17)</f>
        <v>0.13950099689147213</v>
      </c>
      <c r="H30" s="98">
        <f>((H4-G4)/G4)/(('Data Sheet'!H17-'Data Sheet'!G17)/'Data Sheet'!G17)</f>
        <v>1.714880305154467</v>
      </c>
      <c r="I30" s="98">
        <f>((I4-H4)/H4)/(('Data Sheet'!I17-'Data Sheet'!H17)/'Data Sheet'!H17)</f>
        <v>1.1608922049382753</v>
      </c>
      <c r="J30" s="98">
        <f>((J4-I4)/I4)/(('Data Sheet'!J17-'Data Sheet'!I17)/'Data Sheet'!I17)</f>
        <v>2.4244485477403535</v>
      </c>
      <c r="K30" s="160">
        <f>((K4-J4)/J4)/(('Data Sheet'!K17-'Data Sheet'!J17)/'Data Sheet'!J17)</f>
        <v>1.1516997627000669</v>
      </c>
      <c r="L30" s="74"/>
    </row>
    <row r="31" spans="1:14">
      <c r="A31" s="74" t="s">
        <v>253</v>
      </c>
      <c r="B31" s="96">
        <f>B20*(1-B21)</f>
        <v>3.4652035807103665E-3</v>
      </c>
      <c r="C31" s="96">
        <f t="shared" ref="C31:K31" si="9">C20*(1-C21)</f>
        <v>-0.10279001468428781</v>
      </c>
      <c r="D31" s="96">
        <f t="shared" si="9"/>
        <v>-1.8086696562032885E-2</v>
      </c>
      <c r="E31" s="96">
        <f t="shared" si="9"/>
        <v>3.7399309551208279E-2</v>
      </c>
      <c r="F31" s="96">
        <f t="shared" si="9"/>
        <v>0.23662001922871495</v>
      </c>
      <c r="G31" s="96">
        <f t="shared" si="9"/>
        <v>0.19304556354916066</v>
      </c>
      <c r="H31" s="96">
        <f t="shared" si="9"/>
        <v>0.31625549924820401</v>
      </c>
      <c r="I31" s="96">
        <f t="shared" si="9"/>
        <v>0.34279467752271103</v>
      </c>
      <c r="J31" s="96">
        <f t="shared" si="9"/>
        <v>0.31344166134487578</v>
      </c>
      <c r="K31" s="159">
        <f t="shared" si="9"/>
        <v>0.28504512381725633</v>
      </c>
      <c r="L31" s="74"/>
      <c r="M31" s="73" t="s">
        <v>255</v>
      </c>
    </row>
    <row r="32" spans="1:14">
      <c r="A32" s="16"/>
      <c r="B32" s="16">
        <f t="shared" ref="B32:K32" si="10">B2</f>
        <v>39538</v>
      </c>
      <c r="C32" s="16">
        <f t="shared" si="10"/>
        <v>39903</v>
      </c>
      <c r="D32" s="16">
        <f t="shared" si="10"/>
        <v>40268</v>
      </c>
      <c r="E32" s="16">
        <f t="shared" si="10"/>
        <v>40633</v>
      </c>
      <c r="F32" s="16">
        <f t="shared" si="10"/>
        <v>40999</v>
      </c>
      <c r="G32" s="16">
        <f t="shared" si="10"/>
        <v>41364</v>
      </c>
      <c r="H32" s="16">
        <f t="shared" si="10"/>
        <v>41729</v>
      </c>
      <c r="I32" s="16">
        <f t="shared" si="10"/>
        <v>42094</v>
      </c>
      <c r="J32" s="16">
        <f t="shared" si="10"/>
        <v>42460</v>
      </c>
      <c r="K32" s="16">
        <f t="shared" si="10"/>
        <v>42825</v>
      </c>
      <c r="L32" s="16" t="s">
        <v>173</v>
      </c>
    </row>
    <row r="33" spans="1:12">
      <c r="A33" s="79" t="s">
        <v>139</v>
      </c>
      <c r="B33" s="80">
        <f>'Data Sheet'!B90*'Data Sheet'!B93</f>
        <v>20.600999999999999</v>
      </c>
      <c r="C33" s="80">
        <f>'Data Sheet'!C90*'Data Sheet'!C93</f>
        <v>13.12</v>
      </c>
      <c r="D33" s="80">
        <f>'Data Sheet'!D90*'Data Sheet'!D93</f>
        <v>19.440000000000001</v>
      </c>
      <c r="E33" s="80">
        <f>'Data Sheet'!E90*'Data Sheet'!E93</f>
        <v>31.68</v>
      </c>
      <c r="F33" s="80">
        <f>'Data Sheet'!F90*'Data Sheet'!F93</f>
        <v>80.319999999999993</v>
      </c>
      <c r="G33" s="80">
        <f>'Data Sheet'!G90*'Data Sheet'!G93</f>
        <v>95.008619320000022</v>
      </c>
      <c r="H33" s="80">
        <f>'Data Sheet'!H90*'Data Sheet'!H93</f>
        <v>541.03139672999998</v>
      </c>
      <c r="I33" s="80">
        <f>'Data Sheet'!I90*'Data Sheet'!I93</f>
        <v>1490.9359290900002</v>
      </c>
      <c r="J33" s="80">
        <f>'Data Sheet'!J90*'Data Sheet'!J93</f>
        <v>1974.7895764300001</v>
      </c>
      <c r="K33" s="80">
        <f>'Data Sheet'!K90*'Data Sheet'!K93</f>
        <v>3872.1462198100003</v>
      </c>
      <c r="L33" s="152">
        <f>'Data Sheet'!B9</f>
        <v>8823.9500000000007</v>
      </c>
    </row>
    <row r="34" spans="1:12">
      <c r="A34" s="81" t="s">
        <v>155</v>
      </c>
      <c r="B34" s="77">
        <f>B33+'Data Sheet'!B31</f>
        <v>21.250999999999998</v>
      </c>
      <c r="C34" s="77">
        <f>C33+'Data Sheet'!C31</f>
        <v>13.12</v>
      </c>
      <c r="D34" s="77">
        <f>D33+'Data Sheet'!D31</f>
        <v>19.440000000000001</v>
      </c>
      <c r="E34" s="77">
        <f>E33+'Data Sheet'!E31</f>
        <v>32.479999999999997</v>
      </c>
      <c r="F34" s="77">
        <f>F33+'Data Sheet'!F31</f>
        <v>86.22</v>
      </c>
      <c r="G34" s="77">
        <f>G33+'Data Sheet'!G31</f>
        <v>100.90861932000003</v>
      </c>
      <c r="H34" s="77">
        <f>H33+'Data Sheet'!H31</f>
        <v>554.65139672999999</v>
      </c>
      <c r="I34" s="77">
        <f>I33+'Data Sheet'!I31</f>
        <v>1515.9159290900002</v>
      </c>
      <c r="J34" s="77">
        <f>J33+'Data Sheet'!J31</f>
        <v>1999.7695764300001</v>
      </c>
      <c r="K34" s="77">
        <f>K33+'Data Sheet'!K31</f>
        <v>3903.9362198100002</v>
      </c>
      <c r="L34" s="74"/>
    </row>
    <row r="35" spans="1:12">
      <c r="A35" s="74" t="s">
        <v>156</v>
      </c>
      <c r="B35" s="74">
        <f>'Data Sheet'!B30-'Data Sheet'!B31</f>
        <v>0.24</v>
      </c>
      <c r="C35" s="74">
        <f>'Data Sheet'!C30-'Data Sheet'!C31</f>
        <v>-7</v>
      </c>
      <c r="D35" s="74">
        <f>'Data Sheet'!D30-'Data Sheet'!D31</f>
        <v>-1.21</v>
      </c>
      <c r="E35" s="74">
        <f>'Data Sheet'!E30-'Data Sheet'!E31</f>
        <v>2.5999999999999996</v>
      </c>
      <c r="F35" s="74">
        <f>'Data Sheet'!F30-'Data Sheet'!F31</f>
        <v>22.15</v>
      </c>
      <c r="G35" s="74">
        <f>'Data Sheet'!G30-'Data Sheet'!G31</f>
        <v>24.15</v>
      </c>
      <c r="H35" s="74">
        <f>'Data Sheet'!H30-'Data Sheet'!H31</f>
        <v>56.79</v>
      </c>
      <c r="I35" s="74">
        <f>'Data Sheet'!I30-'Data Sheet'!I31</f>
        <v>90.94</v>
      </c>
      <c r="J35" s="74">
        <f>'Data Sheet'!J30-'Data Sheet'!J31</f>
        <v>132.52000000000001</v>
      </c>
      <c r="K35" s="74">
        <f>'Data Sheet'!K30-'Data Sheet'!K31</f>
        <v>182.56</v>
      </c>
      <c r="L35" s="74"/>
    </row>
    <row r="36" spans="1:12">
      <c r="A36" s="74" t="s">
        <v>171</v>
      </c>
      <c r="B36" s="77">
        <f>B33+'Data Sheet'!B59-'Data Sheet'!B69</f>
        <v>57.270999999999994</v>
      </c>
      <c r="C36" s="77">
        <f>C33+'Data Sheet'!C59-'Data Sheet'!C69</f>
        <v>42.13</v>
      </c>
      <c r="D36" s="77">
        <f>D33+'Data Sheet'!D59-'Data Sheet'!D69</f>
        <v>50.150000000000006</v>
      </c>
      <c r="E36" s="77">
        <f>E33+'Data Sheet'!E59-'Data Sheet'!E69</f>
        <v>81.58</v>
      </c>
      <c r="F36" s="77">
        <f>F33+'Data Sheet'!F59-'Data Sheet'!F69</f>
        <v>107.83999999999999</v>
      </c>
      <c r="G36" s="77">
        <f>G33+'Data Sheet'!G59-'Data Sheet'!G69</f>
        <v>147.49861932000002</v>
      </c>
      <c r="H36" s="77">
        <f>H33+'Data Sheet'!H59-'Data Sheet'!H69</f>
        <v>584.29139672999997</v>
      </c>
      <c r="I36" s="77">
        <f>I33+'Data Sheet'!I59-'Data Sheet'!I69</f>
        <v>1543.1759290900002</v>
      </c>
      <c r="J36" s="77">
        <f>J33+'Data Sheet'!J59-'Data Sheet'!J69</f>
        <v>1912.9295764300002</v>
      </c>
      <c r="K36" s="77">
        <f>K33+'Data Sheet'!K59-'Data Sheet'!K69</f>
        <v>3846.4562198100002</v>
      </c>
      <c r="L36" s="74"/>
    </row>
    <row r="37" spans="1:12">
      <c r="A37" s="147"/>
      <c r="B37" s="147">
        <f t="shared" ref="B37:K37" si="11">B2</f>
        <v>39538</v>
      </c>
      <c r="C37" s="147">
        <f t="shared" si="11"/>
        <v>39903</v>
      </c>
      <c r="D37" s="147">
        <f t="shared" si="11"/>
        <v>40268</v>
      </c>
      <c r="E37" s="147">
        <f t="shared" si="11"/>
        <v>40633</v>
      </c>
      <c r="F37" s="147">
        <f t="shared" si="11"/>
        <v>40999</v>
      </c>
      <c r="G37" s="147">
        <f t="shared" si="11"/>
        <v>41364</v>
      </c>
      <c r="H37" s="147">
        <f t="shared" si="11"/>
        <v>41729</v>
      </c>
      <c r="I37" s="147">
        <f t="shared" si="11"/>
        <v>42094</v>
      </c>
      <c r="J37" s="147">
        <f t="shared" si="11"/>
        <v>42460</v>
      </c>
      <c r="K37" s="147">
        <f t="shared" si="11"/>
        <v>42825</v>
      </c>
      <c r="L37" s="147"/>
    </row>
    <row r="38" spans="1:12">
      <c r="A38" s="74" t="s">
        <v>172</v>
      </c>
      <c r="B38" s="77">
        <f>B33/'Data Sheet'!B30</f>
        <v>23.147191011235954</v>
      </c>
      <c r="C38" s="77">
        <f>C33/'Data Sheet'!C30</f>
        <v>-1.8742857142857141</v>
      </c>
      <c r="D38" s="77">
        <f>D33/'Data Sheet'!D30</f>
        <v>-16.06611570247934</v>
      </c>
      <c r="E38" s="77">
        <f>E33/'Data Sheet'!E30</f>
        <v>9.3176470588235301</v>
      </c>
      <c r="F38" s="77">
        <f>F33/'Data Sheet'!F30</f>
        <v>2.8634581105169339</v>
      </c>
      <c r="G38" s="77">
        <f>G33/'Data Sheet'!G30</f>
        <v>3.1616845031613985</v>
      </c>
      <c r="H38" s="77">
        <f>H33/'Data Sheet'!H30</f>
        <v>7.6840135879846612</v>
      </c>
      <c r="I38" s="77">
        <f>I33/'Data Sheet'!I30</f>
        <v>12.861766123964804</v>
      </c>
      <c r="J38" s="77">
        <f>J33/'Data Sheet'!J30</f>
        <v>12.538346517015874</v>
      </c>
      <c r="K38" s="77">
        <f>K33/'Data Sheet'!K30</f>
        <v>18.064596313552602</v>
      </c>
      <c r="L38" s="74"/>
    </row>
    <row r="39" spans="1:12">
      <c r="A39" s="74" t="s">
        <v>157</v>
      </c>
      <c r="B39" s="77">
        <f t="shared" ref="B39:K39" si="12">B33/B10</f>
        <v>0.29744441235922608</v>
      </c>
      <c r="C39" s="77">
        <f t="shared" si="12"/>
        <v>0.19265785609397945</v>
      </c>
      <c r="D39" s="77">
        <f t="shared" si="12"/>
        <v>0.29058295964125558</v>
      </c>
      <c r="E39" s="77">
        <f t="shared" si="12"/>
        <v>0.4556962025316455</v>
      </c>
      <c r="F39" s="77">
        <f t="shared" si="12"/>
        <v>0.85802798846277095</v>
      </c>
      <c r="G39" s="77">
        <f t="shared" si="12"/>
        <v>0.75946138545163888</v>
      </c>
      <c r="H39" s="77">
        <f t="shared" si="12"/>
        <v>3.012927530935011</v>
      </c>
      <c r="I39" s="77">
        <f t="shared" si="12"/>
        <v>5.6200231033585899</v>
      </c>
      <c r="J39" s="77">
        <f t="shared" si="12"/>
        <v>4.6708521403770202</v>
      </c>
      <c r="K39" s="77">
        <f t="shared" si="12"/>
        <v>6.0458829900540234</v>
      </c>
      <c r="L39" s="74"/>
    </row>
    <row r="40" spans="1:12">
      <c r="A40" s="74" t="s">
        <v>158</v>
      </c>
      <c r="B40" s="77">
        <f t="shared" ref="B40:K40" si="13">B33/B17</f>
        <v>1.1984293193717277</v>
      </c>
      <c r="C40" s="77">
        <f t="shared" si="13"/>
        <v>1.4047109207708779</v>
      </c>
      <c r="D40" s="77">
        <f t="shared" si="13"/>
        <v>4.9591836734693882</v>
      </c>
      <c r="E40" s="77">
        <f t="shared" si="13"/>
        <v>-4.1036269430051817</v>
      </c>
      <c r="F40" s="77">
        <f t="shared" si="13"/>
        <v>1.5942834458118298</v>
      </c>
      <c r="G40" s="77">
        <f t="shared" si="13"/>
        <v>-4.6232904778588821</v>
      </c>
      <c r="H40" s="77">
        <f t="shared" si="13"/>
        <v>9.7377861182505399</v>
      </c>
      <c r="I40" s="77">
        <f t="shared" si="13"/>
        <v>16.68833589758227</v>
      </c>
      <c r="J40" s="77">
        <f t="shared" si="13"/>
        <v>16.186799806803279</v>
      </c>
      <c r="K40" s="77">
        <f t="shared" si="13"/>
        <v>13.274867907058866</v>
      </c>
      <c r="L40" s="74"/>
    </row>
    <row r="41" spans="1:12">
      <c r="A41" s="74" t="s">
        <v>159</v>
      </c>
      <c r="B41" s="77">
        <f>B33/'Data Sheet'!B17</f>
        <v>0.21019283746556472</v>
      </c>
      <c r="C41" s="77">
        <f>C33/'Data Sheet'!C17</f>
        <v>0.18929447410186118</v>
      </c>
      <c r="D41" s="77">
        <f>D33/'Data Sheet'!D17</f>
        <v>0.21236617871968538</v>
      </c>
      <c r="E41" s="77">
        <f>E33/'Data Sheet'!E17</f>
        <v>0.15249097472924186</v>
      </c>
      <c r="F41" s="77">
        <f>F33/'Data Sheet'!F17</f>
        <v>0.2041635952314379</v>
      </c>
      <c r="G41" s="77">
        <f>G33/'Data Sheet'!G17</f>
        <v>0.14660918974137402</v>
      </c>
      <c r="H41" s="77">
        <f>H33/'Data Sheet'!H17</f>
        <v>0.47810764903986358</v>
      </c>
      <c r="I41" s="77">
        <f>I33/'Data Sheet'!I17</f>
        <v>0.83729399722013187</v>
      </c>
      <c r="J41" s="77">
        <f>J33/'Data Sheet'!J17</f>
        <v>0.97844689139320917</v>
      </c>
      <c r="K41" s="77">
        <f>K33/'Data Sheet'!K17</f>
        <v>1.4169879237848837</v>
      </c>
      <c r="L41" s="74"/>
    </row>
    <row r="42" spans="1:12">
      <c r="A42" s="74" t="s">
        <v>96</v>
      </c>
      <c r="B42" s="77">
        <f t="shared" ref="B42:K42" si="14">B36/B5</f>
        <v>5.614803921568627</v>
      </c>
      <c r="C42" s="77">
        <f t="shared" si="14"/>
        <v>84.26</v>
      </c>
      <c r="D42" s="77">
        <f t="shared" si="14"/>
        <v>13.853591160220997</v>
      </c>
      <c r="E42" s="77">
        <f t="shared" si="14"/>
        <v>6.3784206411258788</v>
      </c>
      <c r="F42" s="77">
        <f t="shared" si="14"/>
        <v>2.2429284525790347</v>
      </c>
      <c r="G42" s="77">
        <f t="shared" si="14"/>
        <v>2.7808940294117646</v>
      </c>
      <c r="H42" s="77">
        <f t="shared" si="14"/>
        <v>5.0763805102519539</v>
      </c>
      <c r="I42" s="77">
        <f t="shared" si="14"/>
        <v>8.0663631231509072</v>
      </c>
      <c r="J42" s="77">
        <f t="shared" si="14"/>
        <v>7.5973214838953105</v>
      </c>
      <c r="K42" s="77">
        <f t="shared" si="14"/>
        <v>10.874296674799275</v>
      </c>
      <c r="L42" s="74"/>
    </row>
    <row r="43" spans="1:12">
      <c r="A43" s="74" t="s">
        <v>160</v>
      </c>
      <c r="B43" s="153">
        <f>'Data Sheet'!B31/'Calculated Data'!B33</f>
        <v>3.1551866414251735E-2</v>
      </c>
      <c r="C43" s="153">
        <f>'Data Sheet'!C31/'Calculated Data'!C33</f>
        <v>0</v>
      </c>
      <c r="D43" s="153">
        <f>'Data Sheet'!D31/'Calculated Data'!D33</f>
        <v>0</v>
      </c>
      <c r="E43" s="153">
        <f>'Data Sheet'!E31/'Calculated Data'!E33</f>
        <v>2.5252525252525256E-2</v>
      </c>
      <c r="F43" s="153">
        <f>'Data Sheet'!F31/'Calculated Data'!F33</f>
        <v>7.3456175298804785E-2</v>
      </c>
      <c r="G43" s="153">
        <f>'Data Sheet'!G31/'Calculated Data'!G33</f>
        <v>6.2099628878177021E-2</v>
      </c>
      <c r="H43" s="153">
        <f>'Data Sheet'!H31/'Calculated Data'!H33</f>
        <v>2.5174139767709297E-2</v>
      </c>
      <c r="I43" s="153">
        <f>'Data Sheet'!I31/'Calculated Data'!I33</f>
        <v>1.6754576445982265E-2</v>
      </c>
      <c r="J43" s="153">
        <f>'Data Sheet'!J31/'Calculated Data'!J33</f>
        <v>1.26494489833993E-2</v>
      </c>
      <c r="K43" s="153">
        <f>'Data Sheet'!K31/'Calculated Data'!K33</f>
        <v>8.2099172384972278E-3</v>
      </c>
      <c r="L43" s="74"/>
    </row>
    <row r="44" spans="1:12">
      <c r="A44" s="147"/>
      <c r="B44" s="147">
        <f t="shared" ref="B44:K44" si="15">B2</f>
        <v>39538</v>
      </c>
      <c r="C44" s="147">
        <f t="shared" si="15"/>
        <v>39903</v>
      </c>
      <c r="D44" s="147">
        <f t="shared" si="15"/>
        <v>40268</v>
      </c>
      <c r="E44" s="147">
        <f t="shared" si="15"/>
        <v>40633</v>
      </c>
      <c r="F44" s="147">
        <f t="shared" si="15"/>
        <v>40999</v>
      </c>
      <c r="G44" s="147">
        <f t="shared" si="15"/>
        <v>41364</v>
      </c>
      <c r="H44" s="147">
        <f t="shared" si="15"/>
        <v>41729</v>
      </c>
      <c r="I44" s="147">
        <f t="shared" si="15"/>
        <v>42094</v>
      </c>
      <c r="J44" s="147">
        <f t="shared" si="15"/>
        <v>42460</v>
      </c>
      <c r="K44" s="147">
        <f t="shared" si="15"/>
        <v>42825</v>
      </c>
      <c r="L44" s="147" t="s">
        <v>161</v>
      </c>
    </row>
    <row r="45" spans="1:12" ht="12.75" customHeight="1">
      <c r="A45" s="74" t="s">
        <v>162</v>
      </c>
      <c r="B45" s="77">
        <f t="shared" ref="B45:K45" si="16">B11/B15</f>
        <v>0.4057195417677063</v>
      </c>
      <c r="C45" s="77">
        <f t="shared" si="16"/>
        <v>0.41122682245364489</v>
      </c>
      <c r="D45" s="77">
        <f t="shared" si="16"/>
        <v>0.36487311415365831</v>
      </c>
      <c r="E45" s="77">
        <f t="shared" si="16"/>
        <v>0.33873933026920544</v>
      </c>
      <c r="F45" s="77">
        <f t="shared" si="16"/>
        <v>0.29281737801550051</v>
      </c>
      <c r="G45" s="77">
        <f t="shared" si="16"/>
        <v>0.39725972356155576</v>
      </c>
      <c r="H45" s="77">
        <f t="shared" si="16"/>
        <v>0.28306752459878315</v>
      </c>
      <c r="I45" s="77">
        <f t="shared" si="16"/>
        <v>0.25749806400301389</v>
      </c>
      <c r="J45" s="77">
        <f t="shared" si="16"/>
        <v>0.40915515579826528</v>
      </c>
      <c r="K45" s="77">
        <f t="shared" si="16"/>
        <v>6.0049031207701116E-2</v>
      </c>
      <c r="L45" s="152">
        <v>1.2</v>
      </c>
    </row>
    <row r="46" spans="1:12" ht="12.75" customHeight="1">
      <c r="A46" s="74" t="s">
        <v>163</v>
      </c>
      <c r="B46" s="77">
        <f t="shared" ref="B46:K46" si="17">B35/B15</f>
        <v>2.0068567605987121E-3</v>
      </c>
      <c r="C46" s="77">
        <f t="shared" si="17"/>
        <v>-5.9266785200237065E-2</v>
      </c>
      <c r="D46" s="77">
        <f t="shared" si="17"/>
        <v>-1.0552018836661724E-2</v>
      </c>
      <c r="E46" s="77">
        <f t="shared" si="17"/>
        <v>1.707156927117531E-2</v>
      </c>
      <c r="F46" s="77">
        <f t="shared" si="17"/>
        <v>0.12089291562056544</v>
      </c>
      <c r="G46" s="77">
        <f t="shared" si="17"/>
        <v>9.7034715525554482E-2</v>
      </c>
      <c r="H46" s="77">
        <f t="shared" si="17"/>
        <v>0.14218472246563679</v>
      </c>
      <c r="I46" s="77">
        <f t="shared" si="17"/>
        <v>0.19033466585738504</v>
      </c>
      <c r="J46" s="77">
        <f t="shared" si="17"/>
        <v>0.21284934147124962</v>
      </c>
      <c r="K46" s="77">
        <f t="shared" si="17"/>
        <v>0.17280187795204785</v>
      </c>
      <c r="L46" s="152">
        <v>1.4</v>
      </c>
    </row>
    <row r="47" spans="1:12" ht="12.75" customHeight="1">
      <c r="A47" s="74" t="s">
        <v>164</v>
      </c>
      <c r="B47" s="77">
        <f t="shared" ref="B47:K47" si="18">B4/B15</f>
        <v>5.2847228029099427E-2</v>
      </c>
      <c r="C47" s="77">
        <f t="shared" si="18"/>
        <v>-2.4045381424096179E-2</v>
      </c>
      <c r="D47" s="77">
        <f t="shared" si="18"/>
        <v>7.3253684485916097E-3</v>
      </c>
      <c r="E47" s="77">
        <f t="shared" si="18"/>
        <v>6.4937623112278395E-2</v>
      </c>
      <c r="F47" s="77">
        <f t="shared" si="18"/>
        <v>0.24058508896408687</v>
      </c>
      <c r="G47" s="77">
        <f t="shared" si="18"/>
        <v>0.19310511089681776</v>
      </c>
      <c r="H47" s="77">
        <f t="shared" si="18"/>
        <v>0.2743045992839438</v>
      </c>
      <c r="I47" s="77">
        <f t="shared" si="18"/>
        <v>0.38198790263504884</v>
      </c>
      <c r="J47" s="77">
        <f t="shared" si="18"/>
        <v>0.3879858657243816</v>
      </c>
      <c r="K47" s="77">
        <f t="shared" si="18"/>
        <v>0.3218548562666238</v>
      </c>
      <c r="L47" s="152">
        <v>3.3</v>
      </c>
    </row>
    <row r="48" spans="1:12" ht="12.75" customHeight="1">
      <c r="A48" s="74" t="s">
        <v>165</v>
      </c>
      <c r="B48" s="77">
        <f t="shared" ref="B48:K48" si="19">B33/B15</f>
        <v>0.17226356718789196</v>
      </c>
      <c r="C48" s="77">
        <f t="shared" si="19"/>
        <v>0.11108288883244433</v>
      </c>
      <c r="D48" s="77">
        <f t="shared" si="19"/>
        <v>0.16952995552454872</v>
      </c>
      <c r="E48" s="77">
        <f t="shared" si="19"/>
        <v>0.20801050558108994</v>
      </c>
      <c r="F48" s="77">
        <f t="shared" si="19"/>
        <v>0.43838008950987878</v>
      </c>
      <c r="G48" s="77">
        <f t="shared" si="19"/>
        <v>0.38174469350691104</v>
      </c>
      <c r="H48" s="77">
        <f t="shared" si="19"/>
        <v>1.3545764921509225</v>
      </c>
      <c r="I48" s="77">
        <f t="shared" si="19"/>
        <v>3.1204837461855628</v>
      </c>
      <c r="J48" s="77">
        <f t="shared" si="19"/>
        <v>3.1718432001766783</v>
      </c>
      <c r="K48" s="77">
        <f t="shared" si="19"/>
        <v>3.6651738523668445</v>
      </c>
      <c r="L48" s="152">
        <v>0.6</v>
      </c>
    </row>
    <row r="49" spans="1:12" ht="12.75" customHeight="1">
      <c r="A49" s="74" t="s">
        <v>166</v>
      </c>
      <c r="B49" s="77">
        <f>'Data Sheet'!B17/'Calculated Data'!B15</f>
        <v>0.81955012960949913</v>
      </c>
      <c r="C49" s="77">
        <f>'Data Sheet'!C17/'Calculated Data'!C15</f>
        <v>0.58682584031834728</v>
      </c>
      <c r="D49" s="77">
        <f>'Data Sheet'!D17/'Calculated Data'!D15</f>
        <v>0.79829074736199535</v>
      </c>
      <c r="E49" s="77">
        <f>'Data Sheet'!E17/'Calculated Data'!E15</f>
        <v>1.3640840446487195</v>
      </c>
      <c r="F49" s="77">
        <f>'Data Sheet'!F17/'Calculated Data'!F15</f>
        <v>2.1472000873267114</v>
      </c>
      <c r="G49" s="77">
        <f>'Data Sheet'!G17/'Calculated Data'!G15</f>
        <v>2.6038251366120218</v>
      </c>
      <c r="H49" s="77">
        <f>'Data Sheet'!H17/'Calculated Data'!H15</f>
        <v>2.8332039758643996</v>
      </c>
      <c r="I49" s="77">
        <f>'Data Sheet'!I17/'Calculated Data'!I15</f>
        <v>3.7268674522279661</v>
      </c>
      <c r="J49" s="77">
        <f>'Data Sheet'!J17/'Calculated Data'!J15</f>
        <v>3.241712174751044</v>
      </c>
      <c r="K49" s="77">
        <f>'Data Sheet'!K17/'Calculated Data'!K15</f>
        <v>2.5865949814003235</v>
      </c>
      <c r="L49" s="152">
        <v>1</v>
      </c>
    </row>
    <row r="50" spans="1:12" ht="12.75" customHeight="1">
      <c r="A50" s="74" t="s">
        <v>133</v>
      </c>
      <c r="B50" s="77">
        <f>$L$45*B45+$L$46*B46+$L$47*B47+$L$48*B48+$L$49*B49</f>
        <v>1.5869771720043482</v>
      </c>
      <c r="C50" s="77">
        <f t="shared" ref="C50:K50" si="20">$L$45*C45+$L$46*C46+$L$47*C47+$L$48*C48+$L$49*C49</f>
        <v>0.98462450258233847</v>
      </c>
      <c r="D50" s="77">
        <f t="shared" si="20"/>
        <v>1.3472573471701406</v>
      </c>
      <c r="E50" s="77">
        <f t="shared" si="20"/>
        <v>2.133571897570584</v>
      </c>
      <c r="F50" s="77">
        <f t="shared" si="20"/>
        <v>3.7247898701015174</v>
      </c>
      <c r="G50" s="77">
        <f t="shared" si="20"/>
        <v>4.0826790886853104</v>
      </c>
      <c r="H50" s="77">
        <f t="shared" si="20"/>
        <v>5.0898946897623993</v>
      </c>
      <c r="I50" s="77">
        <f t="shared" si="20"/>
        <v>7.4351839876389203</v>
      </c>
      <c r="J50" s="77">
        <f t="shared" si="20"/>
        <v>7.2141467167651783</v>
      </c>
      <c r="K50" s="77">
        <f t="shared" si="20"/>
        <v>6.161801785082397</v>
      </c>
      <c r="L50" s="152"/>
    </row>
    <row r="51" spans="1:12">
      <c r="A51" s="73" t="s">
        <v>167</v>
      </c>
    </row>
    <row r="52" spans="1:12">
      <c r="A52" s="73" t="s">
        <v>168</v>
      </c>
    </row>
    <row r="53" spans="1:12">
      <c r="A53" s="73" t="s">
        <v>169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workbookViewId="0">
      <selection activeCell="O28" sqref="O28"/>
    </sheetView>
  </sheetViews>
  <sheetFormatPr baseColWidth="10" defaultRowHeight="14" x14ac:dyDescent="0"/>
  <cols>
    <col min="1" max="1" width="34.1640625" customWidth="1"/>
    <col min="2" max="11" width="11.5" customWidth="1"/>
  </cols>
  <sheetData>
    <row r="1" spans="1:11">
      <c r="A1" s="101" t="str">
        <f>'Data Sheet'!B1</f>
        <v>AVANTI FEEDS LTD</v>
      </c>
      <c r="B1" s="97">
        <f t="shared" ref="B1:K1" si="0">B7</f>
        <v>39538</v>
      </c>
      <c r="C1" s="97">
        <f t="shared" si="0"/>
        <v>39903</v>
      </c>
      <c r="D1" s="97">
        <f t="shared" si="0"/>
        <v>40268</v>
      </c>
      <c r="E1" s="97">
        <f t="shared" si="0"/>
        <v>40633</v>
      </c>
      <c r="F1" s="97">
        <f t="shared" si="0"/>
        <v>40999</v>
      </c>
      <c r="G1" s="97">
        <f t="shared" si="0"/>
        <v>41364</v>
      </c>
      <c r="H1" s="97">
        <f t="shared" si="0"/>
        <v>41729</v>
      </c>
      <c r="I1" s="97">
        <f t="shared" si="0"/>
        <v>42094</v>
      </c>
      <c r="J1" s="97">
        <f t="shared" si="0"/>
        <v>42460</v>
      </c>
      <c r="K1" s="97">
        <f t="shared" si="0"/>
        <v>42825</v>
      </c>
    </row>
    <row r="2" spans="1:11">
      <c r="A2" s="102" t="str">
        <f>'Data Sheet'!A17</f>
        <v>Sales</v>
      </c>
      <c r="B2" s="102">
        <f>'Data Sheet'!B17</f>
        <v>98.01</v>
      </c>
      <c r="C2" s="102">
        <f>'Data Sheet'!C17</f>
        <v>69.31</v>
      </c>
      <c r="D2" s="102">
        <f>'Data Sheet'!D17</f>
        <v>91.54</v>
      </c>
      <c r="E2" s="102">
        <f>'Data Sheet'!E17</f>
        <v>207.75</v>
      </c>
      <c r="F2" s="102">
        <f>'Data Sheet'!F17</f>
        <v>393.41</v>
      </c>
      <c r="G2" s="102">
        <f>'Data Sheet'!G17</f>
        <v>648.04</v>
      </c>
      <c r="H2" s="102">
        <f>'Data Sheet'!H17</f>
        <v>1131.6099999999999</v>
      </c>
      <c r="I2" s="102">
        <f>'Data Sheet'!I17</f>
        <v>1780.66</v>
      </c>
      <c r="J2" s="102">
        <f>'Data Sheet'!J17</f>
        <v>2018.29</v>
      </c>
      <c r="K2" s="102">
        <f>'Data Sheet'!K17</f>
        <v>2732.66</v>
      </c>
    </row>
    <row r="3" spans="1:11">
      <c r="A3" s="102" t="str">
        <f>'Data Sheet'!A25</f>
        <v>Other Income</v>
      </c>
      <c r="B3" s="102">
        <f>'Data Sheet'!B25</f>
        <v>8.76</v>
      </c>
      <c r="C3" s="102">
        <f>'Data Sheet'!C25</f>
        <v>4.2699999999999996</v>
      </c>
      <c r="D3" s="102">
        <f>'Data Sheet'!D25</f>
        <v>10.69</v>
      </c>
      <c r="E3" s="102">
        <f>'Data Sheet'!E25</f>
        <v>4.1399999999999997</v>
      </c>
      <c r="F3" s="102">
        <f>'Data Sheet'!F25</f>
        <v>3.35</v>
      </c>
      <c r="G3" s="102">
        <f>'Data Sheet'!G25</f>
        <v>2.58</v>
      </c>
      <c r="H3" s="102">
        <f>'Data Sheet'!H25</f>
        <v>3.68</v>
      </c>
      <c r="I3" s="102">
        <f>'Data Sheet'!I25</f>
        <v>9.02</v>
      </c>
      <c r="J3" s="102">
        <f>'Data Sheet'!J25</f>
        <v>21.49</v>
      </c>
      <c r="K3" s="102">
        <f>'Data Sheet'!K25</f>
        <v>21.87</v>
      </c>
    </row>
    <row r="4" spans="1:11">
      <c r="A4" s="104" t="s">
        <v>221</v>
      </c>
      <c r="B4" s="104"/>
      <c r="C4" s="105">
        <f t="shared" ref="C4:K4" si="1">(C2-B2)/B2</f>
        <v>-0.29282726252423225</v>
      </c>
      <c r="D4" s="105">
        <f t="shared" si="1"/>
        <v>0.32073293896984567</v>
      </c>
      <c r="E4" s="105">
        <f t="shared" si="1"/>
        <v>1.2694996722744154</v>
      </c>
      <c r="F4" s="105">
        <f t="shared" si="1"/>
        <v>0.89367027677497002</v>
      </c>
      <c r="G4" s="105">
        <f t="shared" si="1"/>
        <v>0.64723825017157655</v>
      </c>
      <c r="H4" s="105">
        <f t="shared" si="1"/>
        <v>0.7462039380285167</v>
      </c>
      <c r="I4" s="105">
        <f t="shared" si="1"/>
        <v>0.57356333012256899</v>
      </c>
      <c r="J4" s="105">
        <f t="shared" si="1"/>
        <v>0.13345051834712965</v>
      </c>
      <c r="K4" s="105">
        <f t="shared" si="1"/>
        <v>0.35394814422109799</v>
      </c>
    </row>
    <row r="5" spans="1:11">
      <c r="A5" s="102" t="s">
        <v>86</v>
      </c>
      <c r="B5" s="102">
        <f>'Calculated Data'!B4</f>
        <v>6.32</v>
      </c>
      <c r="C5" s="102">
        <f>'Calculated Data'!C4</f>
        <v>-2.84</v>
      </c>
      <c r="D5" s="102">
        <f>'Calculated Data'!D4</f>
        <v>0.83999999999999986</v>
      </c>
      <c r="E5" s="102">
        <f>'Calculated Data'!E4</f>
        <v>9.89</v>
      </c>
      <c r="F5" s="102">
        <f>'Calculated Data'!F4</f>
        <v>44.08</v>
      </c>
      <c r="G5" s="102">
        <f>'Calculated Data'!G4</f>
        <v>48.06</v>
      </c>
      <c r="H5" s="102">
        <f>'Calculated Data'!H4</f>
        <v>109.56</v>
      </c>
      <c r="I5" s="102">
        <f>'Calculated Data'!I4</f>
        <v>182.51</v>
      </c>
      <c r="J5" s="102">
        <f>'Calculated Data'!J4</f>
        <v>241.56</v>
      </c>
      <c r="K5" s="102">
        <f>'Calculated Data'!K4</f>
        <v>340.03000000000003</v>
      </c>
    </row>
    <row r="6" spans="1:11">
      <c r="A6" s="114" t="s">
        <v>222</v>
      </c>
      <c r="B6" s="114"/>
      <c r="C6" s="115">
        <f>(C5-B5)/B5</f>
        <v>-1.4493670886075949</v>
      </c>
      <c r="D6" s="115">
        <f t="shared" ref="D6:K6" si="2">(D5-C5)/C5</f>
        <v>-1.295774647887324</v>
      </c>
      <c r="E6" s="115">
        <f t="shared" si="2"/>
        <v>10.773809523809527</v>
      </c>
      <c r="F6" s="115">
        <f t="shared" si="2"/>
        <v>3.4570273003033365</v>
      </c>
      <c r="G6" s="115">
        <f t="shared" si="2"/>
        <v>9.0290381125226957E-2</v>
      </c>
      <c r="H6" s="115">
        <f t="shared" si="2"/>
        <v>1.2796504369538078</v>
      </c>
      <c r="I6" s="115">
        <f t="shared" si="2"/>
        <v>0.66584519897772898</v>
      </c>
      <c r="J6" s="115">
        <f t="shared" si="2"/>
        <v>0.32354391540189587</v>
      </c>
      <c r="K6" s="115">
        <f t="shared" si="2"/>
        <v>0.4076419937075676</v>
      </c>
    </row>
    <row r="7" spans="1:11">
      <c r="A7" s="101" t="s">
        <v>217</v>
      </c>
      <c r="B7" s="97">
        <f>'Data Sheet'!B16</f>
        <v>39538</v>
      </c>
      <c r="C7" s="97">
        <f>'Data Sheet'!C16</f>
        <v>39903</v>
      </c>
      <c r="D7" s="97">
        <f>'Data Sheet'!D16</f>
        <v>40268</v>
      </c>
      <c r="E7" s="97">
        <f>'Data Sheet'!E16</f>
        <v>40633</v>
      </c>
      <c r="F7" s="97">
        <f>'Data Sheet'!F16</f>
        <v>40999</v>
      </c>
      <c r="G7" s="97">
        <f>'Data Sheet'!G16</f>
        <v>41364</v>
      </c>
      <c r="H7" s="97">
        <f>'Data Sheet'!H16</f>
        <v>41729</v>
      </c>
      <c r="I7" s="97">
        <f>'Data Sheet'!I16</f>
        <v>42094</v>
      </c>
      <c r="J7" s="97">
        <f>'Data Sheet'!J16</f>
        <v>42460</v>
      </c>
      <c r="K7" s="97">
        <f>'Data Sheet'!K16</f>
        <v>42825</v>
      </c>
    </row>
    <row r="8" spans="1:11">
      <c r="A8" s="102" t="str">
        <f>'Data Sheet'!A18</f>
        <v>Raw Material Cost</v>
      </c>
      <c r="B8" s="102">
        <f>'Data Sheet'!B18</f>
        <v>73.7</v>
      </c>
      <c r="C8" s="102">
        <f>'Data Sheet'!C18</f>
        <v>49.96</v>
      </c>
      <c r="D8" s="102">
        <f>'Data Sheet'!D18</f>
        <v>77.540000000000006</v>
      </c>
      <c r="E8" s="102">
        <f>'Data Sheet'!E18</f>
        <v>171.61</v>
      </c>
      <c r="F8" s="102">
        <f>'Data Sheet'!F18</f>
        <v>274.93</v>
      </c>
      <c r="G8" s="102">
        <f>'Data Sheet'!G18</f>
        <v>516.33000000000004</v>
      </c>
      <c r="H8" s="102">
        <f>'Data Sheet'!H18</f>
        <v>882.4</v>
      </c>
      <c r="I8" s="102">
        <f>'Data Sheet'!I18</f>
        <v>1383.06</v>
      </c>
      <c r="J8" s="102">
        <f>'Data Sheet'!J18</f>
        <v>1542.97</v>
      </c>
      <c r="K8" s="102">
        <f>'Data Sheet'!K18</f>
        <v>2100.54</v>
      </c>
    </row>
    <row r="9" spans="1:11">
      <c r="A9" s="102" t="str">
        <f>'Data Sheet'!A19</f>
        <v>Change in Inventory</v>
      </c>
      <c r="B9" s="102">
        <f>'Data Sheet'!B19</f>
        <v>0.89</v>
      </c>
      <c r="C9" s="102">
        <f>'Data Sheet'!C19</f>
        <v>-3.17</v>
      </c>
      <c r="D9" s="102">
        <f>'Data Sheet'!D19</f>
        <v>1</v>
      </c>
      <c r="E9" s="102">
        <f>'Data Sheet'!E19</f>
        <v>9.42</v>
      </c>
      <c r="F9" s="102">
        <f>'Data Sheet'!F19</f>
        <v>-4.17</v>
      </c>
      <c r="G9" s="102">
        <f>'Data Sheet'!G19</f>
        <v>19.36</v>
      </c>
      <c r="H9" s="102">
        <f>'Data Sheet'!H19</f>
        <v>12.63</v>
      </c>
      <c r="I9" s="102">
        <f>'Data Sheet'!I19</f>
        <v>15</v>
      </c>
      <c r="J9" s="102">
        <f>'Data Sheet'!J19</f>
        <v>14.06</v>
      </c>
      <c r="K9" s="102">
        <f>'Data Sheet'!K19</f>
        <v>29.38</v>
      </c>
    </row>
    <row r="10" spans="1:11">
      <c r="A10" s="102" t="str">
        <f>'Data Sheet'!A20</f>
        <v>Power and Fuel</v>
      </c>
      <c r="B10" s="102">
        <f>'Data Sheet'!B20</f>
        <v>3.57</v>
      </c>
      <c r="C10" s="102">
        <f>'Data Sheet'!C20</f>
        <v>3.02</v>
      </c>
      <c r="D10" s="102">
        <f>'Data Sheet'!D20</f>
        <v>3.73</v>
      </c>
      <c r="E10" s="102">
        <f>'Data Sheet'!E20</f>
        <v>7.05</v>
      </c>
      <c r="F10" s="102">
        <f>'Data Sheet'!F20</f>
        <v>10.85</v>
      </c>
      <c r="G10" s="102">
        <f>'Data Sheet'!G20</f>
        <v>19.12</v>
      </c>
      <c r="H10" s="102">
        <f>'Data Sheet'!H20</f>
        <v>26.39</v>
      </c>
      <c r="I10" s="102">
        <f>'Data Sheet'!I20</f>
        <v>28.83</v>
      </c>
      <c r="J10" s="102">
        <f>'Data Sheet'!J20</f>
        <v>25.63</v>
      </c>
      <c r="K10" s="102">
        <f>'Data Sheet'!K20</f>
        <v>33.65</v>
      </c>
    </row>
    <row r="11" spans="1:11">
      <c r="A11" s="102" t="str">
        <f>'Data Sheet'!A21</f>
        <v>Other Mfr. Exp</v>
      </c>
      <c r="B11" s="102">
        <f>'Data Sheet'!B21</f>
        <v>4.74</v>
      </c>
      <c r="C11" s="102">
        <f>'Data Sheet'!C21</f>
        <v>4.2</v>
      </c>
      <c r="D11" s="102">
        <f>'Data Sheet'!D21</f>
        <v>4.93</v>
      </c>
      <c r="E11" s="102">
        <f>'Data Sheet'!E21</f>
        <v>9.18</v>
      </c>
      <c r="F11" s="102">
        <f>'Data Sheet'!F21</f>
        <v>9.07</v>
      </c>
      <c r="G11" s="102">
        <f>'Data Sheet'!G21</f>
        <v>13.91</v>
      </c>
      <c r="H11" s="102">
        <f>'Data Sheet'!H21</f>
        <v>20.420000000000002</v>
      </c>
      <c r="I11" s="102">
        <f>'Data Sheet'!I21</f>
        <v>34.56</v>
      </c>
      <c r="J11" s="102">
        <f>'Data Sheet'!J21</f>
        <v>34.869999999999997</v>
      </c>
      <c r="K11" s="102">
        <f>'Data Sheet'!K21</f>
        <v>45.43</v>
      </c>
    </row>
    <row r="12" spans="1:11">
      <c r="A12" s="102" t="str">
        <f>'Data Sheet'!A22</f>
        <v>Employee Cost</v>
      </c>
      <c r="B12" s="102">
        <f>'Data Sheet'!B22</f>
        <v>4.53</v>
      </c>
      <c r="C12" s="102">
        <f>'Data Sheet'!C22</f>
        <v>4.3099999999999996</v>
      </c>
      <c r="D12" s="102">
        <f>'Data Sheet'!D22</f>
        <v>4.6500000000000004</v>
      </c>
      <c r="E12" s="102">
        <f>'Data Sheet'!E22</f>
        <v>6.7</v>
      </c>
      <c r="F12" s="102">
        <f>'Data Sheet'!F22</f>
        <v>12.47</v>
      </c>
      <c r="G12" s="102">
        <f>'Data Sheet'!G22</f>
        <v>17.420000000000002</v>
      </c>
      <c r="H12" s="102">
        <f>'Data Sheet'!H22</f>
        <v>35.22</v>
      </c>
      <c r="I12" s="102">
        <f>'Data Sheet'!I22</f>
        <v>47.64</v>
      </c>
      <c r="J12" s="102">
        <f>'Data Sheet'!J22</f>
        <v>58.08</v>
      </c>
      <c r="K12" s="102">
        <f>'Data Sheet'!K22</f>
        <v>73.349999999999994</v>
      </c>
    </row>
    <row r="13" spans="1:11">
      <c r="A13" s="102" t="str">
        <f>'Data Sheet'!A23</f>
        <v>Selling and admin</v>
      </c>
      <c r="B13" s="102">
        <f>'Data Sheet'!B23</f>
        <v>7.58</v>
      </c>
      <c r="C13" s="102">
        <f>'Data Sheet'!C23</f>
        <v>7.12</v>
      </c>
      <c r="D13" s="102">
        <f>'Data Sheet'!D23</f>
        <v>7.98</v>
      </c>
      <c r="E13" s="102">
        <f>'Data Sheet'!E23</f>
        <v>14.34</v>
      </c>
      <c r="F13" s="102">
        <f>'Data Sheet'!F23</f>
        <v>29.9</v>
      </c>
      <c r="G13" s="102">
        <f>'Data Sheet'!G23</f>
        <v>47.48</v>
      </c>
      <c r="H13" s="102">
        <f>'Data Sheet'!H23</f>
        <v>66.400000000000006</v>
      </c>
      <c r="I13" s="102">
        <f>'Data Sheet'!I23</f>
        <v>116.67</v>
      </c>
      <c r="J13" s="102">
        <f>'Data Sheet'!J23</f>
        <v>133.26</v>
      </c>
      <c r="K13" s="102">
        <f>'Data Sheet'!K23</f>
        <v>168.94</v>
      </c>
    </row>
    <row r="14" spans="1:11">
      <c r="A14" s="102" t="str">
        <f>'Data Sheet'!A24</f>
        <v>Other Expenses</v>
      </c>
      <c r="B14" s="102">
        <f>'Data Sheet'!B24</f>
        <v>3.34</v>
      </c>
      <c r="C14" s="102">
        <f>'Data Sheet'!C24</f>
        <v>1.3</v>
      </c>
      <c r="D14" s="102">
        <f>'Data Sheet'!D24</f>
        <v>0.78</v>
      </c>
      <c r="E14" s="102">
        <f>'Data Sheet'!E24</f>
        <v>0.51</v>
      </c>
      <c r="F14" s="102">
        <f>'Data Sheet'!F24</f>
        <v>7.29</v>
      </c>
      <c r="G14" s="102">
        <f>'Data Sheet'!G24</f>
        <v>2.68</v>
      </c>
      <c r="H14" s="102">
        <f>'Data Sheet'!H24</f>
        <v>1.98</v>
      </c>
      <c r="I14" s="102">
        <f>'Data Sheet'!I24</f>
        <v>2.61</v>
      </c>
      <c r="J14" s="102">
        <f>'Data Sheet'!J24</f>
        <v>7.24</v>
      </c>
      <c r="K14" s="102">
        <f>'Data Sheet'!K24</f>
        <v>8.27</v>
      </c>
    </row>
    <row r="15" spans="1:11">
      <c r="A15" s="102" t="s">
        <v>245</v>
      </c>
      <c r="B15" s="102">
        <f>'Profit &amp; Loss'!B9</f>
        <v>5</v>
      </c>
      <c r="C15" s="102">
        <f>'Profit &amp; Loss'!C9</f>
        <v>7.09</v>
      </c>
      <c r="D15" s="102">
        <f>'Profit &amp; Loss'!D9</f>
        <v>3.13</v>
      </c>
      <c r="E15" s="102">
        <f>'Profit &amp; Loss'!E9</f>
        <v>4.5999999999999996</v>
      </c>
      <c r="F15" s="102">
        <f>'Profit &amp; Loss'!F9</f>
        <v>4.07</v>
      </c>
      <c r="G15" s="102">
        <f>'Profit &amp; Loss'!G9</f>
        <v>3.92</v>
      </c>
      <c r="H15" s="102">
        <f>'Profit &amp; Loss'!H9</f>
        <v>4.3899999999999997</v>
      </c>
      <c r="I15" s="102">
        <f>'Profit &amp; Loss'!I9</f>
        <v>2.67</v>
      </c>
      <c r="J15" s="102">
        <f>'Profit &amp; Loss'!J9</f>
        <v>3.38</v>
      </c>
      <c r="K15" s="102">
        <f>'Profit &amp; Loss'!K9</f>
        <v>4.8499999999999996</v>
      </c>
    </row>
    <row r="16" spans="1:11">
      <c r="A16" s="101" t="s">
        <v>218</v>
      </c>
      <c r="B16" s="97">
        <f t="shared" ref="B16:K16" si="3">B1</f>
        <v>39538</v>
      </c>
      <c r="C16" s="97">
        <f t="shared" si="3"/>
        <v>39903</v>
      </c>
      <c r="D16" s="97">
        <f t="shared" si="3"/>
        <v>40268</v>
      </c>
      <c r="E16" s="97">
        <f t="shared" si="3"/>
        <v>40633</v>
      </c>
      <c r="F16" s="97">
        <f t="shared" si="3"/>
        <v>40999</v>
      </c>
      <c r="G16" s="97">
        <f t="shared" si="3"/>
        <v>41364</v>
      </c>
      <c r="H16" s="97">
        <f t="shared" si="3"/>
        <v>41729</v>
      </c>
      <c r="I16" s="97">
        <f t="shared" si="3"/>
        <v>42094</v>
      </c>
      <c r="J16" s="97">
        <f t="shared" si="3"/>
        <v>42460</v>
      </c>
      <c r="K16" s="97">
        <f t="shared" si="3"/>
        <v>42825</v>
      </c>
    </row>
    <row r="17" spans="1:12">
      <c r="A17" s="111" t="str">
        <f t="shared" ref="A17:A23" si="4">A8</f>
        <v>Raw Material Cost</v>
      </c>
      <c r="B17" s="112">
        <f t="shared" ref="B17:K17" si="5">B8/B$2</f>
        <v>0.75196408529741865</v>
      </c>
      <c r="C17" s="112">
        <f t="shared" si="5"/>
        <v>0.72081950656470928</v>
      </c>
      <c r="D17" s="112">
        <f t="shared" si="5"/>
        <v>0.84706139392615254</v>
      </c>
      <c r="E17" s="112">
        <f t="shared" si="5"/>
        <v>0.82604091456077022</v>
      </c>
      <c r="F17" s="112">
        <f t="shared" si="5"/>
        <v>0.6988383620141837</v>
      </c>
      <c r="G17" s="112">
        <f t="shared" si="5"/>
        <v>0.79675637306339131</v>
      </c>
      <c r="H17" s="112">
        <f t="shared" si="5"/>
        <v>0.77977395038926844</v>
      </c>
      <c r="I17" s="112">
        <f t="shared" si="5"/>
        <v>0.77671200566082232</v>
      </c>
      <c r="J17" s="112">
        <f t="shared" si="5"/>
        <v>0.76449370506716086</v>
      </c>
      <c r="K17" s="112">
        <f t="shared" si="5"/>
        <v>0.7686796015603844</v>
      </c>
      <c r="L17" t="s">
        <v>340</v>
      </c>
    </row>
    <row r="18" spans="1:12">
      <c r="A18" s="102" t="str">
        <f t="shared" si="4"/>
        <v>Change in Inventory</v>
      </c>
      <c r="B18" s="103">
        <f t="shared" ref="B18:K18" si="6">B9/B$2</f>
        <v>9.0807060504030195E-3</v>
      </c>
      <c r="C18" s="103">
        <f t="shared" si="6"/>
        <v>-4.573654595296494E-2</v>
      </c>
      <c r="D18" s="103">
        <f t="shared" si="6"/>
        <v>1.0924186148131964E-2</v>
      </c>
      <c r="E18" s="103">
        <f t="shared" si="6"/>
        <v>4.5342960288808666E-2</v>
      </c>
      <c r="F18" s="103">
        <f t="shared" si="6"/>
        <v>-1.0599628885895121E-2</v>
      </c>
      <c r="G18" s="103">
        <f t="shared" si="6"/>
        <v>2.9874699092648602E-2</v>
      </c>
      <c r="H18" s="103">
        <f t="shared" si="6"/>
        <v>1.1161089067788375E-2</v>
      </c>
      <c r="I18" s="103">
        <f t="shared" si="6"/>
        <v>8.423842844787888E-3</v>
      </c>
      <c r="J18" s="103">
        <f t="shared" si="6"/>
        <v>6.9662932482448016E-3</v>
      </c>
      <c r="K18" s="103">
        <f t="shared" si="6"/>
        <v>1.0751429010561139E-2</v>
      </c>
    </row>
    <row r="19" spans="1:12">
      <c r="A19" s="102" t="str">
        <f t="shared" si="4"/>
        <v>Power and Fuel</v>
      </c>
      <c r="B19" s="103">
        <f t="shared" ref="B19:K19" si="7">B10/B$2</f>
        <v>3.6424854606672788E-2</v>
      </c>
      <c r="C19" s="103">
        <f t="shared" si="7"/>
        <v>4.3572356081373539E-2</v>
      </c>
      <c r="D19" s="103">
        <f t="shared" si="7"/>
        <v>4.0747214332532221E-2</v>
      </c>
      <c r="E19" s="103">
        <f t="shared" si="7"/>
        <v>3.3935018050541513E-2</v>
      </c>
      <c r="F19" s="103">
        <f t="shared" si="7"/>
        <v>2.7579370122772676E-2</v>
      </c>
      <c r="G19" s="103">
        <f t="shared" si="7"/>
        <v>2.9504351583235607E-2</v>
      </c>
      <c r="H19" s="103">
        <f t="shared" si="7"/>
        <v>2.3320755383922025E-2</v>
      </c>
      <c r="I19" s="103">
        <f t="shared" si="7"/>
        <v>1.6190625947682318E-2</v>
      </c>
      <c r="J19" s="103">
        <f t="shared" si="7"/>
        <v>1.2698868844417798E-2</v>
      </c>
      <c r="K19" s="103">
        <f t="shared" si="7"/>
        <v>1.2314009060768629E-2</v>
      </c>
    </row>
    <row r="20" spans="1:12">
      <c r="A20" s="102" t="str">
        <f t="shared" si="4"/>
        <v>Other Mfr. Exp</v>
      </c>
      <c r="B20" s="103">
        <f t="shared" ref="B20:K20" si="8">B11/B$2</f>
        <v>4.8362411998775633E-2</v>
      </c>
      <c r="C20" s="103">
        <f t="shared" si="8"/>
        <v>6.0597316404559225E-2</v>
      </c>
      <c r="D20" s="103">
        <f t="shared" si="8"/>
        <v>5.3856237710290578E-2</v>
      </c>
      <c r="E20" s="103">
        <f t="shared" si="8"/>
        <v>4.4187725631768954E-2</v>
      </c>
      <c r="F20" s="103">
        <f t="shared" si="8"/>
        <v>2.3054828296179556E-2</v>
      </c>
      <c r="G20" s="103">
        <f t="shared" si="8"/>
        <v>2.1464724399728415E-2</v>
      </c>
      <c r="H20" s="103">
        <f t="shared" si="8"/>
        <v>1.8045086204611132E-2</v>
      </c>
      <c r="I20" s="103">
        <f t="shared" si="8"/>
        <v>1.9408533914391294E-2</v>
      </c>
      <c r="J20" s="103">
        <f t="shared" si="8"/>
        <v>1.7277001818370996E-2</v>
      </c>
      <c r="K20" s="103">
        <f t="shared" si="8"/>
        <v>1.6624827091551823E-2</v>
      </c>
    </row>
    <row r="21" spans="1:12">
      <c r="A21" s="102" t="str">
        <f t="shared" si="4"/>
        <v>Employee Cost</v>
      </c>
      <c r="B21" s="103">
        <f t="shared" ref="B21:K21" si="9">B12/B$2</f>
        <v>4.6219773492500768E-2</v>
      </c>
      <c r="C21" s="103">
        <f t="shared" si="9"/>
        <v>6.2184388977059579E-2</v>
      </c>
      <c r="D21" s="103">
        <f t="shared" si="9"/>
        <v>5.0797465588813637E-2</v>
      </c>
      <c r="E21" s="103">
        <f t="shared" si="9"/>
        <v>3.2250300842358602E-2</v>
      </c>
      <c r="F21" s="103">
        <f t="shared" si="9"/>
        <v>3.1697211560458557E-2</v>
      </c>
      <c r="G21" s="103">
        <f t="shared" si="9"/>
        <v>2.6881056724893528E-2</v>
      </c>
      <c r="H21" s="103">
        <f t="shared" si="9"/>
        <v>3.1123797067894417E-2</v>
      </c>
      <c r="I21" s="103">
        <f t="shared" si="9"/>
        <v>2.6754124875046331E-2</v>
      </c>
      <c r="J21" s="103">
        <f t="shared" si="9"/>
        <v>2.8776835836277246E-2</v>
      </c>
      <c r="K21" s="103">
        <f t="shared" si="9"/>
        <v>2.6841978145835926E-2</v>
      </c>
      <c r="L21" t="s">
        <v>341</v>
      </c>
    </row>
    <row r="22" spans="1:12">
      <c r="A22" s="102" t="str">
        <f t="shared" si="4"/>
        <v>Selling and admin</v>
      </c>
      <c r="B22" s="103">
        <f t="shared" ref="B22:K22" si="10">B13/B$2</f>
        <v>7.7339047036016725E-2</v>
      </c>
      <c r="C22" s="103">
        <f t="shared" si="10"/>
        <v>0.10272687923820516</v>
      </c>
      <c r="D22" s="103">
        <f t="shared" si="10"/>
        <v>8.7175005462093072E-2</v>
      </c>
      <c r="E22" s="103">
        <f t="shared" si="10"/>
        <v>6.9025270758122745E-2</v>
      </c>
      <c r="F22" s="103">
        <f t="shared" si="10"/>
        <v>7.6002135177041755E-2</v>
      </c>
      <c r="G22" s="103">
        <f t="shared" si="10"/>
        <v>7.3267082278871673E-2</v>
      </c>
      <c r="H22" s="103">
        <f t="shared" si="10"/>
        <v>5.8677459548784484E-2</v>
      </c>
      <c r="I22" s="103">
        <f t="shared" si="10"/>
        <v>6.5520649646760187E-2</v>
      </c>
      <c r="J22" s="103">
        <f t="shared" si="10"/>
        <v>6.6026190487987357E-2</v>
      </c>
      <c r="K22" s="103">
        <f t="shared" si="10"/>
        <v>6.1822546529754892E-2</v>
      </c>
    </row>
    <row r="23" spans="1:12">
      <c r="A23" s="102" t="str">
        <f t="shared" si="4"/>
        <v>Other Expenses</v>
      </c>
      <c r="B23" s="103">
        <f t="shared" ref="B23:K23" si="11">B14/B$2</f>
        <v>3.4078155290276496E-2</v>
      </c>
      <c r="C23" s="103">
        <f t="shared" si="11"/>
        <v>1.8756312220458808E-2</v>
      </c>
      <c r="D23" s="103">
        <f t="shared" si="11"/>
        <v>8.5208651955429315E-3</v>
      </c>
      <c r="E23" s="103">
        <f t="shared" si="11"/>
        <v>2.4548736462093861E-3</v>
      </c>
      <c r="F23" s="103">
        <f t="shared" si="11"/>
        <v>1.8530286469586436E-2</v>
      </c>
      <c r="G23" s="103">
        <f t="shared" si="11"/>
        <v>4.1355471884451586E-3</v>
      </c>
      <c r="H23" s="103">
        <f t="shared" si="11"/>
        <v>1.7497194263041155E-3</v>
      </c>
      <c r="I23" s="103">
        <f t="shared" si="11"/>
        <v>1.4657486549930923E-3</v>
      </c>
      <c r="J23" s="103">
        <f t="shared" si="11"/>
        <v>3.5871951008031554E-3</v>
      </c>
      <c r="K23" s="103">
        <f t="shared" si="11"/>
        <v>3.026355272884296E-3</v>
      </c>
    </row>
    <row r="24" spans="1:12">
      <c r="A24" s="102" t="s">
        <v>245</v>
      </c>
      <c r="B24" s="103">
        <f t="shared" ref="B24:K24" si="12">B15/B2</f>
        <v>5.1015202530354041E-2</v>
      </c>
      <c r="C24" s="103">
        <f t="shared" si="12"/>
        <v>0.10229404126388687</v>
      </c>
      <c r="D24" s="103">
        <f t="shared" si="12"/>
        <v>3.4192702643653046E-2</v>
      </c>
      <c r="E24" s="103">
        <f t="shared" si="12"/>
        <v>2.2141997593261128E-2</v>
      </c>
      <c r="F24" s="103">
        <f t="shared" si="12"/>
        <v>1.0345441142828093E-2</v>
      </c>
      <c r="G24" s="103">
        <f t="shared" si="12"/>
        <v>6.0490093204123201E-3</v>
      </c>
      <c r="H24" s="103">
        <f t="shared" si="12"/>
        <v>3.8794284249874075E-3</v>
      </c>
      <c r="I24" s="103">
        <f t="shared" si="12"/>
        <v>1.499444026372244E-3</v>
      </c>
      <c r="J24" s="103">
        <f t="shared" si="12"/>
        <v>1.6746850056235723E-3</v>
      </c>
      <c r="K24" s="103">
        <f t="shared" si="12"/>
        <v>1.774827457495627E-3</v>
      </c>
    </row>
    <row r="25" spans="1:12">
      <c r="A25" s="102" t="s">
        <v>251</v>
      </c>
      <c r="B25" s="150"/>
      <c r="C25" s="150"/>
      <c r="D25" s="150"/>
      <c r="E25" s="150"/>
      <c r="F25" s="150"/>
      <c r="G25" s="150"/>
      <c r="H25" s="150"/>
      <c r="I25" s="150"/>
      <c r="J25" s="150"/>
      <c r="K25" s="150"/>
      <c r="L25" t="s">
        <v>252</v>
      </c>
    </row>
    <row r="26" spans="1:12">
      <c r="A26" s="101" t="s">
        <v>230</v>
      </c>
      <c r="B26" s="97">
        <f>B16</f>
        <v>39538</v>
      </c>
      <c r="C26" s="97">
        <f t="shared" ref="C26:K26" si="13">C16</f>
        <v>39903</v>
      </c>
      <c r="D26" s="97">
        <f t="shared" si="13"/>
        <v>40268</v>
      </c>
      <c r="E26" s="97">
        <f t="shared" si="13"/>
        <v>40633</v>
      </c>
      <c r="F26" s="97">
        <f t="shared" si="13"/>
        <v>40999</v>
      </c>
      <c r="G26" s="97">
        <f t="shared" si="13"/>
        <v>41364</v>
      </c>
      <c r="H26" s="97">
        <f t="shared" si="13"/>
        <v>41729</v>
      </c>
      <c r="I26" s="97">
        <f t="shared" si="13"/>
        <v>42094</v>
      </c>
      <c r="J26" s="97">
        <f t="shared" si="13"/>
        <v>42460</v>
      </c>
      <c r="K26" s="97">
        <f t="shared" si="13"/>
        <v>42825</v>
      </c>
    </row>
    <row r="27" spans="1:12">
      <c r="A27" s="102" t="s">
        <v>223</v>
      </c>
      <c r="B27" s="102"/>
      <c r="C27" s="106">
        <f t="shared" ref="C27:K27" si="14">((C8-B8)/B8)/C$4</f>
        <v>1.1000228821051536</v>
      </c>
      <c r="D27" s="106">
        <f t="shared" si="14"/>
        <v>1.721187836459001</v>
      </c>
      <c r="E27" s="106">
        <f t="shared" si="14"/>
        <v>0.95563655551660787</v>
      </c>
      <c r="F27" s="106">
        <f t="shared" si="14"/>
        <v>0.67369681245845736</v>
      </c>
      <c r="G27" s="106">
        <f t="shared" si="14"/>
        <v>1.356597331979092</v>
      </c>
      <c r="H27" s="106">
        <f t="shared" si="14"/>
        <v>0.95012171338640838</v>
      </c>
      <c r="I27" s="106">
        <f t="shared" si="14"/>
        <v>0.98922712866555806</v>
      </c>
      <c r="J27" s="106">
        <f t="shared" si="14"/>
        <v>0.86639180781902037</v>
      </c>
      <c r="K27" s="106">
        <f t="shared" si="14"/>
        <v>1.0209448359489064</v>
      </c>
    </row>
    <row r="28" spans="1:12">
      <c r="A28" s="102" t="s">
        <v>224</v>
      </c>
      <c r="B28" s="102"/>
      <c r="C28" s="106">
        <f t="shared" ref="C28:K28" si="15">((C9-B9)/B9)/C$4</f>
        <v>15.578459852014246</v>
      </c>
      <c r="D28" s="106">
        <f t="shared" si="15"/>
        <v>-4.1014104054117331</v>
      </c>
      <c r="E28" s="106">
        <f t="shared" si="15"/>
        <v>6.6325342053179597</v>
      </c>
      <c r="F28" s="106">
        <f t="shared" si="15"/>
        <v>-1.6143259955359806</v>
      </c>
      <c r="G28" s="106">
        <f t="shared" si="15"/>
        <v>-8.7180970065090015</v>
      </c>
      <c r="H28" s="106">
        <f t="shared" si="15"/>
        <v>-0.4658565161966004</v>
      </c>
      <c r="I28" s="106">
        <f t="shared" si="15"/>
        <v>0.32716257508461544</v>
      </c>
      <c r="J28" s="106">
        <f t="shared" si="15"/>
        <v>-0.4695872855559764</v>
      </c>
      <c r="K28" s="106">
        <f t="shared" si="15"/>
        <v>3.0784620558444087</v>
      </c>
    </row>
    <row r="29" spans="1:12">
      <c r="A29" s="111" t="s">
        <v>225</v>
      </c>
      <c r="B29" s="111"/>
      <c r="C29" s="113">
        <f t="shared" ref="C29:K29" si="16">((C10-B10)/B10)/C$4</f>
        <v>0.52611776417884204</v>
      </c>
      <c r="D29" s="113">
        <f t="shared" si="16"/>
        <v>0.73300652718568349</v>
      </c>
      <c r="E29" s="113">
        <f t="shared" si="16"/>
        <v>0.70112694661808739</v>
      </c>
      <c r="F29" s="113">
        <f t="shared" si="16"/>
        <v>0.60313865886165741</v>
      </c>
      <c r="G29" s="113">
        <f t="shared" si="16"/>
        <v>1.1776374176970621</v>
      </c>
      <c r="H29" s="113">
        <f t="shared" si="16"/>
        <v>0.5095525581486301</v>
      </c>
      <c r="I29" s="113">
        <f t="shared" si="16"/>
        <v>0.16120149252446034</v>
      </c>
      <c r="J29" s="113">
        <f t="shared" si="16"/>
        <v>-0.83173517932291541</v>
      </c>
      <c r="K29" s="113">
        <f t="shared" si="16"/>
        <v>0.88406891904039775</v>
      </c>
    </row>
    <row r="30" spans="1:12">
      <c r="A30" s="102" t="s">
        <v>226</v>
      </c>
      <c r="B30" s="102"/>
      <c r="C30" s="106">
        <f t="shared" ref="C30:K30" si="17">((C11-B11)/B11)/C$4</f>
        <v>0.38904864817183432</v>
      </c>
      <c r="D30" s="106">
        <f t="shared" si="17"/>
        <v>0.54191354454512308</v>
      </c>
      <c r="E30" s="106">
        <f t="shared" si="17"/>
        <v>0.67906198350785896</v>
      </c>
      <c r="F30" s="106">
        <f t="shared" si="17"/>
        <v>-1.3408268259007365E-2</v>
      </c>
      <c r="G30" s="106">
        <f t="shared" si="17"/>
        <v>0.82446818114841713</v>
      </c>
      <c r="H30" s="106">
        <f t="shared" si="17"/>
        <v>0.62718595150223722</v>
      </c>
      <c r="I30" s="106">
        <f t="shared" si="17"/>
        <v>1.2072919201355159</v>
      </c>
      <c r="J30" s="106">
        <f t="shared" si="17"/>
        <v>6.7215230922332336E-2</v>
      </c>
      <c r="K30" s="106">
        <f t="shared" si="17"/>
        <v>0.8556030640750325</v>
      </c>
    </row>
    <row r="31" spans="1:12">
      <c r="A31" s="102" t="s">
        <v>227</v>
      </c>
      <c r="B31" s="102"/>
      <c r="C31" s="106">
        <f t="shared" ref="C31:K31" si="18">((C12-B12)/B12)/C$4</f>
        <v>0.16584904354246993</v>
      </c>
      <c r="D31" s="106">
        <f t="shared" si="18"/>
        <v>0.24595637466561929</v>
      </c>
      <c r="E31" s="106">
        <f t="shared" si="18"/>
        <v>0.34727083801756736</v>
      </c>
      <c r="F31" s="106">
        <f t="shared" si="18"/>
        <v>0.96365969892002867</v>
      </c>
      <c r="G31" s="106">
        <f t="shared" si="18"/>
        <v>0.61330226750697403</v>
      </c>
      <c r="H31" s="106">
        <f t="shared" si="18"/>
        <v>1.3693495233867072</v>
      </c>
      <c r="I31" s="106">
        <f t="shared" si="18"/>
        <v>0.61482407717635257</v>
      </c>
      <c r="J31" s="106">
        <f t="shared" si="18"/>
        <v>1.6421335753538489</v>
      </c>
      <c r="K31" s="106">
        <f t="shared" si="18"/>
        <v>0.74280153020455986</v>
      </c>
    </row>
    <row r="32" spans="1:12">
      <c r="A32" s="102" t="s">
        <v>228</v>
      </c>
      <c r="B32" s="102"/>
      <c r="C32" s="106">
        <f t="shared" ref="C32:K32" si="19">((C13-B13)/B13)/C$4</f>
        <v>0.20724168681566194</v>
      </c>
      <c r="D32" s="106">
        <f t="shared" si="19"/>
        <v>0.37659529838713762</v>
      </c>
      <c r="E32" s="106">
        <f t="shared" si="19"/>
        <v>0.62780046234681441</v>
      </c>
      <c r="F32" s="106">
        <f t="shared" si="19"/>
        <v>1.214180147541035</v>
      </c>
      <c r="G32" s="106">
        <f t="shared" si="19"/>
        <v>0.90841334866237167</v>
      </c>
      <c r="H32" s="106">
        <f t="shared" si="19"/>
        <v>0.53401429786490939</v>
      </c>
      <c r="I32" s="106">
        <f t="shared" si="19"/>
        <v>1.3199559202838616</v>
      </c>
      <c r="J32" s="106">
        <f t="shared" si="19"/>
        <v>1.0655330456570971</v>
      </c>
      <c r="K32" s="106">
        <f t="shared" si="19"/>
        <v>0.75645900498434293</v>
      </c>
    </row>
    <row r="33" spans="1:11">
      <c r="A33" s="102" t="s">
        <v>229</v>
      </c>
      <c r="B33" s="102"/>
      <c r="C33" s="106">
        <f t="shared" ref="C33:K33" si="20">((C14-B14)/B14)/C$4</f>
        <v>2.0857977424941057</v>
      </c>
      <c r="D33" s="106">
        <f t="shared" si="20"/>
        <v>-1.2471434997750785</v>
      </c>
      <c r="E33" s="106">
        <f t="shared" si="20"/>
        <v>-0.27266950414700181</v>
      </c>
      <c r="F33" s="106">
        <f t="shared" si="20"/>
        <v>14.875864166629702</v>
      </c>
      <c r="G33" s="106">
        <f t="shared" si="20"/>
        <v>-0.97703297616752305</v>
      </c>
      <c r="H33" s="106">
        <f t="shared" si="20"/>
        <v>-0.35003035569716412</v>
      </c>
      <c r="I33" s="106">
        <f t="shared" si="20"/>
        <v>0.55474574728099069</v>
      </c>
      <c r="J33" s="106">
        <f t="shared" si="20"/>
        <v>13.292914723185206</v>
      </c>
      <c r="K33" s="106">
        <f t="shared" si="20"/>
        <v>0.40193795529917509</v>
      </c>
    </row>
    <row r="34" spans="1:11">
      <c r="A34" s="101" t="s">
        <v>230</v>
      </c>
      <c r="B34" s="97">
        <f>B26</f>
        <v>39538</v>
      </c>
      <c r="C34" s="97">
        <f t="shared" ref="C34:K34" si="21">C26</f>
        <v>39903</v>
      </c>
      <c r="D34" s="97">
        <f t="shared" si="21"/>
        <v>40268</v>
      </c>
      <c r="E34" s="97">
        <f t="shared" si="21"/>
        <v>40633</v>
      </c>
      <c r="F34" s="97">
        <f t="shared" si="21"/>
        <v>40999</v>
      </c>
      <c r="G34" s="97">
        <f t="shared" si="21"/>
        <v>41364</v>
      </c>
      <c r="H34" s="97">
        <f t="shared" si="21"/>
        <v>41729</v>
      </c>
      <c r="I34" s="97">
        <f t="shared" si="21"/>
        <v>42094</v>
      </c>
      <c r="J34" s="97">
        <f t="shared" si="21"/>
        <v>42460</v>
      </c>
      <c r="K34" s="97">
        <f t="shared" si="21"/>
        <v>42825</v>
      </c>
    </row>
    <row r="35" spans="1:11">
      <c r="A35" s="102" t="s">
        <v>231</v>
      </c>
      <c r="B35" s="102"/>
      <c r="C35" s="107">
        <f>(('Calculated Data'!C11-'Calculated Data'!B11)/'Calculated Data'!B11)/'Cost Analysis'!C$4</f>
        <v>-3.5191494006569495E-3</v>
      </c>
      <c r="D35" s="107">
        <f>(('Calculated Data'!D11-'Calculated Data'!C11)/'Calculated Data'!C11)/'Cost Analysis'!D$4</f>
        <v>-0.43201954671022663</v>
      </c>
      <c r="E35" s="107">
        <f>(('Calculated Data'!E11-'Calculated Data'!D11)/'Calculated Data'!D11)/'Cost Analysis'!E$4</f>
        <v>0.18356097116333378</v>
      </c>
      <c r="F35" s="107">
        <f>(('Calculated Data'!F11-'Calculated Data'!E11)/'Calculated Data'!E11)/'Cost Analysis'!F$4</f>
        <v>4.4681153745870068E-2</v>
      </c>
      <c r="G35" s="107">
        <f>(('Calculated Data'!G11-'Calculated Data'!F11)/'Calculated Data'!F11)/'Cost Analysis'!G$4</f>
        <v>1.3022568682245266</v>
      </c>
      <c r="H35" s="107">
        <f>(('Calculated Data'!H11-'Calculated Data'!G11)/'Calculated Data'!G11)/'Cost Analysis'!H$4</f>
        <v>0.19233588699271162</v>
      </c>
      <c r="I35" s="107">
        <f>(('Calculated Data'!I11-'Calculated Data'!H11)/'Calculated Data'!H11)/'Cost Analysis'!I$4</f>
        <v>0.15374634480884092</v>
      </c>
      <c r="J35" s="107">
        <f>(('Calculated Data'!J11-'Calculated Data'!I11)/'Calculated Data'!I11)/'Cost Analysis'!J$4</f>
        <v>8.0220887200031221</v>
      </c>
      <c r="K35" s="107">
        <f>(('Calculated Data'!K11-'Calculated Data'!J11)/'Calculated Data'!J11)/'Cost Analysis'!K$4</f>
        <v>-2.1216717115140487</v>
      </c>
    </row>
    <row r="36" spans="1:11">
      <c r="A36" s="102" t="s">
        <v>232</v>
      </c>
      <c r="B36" s="102"/>
      <c r="C36" s="108">
        <f>('Balance Sheet'!C17-'Balance Sheet'!B17)/'Balance Sheet'!B17/'Cost Analysis'!C$4</f>
        <v>-0.58513733987308225</v>
      </c>
      <c r="D36" s="108">
        <f>('Balance Sheet'!D17-'Balance Sheet'!C17)/'Balance Sheet'!C17/'Cost Analysis'!D$4</f>
        <v>-1.3623430727366479</v>
      </c>
      <c r="E36" s="108">
        <f>('Balance Sheet'!E17-'Balance Sheet'!D17)/'Balance Sheet'!D17/'Cost Analysis'!E$4</f>
        <v>1.2243495166924225</v>
      </c>
      <c r="F36" s="108">
        <f>('Balance Sheet'!F17-'Balance Sheet'!E17)/'Balance Sheet'!E17/'Cost Analysis'!F$4</f>
        <v>-0.35811314380021686</v>
      </c>
      <c r="G36" s="108">
        <f>('Balance Sheet'!G17-'Balance Sheet'!F17)/'Balance Sheet'!F17/'Cost Analysis'!G$4</f>
        <v>2.4126713434820908</v>
      </c>
      <c r="H36" s="108">
        <f>('Balance Sheet'!H17-'Balance Sheet'!G17)/'Balance Sheet'!G17/'Cost Analysis'!H$4</f>
        <v>0.17843480488978608</v>
      </c>
      <c r="I36" s="108">
        <f>('Balance Sheet'!I17-'Balance Sheet'!H17)/'Balance Sheet'!H17/'Cost Analysis'!I$4</f>
        <v>-0.44381068034677729</v>
      </c>
      <c r="J36" s="108">
        <f>('Balance Sheet'!J17-'Balance Sheet'!I17)/'Balance Sheet'!I17/'Cost Analysis'!J$4</f>
        <v>0.31483056987513253</v>
      </c>
      <c r="K36" s="108">
        <f>('Balance Sheet'!K17-'Balance Sheet'!J17)/'Balance Sheet'!J17/'Cost Analysis'!K$4</f>
        <v>-0.92586857879166018</v>
      </c>
    </row>
    <row r="37" spans="1:11">
      <c r="A37" s="102" t="s">
        <v>233</v>
      </c>
      <c r="B37" s="102"/>
      <c r="C37" s="108">
        <f>(('Balance Sheet'!C18-'Balance Sheet'!B18)/'Balance Sheet'!B18)/'Cost Analysis'!C$4</f>
        <v>0.80834044552323525</v>
      </c>
      <c r="D37" s="108">
        <f>(('Balance Sheet'!D18-'Balance Sheet'!C18)/'Balance Sheet'!C18)/'Cost Analysis'!D$4</f>
        <v>1.0540749157814393</v>
      </c>
      <c r="E37" s="108">
        <f>(('Balance Sheet'!E18-'Balance Sheet'!D18)/'Balance Sheet'!D18)/'Cost Analysis'!E$4</f>
        <v>0.34027305435416899</v>
      </c>
      <c r="F37" s="108">
        <f>(('Balance Sheet'!F18-'Balance Sheet'!E18)/'Balance Sheet'!E18)/'Cost Analysis'!F$4</f>
        <v>8.8830752674853616E-2</v>
      </c>
      <c r="G37" s="108">
        <f>(('Balance Sheet'!G18-'Balance Sheet'!F18)/'Balance Sheet'!F18)/'Cost Analysis'!G$4</f>
        <v>2.0164148673564406</v>
      </c>
      <c r="H37" s="108">
        <f>(('Balance Sheet'!H18-'Balance Sheet'!G18)/'Balance Sheet'!G18)/'Cost Analysis'!H$4</f>
        <v>1.4067358292631316</v>
      </c>
      <c r="I37" s="108">
        <f>(('Balance Sheet'!I18-'Balance Sheet'!H18)/'Balance Sheet'!H18)/'Cost Analysis'!I$4</f>
        <v>0.20021862579316221</v>
      </c>
      <c r="J37" s="108">
        <f>(('Balance Sheet'!J18-'Balance Sheet'!I18)/'Balance Sheet'!I18)/'Cost Analysis'!J$4</f>
        <v>2.1442059262945832</v>
      </c>
      <c r="K37" s="108">
        <f>(('Balance Sheet'!K18-'Balance Sheet'!J18)/'Balance Sheet'!J18)/'Cost Analysis'!K$4</f>
        <v>0.69407415213045476</v>
      </c>
    </row>
    <row r="38" spans="1:11">
      <c r="A38" s="102" t="s">
        <v>234</v>
      </c>
      <c r="B38" s="102"/>
      <c r="C38" s="109">
        <f>IF('Balance Sheet'!C19&gt;0,(('Balance Sheet'!C19-'Balance Sheet'!B19)/'Balance Sheet'!B19)/'Cost Analysis'!C$4,0)</f>
        <v>0</v>
      </c>
      <c r="D38" s="109">
        <f>IF('Balance Sheet'!D19&gt;0,(('Balance Sheet'!D19-'Balance Sheet'!C19)/'Balance Sheet'!C19)/'Cost Analysis'!D$4,0)</f>
        <v>0</v>
      </c>
      <c r="E38" s="109">
        <f>IF('Balance Sheet'!E19&gt;0,(('Balance Sheet'!E19-'Balance Sheet'!D19)/'Balance Sheet'!D19)/'Cost Analysis'!E$4,0)</f>
        <v>0</v>
      </c>
      <c r="F38" s="109">
        <f>IF('Balance Sheet'!F19&gt;0,(('Balance Sheet'!F19-'Balance Sheet'!E19)/'Balance Sheet'!E19)/'Cost Analysis'!F$4,0)</f>
        <v>0</v>
      </c>
      <c r="G38" s="109">
        <f>IF('Balance Sheet'!G19&gt;0,(('Balance Sheet'!G19-'Balance Sheet'!F19)/'Balance Sheet'!F19)/'Cost Analysis'!G$4,0)</f>
        <v>0</v>
      </c>
      <c r="H38" s="109">
        <f>IF('Balance Sheet'!H19&gt;0,(('Balance Sheet'!H19-'Balance Sheet'!G19)/'Balance Sheet'!G19)/'Cost Analysis'!H$4,0)</f>
        <v>0</v>
      </c>
      <c r="I38" s="109">
        <f>IF('Balance Sheet'!I19&gt;0,(('Balance Sheet'!I19-'Balance Sheet'!H19)/'Balance Sheet'!H19)/'Cost Analysis'!I$4,0)</f>
        <v>0</v>
      </c>
      <c r="J38" s="109">
        <f>IF('Balance Sheet'!J19&gt;0,(('Balance Sheet'!J19-'Balance Sheet'!I19)/'Balance Sheet'!I19)/'Cost Analysis'!J$4,0)</f>
        <v>0</v>
      </c>
      <c r="K38" s="109">
        <f>IF('Balance Sheet'!K19&gt;0,(('Balance Sheet'!K19-'Balance Sheet'!J19)/'Balance Sheet'!J19)/'Cost Analysis'!K$4,0)</f>
        <v>0</v>
      </c>
    </row>
    <row r="39" spans="1:11">
      <c r="A39" s="102" t="s">
        <v>235</v>
      </c>
      <c r="B39" s="102"/>
      <c r="C39" s="108">
        <f>(('Calculated Data'!C13-'Calculated Data'!B13)/'Calculated Data'!B13)/'Cost Analysis'!C$4</f>
        <v>0.14435363073502644</v>
      </c>
      <c r="D39" s="108">
        <f>(('Calculated Data'!D13-'Calculated Data'!C13)/'Calculated Data'!C13)/'Cost Analysis'!D$4</f>
        <v>-0.35374332288201854</v>
      </c>
      <c r="E39" s="108">
        <f>(('Calculated Data'!E13-'Calculated Data'!D13)/'Calculated Data'!D13)/'Cost Analysis'!E$4</f>
        <v>0.22365593282926569</v>
      </c>
      <c r="F39" s="108">
        <f>(('Calculated Data'!F13-'Calculated Data'!E13)/'Calculated Data'!E13)/'Cost Analysis'!F$4</f>
        <v>0.11153547794571046</v>
      </c>
      <c r="G39" s="108">
        <f>(('Calculated Data'!G13-'Calculated Data'!F13)/'Calculated Data'!F13)/'Cost Analysis'!G$4</f>
        <v>0.83052414951353382</v>
      </c>
      <c r="H39" s="108">
        <f>(('Calculated Data'!H13-'Calculated Data'!G13)/'Calculated Data'!G13)/'Cost Analysis'!H$4</f>
        <v>0.39031737340123274</v>
      </c>
      <c r="I39" s="108">
        <f>(('Calculated Data'!I13-'Calculated Data'!H13)/'Calculated Data'!H13)/'Cost Analysis'!I$4</f>
        <v>0.15366383377442536</v>
      </c>
      <c r="J39" s="108">
        <f>(('Calculated Data'!J13-'Calculated Data'!I13)/'Calculated Data'!I13)/'Cost Analysis'!J$4</f>
        <v>6.6175376440974905</v>
      </c>
      <c r="K39" s="108">
        <f>(('Calculated Data'!K13-'Calculated Data'!J13)/'Calculated Data'!J13)/'Cost Analysis'!K$4</f>
        <v>-0.69137494284728984</v>
      </c>
    </row>
    <row r="40" spans="1:11">
      <c r="A40" s="101" t="s">
        <v>220</v>
      </c>
      <c r="B40" s="97">
        <f t="shared" ref="B40:K40" si="22">B1</f>
        <v>39538</v>
      </c>
      <c r="C40" s="97">
        <f t="shared" si="22"/>
        <v>39903</v>
      </c>
      <c r="D40" s="97">
        <f t="shared" si="22"/>
        <v>40268</v>
      </c>
      <c r="E40" s="97">
        <f t="shared" si="22"/>
        <v>40633</v>
      </c>
      <c r="F40" s="97">
        <f t="shared" si="22"/>
        <v>40999</v>
      </c>
      <c r="G40" s="97">
        <f t="shared" si="22"/>
        <v>41364</v>
      </c>
      <c r="H40" s="97">
        <f t="shared" si="22"/>
        <v>41729</v>
      </c>
      <c r="I40" s="97">
        <f t="shared" si="22"/>
        <v>42094</v>
      </c>
      <c r="J40" s="97">
        <f t="shared" si="22"/>
        <v>42460</v>
      </c>
      <c r="K40" s="97">
        <f t="shared" si="22"/>
        <v>42825</v>
      </c>
    </row>
    <row r="41" spans="1:11">
      <c r="A41" s="110" t="s">
        <v>219</v>
      </c>
      <c r="B41" s="102"/>
      <c r="C41" s="103">
        <f>('Data Sheet'!C57-'Data Sheet'!B57)/'Data Sheet'!B57</f>
        <v>0.22324159021406728</v>
      </c>
      <c r="D41" s="103">
        <f>('Data Sheet'!D57-'Data Sheet'!C57)/'Data Sheet'!C57</f>
        <v>0</v>
      </c>
      <c r="E41" s="103">
        <f>('Data Sheet'!E57-'Data Sheet'!D57)/'Data Sheet'!D57</f>
        <v>0</v>
      </c>
      <c r="F41" s="103">
        <f>('Data Sheet'!F57-'Data Sheet'!E57)/'Data Sheet'!E57</f>
        <v>0</v>
      </c>
      <c r="G41" s="103">
        <f>('Data Sheet'!G57-'Data Sheet'!F57)/'Data Sheet'!F57</f>
        <v>0.13500000000000001</v>
      </c>
      <c r="H41" s="103">
        <f>('Data Sheet'!H57-'Data Sheet'!G57)/'Data Sheet'!G57</f>
        <v>0</v>
      </c>
      <c r="I41" s="103">
        <f>('Data Sheet'!I57-'Data Sheet'!H57)/'Data Sheet'!H57</f>
        <v>0</v>
      </c>
      <c r="J41" s="103">
        <f>('Data Sheet'!J57-'Data Sheet'!I57)/'Data Sheet'!I57</f>
        <v>0</v>
      </c>
      <c r="K41" s="103">
        <f>('Data Sheet'!K57-'Data Sheet'!J57)/'Data Sheet'!J57</f>
        <v>0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tabSelected="1" workbookViewId="0">
      <selection activeCell="S34" sqref="S34"/>
    </sheetView>
  </sheetViews>
  <sheetFormatPr baseColWidth="10" defaultRowHeight="14" x14ac:dyDescent="0"/>
  <cols>
    <col min="1" max="1" width="35.6640625" customWidth="1"/>
    <col min="2" max="11" width="7.83203125" customWidth="1"/>
    <col min="12" max="12" width="8.6640625" customWidth="1"/>
    <col min="13" max="13" width="8.83203125" customWidth="1"/>
    <col min="14" max="14" width="8.33203125" customWidth="1"/>
    <col min="15" max="15" width="8" customWidth="1"/>
    <col min="16" max="16" width="8.33203125" customWidth="1"/>
    <col min="17" max="17" width="8" customWidth="1"/>
    <col min="18" max="18" width="7.83203125" customWidth="1"/>
  </cols>
  <sheetData>
    <row r="1" spans="1:18">
      <c r="A1" s="220" t="str">
        <f>'Data Sheet'!B1</f>
        <v>AVANTI FEEDS LTD</v>
      </c>
    </row>
    <row r="2" spans="1:18">
      <c r="A2" s="143" t="s">
        <v>376</v>
      </c>
      <c r="B2" s="219">
        <f>'Data Sheet'!B16</f>
        <v>39538</v>
      </c>
      <c r="C2" s="219">
        <f>'Data Sheet'!C16</f>
        <v>39903</v>
      </c>
      <c r="D2" s="219">
        <f>'Data Sheet'!D16</f>
        <v>40268</v>
      </c>
      <c r="E2" s="219">
        <f>'Data Sheet'!E16</f>
        <v>40633</v>
      </c>
      <c r="F2" s="219">
        <f>'Data Sheet'!F16</f>
        <v>40999</v>
      </c>
      <c r="G2" s="219">
        <f>'Data Sheet'!G16</f>
        <v>41364</v>
      </c>
      <c r="H2" s="219">
        <f>'Data Sheet'!H16</f>
        <v>41729</v>
      </c>
      <c r="I2" s="219">
        <f>'Data Sheet'!I16</f>
        <v>42094</v>
      </c>
      <c r="J2" s="219">
        <f>'Data Sheet'!J16</f>
        <v>42460</v>
      </c>
      <c r="K2" s="219">
        <f>'Data Sheet'!K16</f>
        <v>42825</v>
      </c>
      <c r="M2" s="245" t="s">
        <v>353</v>
      </c>
      <c r="N2" s="245"/>
      <c r="O2" s="245"/>
      <c r="P2" s="219" t="s">
        <v>348</v>
      </c>
      <c r="Q2" s="222" t="s">
        <v>354</v>
      </c>
      <c r="R2" s="219" t="s">
        <v>242</v>
      </c>
    </row>
    <row r="3" spans="1:18">
      <c r="A3" s="102" t="s">
        <v>6</v>
      </c>
      <c r="B3" s="102">
        <f>'Data Sheet'!B17</f>
        <v>98.01</v>
      </c>
      <c r="C3" s="102">
        <f>'Data Sheet'!C17</f>
        <v>69.31</v>
      </c>
      <c r="D3" s="102">
        <f>'Data Sheet'!D17</f>
        <v>91.54</v>
      </c>
      <c r="E3" s="102">
        <f>'Data Sheet'!E17</f>
        <v>207.75</v>
      </c>
      <c r="F3" s="102">
        <f>'Data Sheet'!F17</f>
        <v>393.41</v>
      </c>
      <c r="G3" s="102">
        <f>'Data Sheet'!G17</f>
        <v>648.04</v>
      </c>
      <c r="H3" s="102">
        <f>'Data Sheet'!H17</f>
        <v>1131.6099999999999</v>
      </c>
      <c r="I3" s="102">
        <f>'Data Sheet'!I17</f>
        <v>1780.66</v>
      </c>
      <c r="J3" s="102">
        <f>'Data Sheet'!J17</f>
        <v>2018.29</v>
      </c>
      <c r="K3" s="102">
        <f>'Data Sheet'!K17</f>
        <v>2732.66</v>
      </c>
      <c r="M3" s="241" t="s">
        <v>352</v>
      </c>
      <c r="N3" s="241"/>
      <c r="O3" s="241"/>
      <c r="P3" s="118">
        <f>Customization!B14</f>
        <v>0.43299919556683952</v>
      </c>
      <c r="Q3" s="222">
        <v>0.25</v>
      </c>
      <c r="R3" s="118">
        <f>'Profit &amp; Loss'!L31</f>
        <v>8.8423001763849193E-2</v>
      </c>
    </row>
    <row r="4" spans="1:18">
      <c r="A4" s="102" t="s">
        <v>147</v>
      </c>
      <c r="B4" s="102"/>
      <c r="C4" s="102">
        <f>'Calculated Data'!C18</f>
        <v>-0.17999999999999927</v>
      </c>
      <c r="D4" s="102">
        <f>'Calculated Data'!D18</f>
        <v>0.58999999999999853</v>
      </c>
      <c r="E4" s="102">
        <f>'Calculated Data'!E18</f>
        <v>12.940000000000001</v>
      </c>
      <c r="F4" s="102">
        <f>'Calculated Data'!F18</f>
        <v>10.860000000000003</v>
      </c>
      <c r="G4" s="102">
        <f>'Calculated Data'!G18</f>
        <v>12.659999999999998</v>
      </c>
      <c r="H4" s="102">
        <f>'Calculated Data'!H18</f>
        <v>35.42</v>
      </c>
      <c r="I4" s="102">
        <f>'Calculated Data'!I18</f>
        <v>16.04999999999999</v>
      </c>
      <c r="J4" s="102">
        <f>'Calculated Data'!J18</f>
        <v>66.27</v>
      </c>
      <c r="K4" s="102">
        <f>'Calculated Data'!K18</f>
        <v>107.02000000000001</v>
      </c>
      <c r="M4" s="241" t="s">
        <v>236</v>
      </c>
      <c r="N4" s="241"/>
      <c r="O4" s="241"/>
      <c r="P4" s="118">
        <f>AVERAGE(Customization!G36:K36)</f>
        <v>0.10351858988327148</v>
      </c>
      <c r="Q4" s="222">
        <v>0.13</v>
      </c>
      <c r="R4" s="103">
        <f>'Calculated Data'!L4/Annual[[#This Row],[Column12]]</f>
        <v>0.16409966748366839</v>
      </c>
    </row>
    <row r="5" spans="1:18">
      <c r="A5" s="102" t="s">
        <v>10</v>
      </c>
      <c r="B5" s="102"/>
      <c r="C5" s="102">
        <f>'Data Sheet'!C26</f>
        <v>3.34</v>
      </c>
      <c r="D5" s="102">
        <f>'Data Sheet'!D26</f>
        <v>2.78</v>
      </c>
      <c r="E5" s="102">
        <f>'Data Sheet'!E26</f>
        <v>2.9</v>
      </c>
      <c r="F5" s="102">
        <f>'Data Sheet'!F26</f>
        <v>4</v>
      </c>
      <c r="G5" s="102">
        <f>'Data Sheet'!G26</f>
        <v>4.9800000000000004</v>
      </c>
      <c r="H5" s="102">
        <f>'Data Sheet'!H26</f>
        <v>5.54</v>
      </c>
      <c r="I5" s="102">
        <f>'Data Sheet'!I26</f>
        <v>8.8000000000000007</v>
      </c>
      <c r="J5" s="102">
        <f>'Data Sheet'!J26</f>
        <v>10.23</v>
      </c>
      <c r="K5" s="102">
        <f>'Data Sheet'!K26</f>
        <v>13.69</v>
      </c>
      <c r="M5" s="241" t="s">
        <v>134</v>
      </c>
      <c r="N5" s="241"/>
      <c r="O5" s="241"/>
      <c r="P5" s="117">
        <f>AVERAGE('Calculated Data'!G22:K22)</f>
        <v>0.3321773298460598</v>
      </c>
      <c r="Q5" s="222">
        <v>0.33</v>
      </c>
    </row>
    <row r="6" spans="1:18">
      <c r="A6" s="102" t="s">
        <v>346</v>
      </c>
      <c r="B6" s="102"/>
      <c r="C6" s="102">
        <f>C4-C5</f>
        <v>-3.5199999999999991</v>
      </c>
      <c r="D6" s="102">
        <f t="shared" ref="D6:K6" si="0">D4-D5</f>
        <v>-2.1900000000000013</v>
      </c>
      <c r="E6" s="102">
        <f t="shared" si="0"/>
        <v>10.040000000000001</v>
      </c>
      <c r="F6" s="102">
        <f t="shared" si="0"/>
        <v>6.860000000000003</v>
      </c>
      <c r="G6" s="102">
        <f t="shared" si="0"/>
        <v>7.6799999999999979</v>
      </c>
      <c r="H6" s="102">
        <f t="shared" si="0"/>
        <v>29.880000000000003</v>
      </c>
      <c r="I6" s="102">
        <f t="shared" si="0"/>
        <v>7.2499999999999893</v>
      </c>
      <c r="J6" s="102">
        <f t="shared" si="0"/>
        <v>56.039999999999992</v>
      </c>
      <c r="K6" s="102">
        <f t="shared" si="0"/>
        <v>93.330000000000013</v>
      </c>
      <c r="M6" s="241" t="s">
        <v>355</v>
      </c>
      <c r="N6" s="241"/>
      <c r="O6" s="241"/>
      <c r="P6" s="118">
        <f>AVERAGE(G9:K9)</f>
        <v>5.4554459498957784E-2</v>
      </c>
      <c r="Q6" s="222">
        <v>0.1</v>
      </c>
    </row>
    <row r="7" spans="1:18">
      <c r="A7" s="102" t="s">
        <v>347</v>
      </c>
      <c r="B7" s="102"/>
      <c r="C7" s="102">
        <f>C3-B3</f>
        <v>-28.700000000000003</v>
      </c>
      <c r="D7" s="102">
        <f t="shared" ref="D7:K7" si="1">D3-C3</f>
        <v>22.230000000000004</v>
      </c>
      <c r="E7" s="102">
        <f t="shared" si="1"/>
        <v>116.21</v>
      </c>
      <c r="F7" s="102">
        <f t="shared" si="1"/>
        <v>185.66000000000003</v>
      </c>
      <c r="G7" s="102">
        <f t="shared" si="1"/>
        <v>254.62999999999994</v>
      </c>
      <c r="H7" s="102">
        <f t="shared" si="1"/>
        <v>483.56999999999994</v>
      </c>
      <c r="I7" s="102">
        <f t="shared" si="1"/>
        <v>649.05000000000018</v>
      </c>
      <c r="J7" s="102">
        <f t="shared" si="1"/>
        <v>237.62999999999988</v>
      </c>
      <c r="K7" s="102">
        <f t="shared" si="1"/>
        <v>714.36999999999989</v>
      </c>
      <c r="M7" s="241" t="s">
        <v>356</v>
      </c>
      <c r="N7" s="241"/>
      <c r="O7" s="241"/>
      <c r="P7" s="118">
        <f>AVERAGE(G15:K15)</f>
        <v>8.2381391765750434E-2</v>
      </c>
      <c r="Q7" s="222">
        <v>0.15</v>
      </c>
    </row>
    <row r="8" spans="1:18">
      <c r="A8" s="143" t="s">
        <v>323</v>
      </c>
      <c r="B8" s="102"/>
      <c r="C8" s="103">
        <f>C6/C7</f>
        <v>0.12264808362369334</v>
      </c>
      <c r="D8" s="103">
        <f t="shared" ref="D8:K8" si="2">D6/D7</f>
        <v>-9.8515519568151189E-2</v>
      </c>
      <c r="E8" s="103">
        <f t="shared" si="2"/>
        <v>8.639531881937873E-2</v>
      </c>
      <c r="F8" s="103">
        <f t="shared" si="2"/>
        <v>3.6949262091996136E-2</v>
      </c>
      <c r="G8" s="103">
        <f t="shared" si="2"/>
        <v>3.0161410674311745E-2</v>
      </c>
      <c r="H8" s="103">
        <f t="shared" si="2"/>
        <v>6.1790433649730143E-2</v>
      </c>
      <c r="I8" s="103">
        <f t="shared" si="2"/>
        <v>1.1170171789538537E-2</v>
      </c>
      <c r="J8" s="103">
        <f t="shared" si="2"/>
        <v>0.23582880949375087</v>
      </c>
      <c r="K8" s="103">
        <f t="shared" si="2"/>
        <v>0.13064658370312307</v>
      </c>
      <c r="M8" s="241" t="s">
        <v>360</v>
      </c>
      <c r="N8" s="241"/>
      <c r="O8" s="241"/>
      <c r="P8" s="102"/>
      <c r="Q8" s="222">
        <v>0.12</v>
      </c>
    </row>
    <row r="9" spans="1:18" s="220" customFormat="1">
      <c r="A9" s="228" t="s">
        <v>348</v>
      </c>
      <c r="B9" s="143"/>
      <c r="C9" s="143"/>
      <c r="D9" s="143"/>
      <c r="E9" s="143"/>
      <c r="F9" s="143"/>
      <c r="G9" s="229">
        <f t="shared" ref="G9:J9" si="3">SUMIF(C6:G6,"&gt;0")/SUMIF(C7:G7,"&gt;0")</f>
        <v>4.2472310058230961E-2</v>
      </c>
      <c r="H9" s="229">
        <f t="shared" si="3"/>
        <v>5.1266120681540066E-2</v>
      </c>
      <c r="I9" s="229">
        <f t="shared" si="3"/>
        <v>3.6533816425120769E-2</v>
      </c>
      <c r="J9" s="229">
        <f t="shared" si="3"/>
        <v>5.9490538734300255E-2</v>
      </c>
      <c r="K9" s="229">
        <f>SUMIF(G6:K6,"&gt;0")/SUMIF(G7:K7,"&gt;0")</f>
        <v>8.3009511595596885E-2</v>
      </c>
      <c r="M9" s="241" t="s">
        <v>361</v>
      </c>
      <c r="N9" s="241"/>
      <c r="O9" s="241"/>
      <c r="P9" s="143"/>
      <c r="Q9" s="222">
        <v>0.05</v>
      </c>
    </row>
    <row r="10" spans="1:18" s="220" customFormat="1">
      <c r="A10" s="228" t="s">
        <v>349</v>
      </c>
      <c r="B10" s="143"/>
      <c r="C10" s="143"/>
      <c r="D10" s="143"/>
      <c r="E10" s="143"/>
      <c r="F10" s="143"/>
      <c r="G10" s="143"/>
      <c r="H10" s="143"/>
      <c r="I10" s="143"/>
      <c r="J10" s="143"/>
      <c r="K10" s="229">
        <f>SUMIF(C6:K6,"&gt;0")/SUMIF(C7:K7,"&gt;0")</f>
        <v>7.9253571629714456E-2</v>
      </c>
      <c r="M10" s="241" t="s">
        <v>369</v>
      </c>
      <c r="N10" s="241"/>
      <c r="O10" s="241"/>
      <c r="P10" s="143"/>
      <c r="Q10" s="224">
        <f>'Balance Sheet'!K34</f>
        <v>45.12</v>
      </c>
    </row>
    <row r="11" spans="1:18">
      <c r="A11" s="242"/>
      <c r="B11" s="243"/>
      <c r="C11" s="243"/>
      <c r="D11" s="243"/>
      <c r="E11" s="243"/>
      <c r="F11" s="243"/>
      <c r="G11" s="243"/>
      <c r="H11" s="243"/>
      <c r="I11" s="243"/>
      <c r="J11" s="243"/>
      <c r="K11" s="244"/>
      <c r="M11" s="241" t="s">
        <v>29</v>
      </c>
      <c r="N11" s="241"/>
      <c r="O11" s="241"/>
      <c r="P11" s="102"/>
      <c r="Q11" s="225">
        <f>'Balance Sheet'!K12</f>
        <v>357.51</v>
      </c>
    </row>
    <row r="12" spans="1:18">
      <c r="A12" s="102" t="s">
        <v>30</v>
      </c>
      <c r="B12" s="102">
        <f>'Calculated Data'!B11</f>
        <v>48.519999999999996</v>
      </c>
      <c r="C12" s="102">
        <f>'Calculated Data'!C11</f>
        <v>48.57</v>
      </c>
      <c r="D12" s="102">
        <f>'Calculated Data'!D11</f>
        <v>41.839999999999996</v>
      </c>
      <c r="E12" s="102">
        <f>'Calculated Data'!E11</f>
        <v>51.589999999999996</v>
      </c>
      <c r="F12" s="102">
        <f>'Calculated Data'!F11</f>
        <v>53.65</v>
      </c>
      <c r="G12" s="102">
        <f>'Calculated Data'!G11</f>
        <v>98.86999999999999</v>
      </c>
      <c r="H12" s="102">
        <f>'Calculated Data'!H11</f>
        <v>113.05999999999997</v>
      </c>
      <c r="I12" s="102">
        <f>'Calculated Data'!I11</f>
        <v>123.03</v>
      </c>
      <c r="J12" s="102">
        <f>'Calculated Data'!J11</f>
        <v>254.73999999999998</v>
      </c>
      <c r="K12" s="102">
        <f>'Calculated Data'!K11</f>
        <v>63.44</v>
      </c>
      <c r="M12" s="241" t="s">
        <v>367</v>
      </c>
      <c r="N12" s="241"/>
      <c r="O12" s="241"/>
      <c r="P12" s="102"/>
      <c r="Q12" s="225">
        <f>Q10+Q11</f>
        <v>402.63</v>
      </c>
    </row>
    <row r="13" spans="1:18">
      <c r="A13" s="102" t="s">
        <v>350</v>
      </c>
      <c r="B13" s="102"/>
      <c r="C13" s="102">
        <f>C12-B12</f>
        <v>5.0000000000004263E-2</v>
      </c>
      <c r="D13" s="102">
        <f t="shared" ref="D13:K13" si="4">D12-C12</f>
        <v>-6.730000000000004</v>
      </c>
      <c r="E13" s="102">
        <f t="shared" si="4"/>
        <v>9.75</v>
      </c>
      <c r="F13" s="102">
        <f t="shared" si="4"/>
        <v>2.0600000000000023</v>
      </c>
      <c r="G13" s="102">
        <f t="shared" si="4"/>
        <v>45.219999999999992</v>
      </c>
      <c r="H13" s="102">
        <f t="shared" si="4"/>
        <v>14.189999999999984</v>
      </c>
      <c r="I13" s="102">
        <f t="shared" si="4"/>
        <v>9.9700000000000273</v>
      </c>
      <c r="J13" s="102">
        <f t="shared" si="4"/>
        <v>131.70999999999998</v>
      </c>
      <c r="K13" s="102">
        <f t="shared" si="4"/>
        <v>-191.29999999999998</v>
      </c>
      <c r="M13" s="241" t="s">
        <v>368</v>
      </c>
      <c r="N13" s="241"/>
      <c r="O13" s="241"/>
      <c r="P13" s="102"/>
      <c r="Q13" s="225">
        <f>'Balance Sheet'!K6</f>
        <v>19.43</v>
      </c>
    </row>
    <row r="14" spans="1:18">
      <c r="A14" s="143" t="s">
        <v>324</v>
      </c>
      <c r="B14" s="102"/>
      <c r="C14" s="103">
        <f>C13/C7</f>
        <v>-1.7421602787457929E-3</v>
      </c>
      <c r="D14" s="103">
        <f t="shared" ref="D14:K14" si="5">D13/D7</f>
        <v>-0.30274403958614499</v>
      </c>
      <c r="E14" s="103">
        <f t="shared" si="5"/>
        <v>8.3899836502882713E-2</v>
      </c>
      <c r="F14" s="103">
        <f t="shared" si="5"/>
        <v>1.1095551007217505E-2</v>
      </c>
      <c r="G14" s="103">
        <f t="shared" si="5"/>
        <v>0.17759101441306996</v>
      </c>
      <c r="H14" s="103">
        <f t="shared" si="5"/>
        <v>2.9344252124821609E-2</v>
      </c>
      <c r="I14" s="103">
        <f t="shared" si="5"/>
        <v>1.5360912102303404E-2</v>
      </c>
      <c r="J14" s="103">
        <f t="shared" si="5"/>
        <v>0.5542650338761943</v>
      </c>
      <c r="K14" s="103">
        <f t="shared" si="5"/>
        <v>-0.26778840096868572</v>
      </c>
      <c r="M14" s="241" t="s">
        <v>372</v>
      </c>
      <c r="N14" s="241"/>
      <c r="O14" s="241"/>
      <c r="P14" s="102"/>
      <c r="Q14" s="226">
        <f>'Data Sheet'!B6</f>
        <v>4.5415219125556501</v>
      </c>
    </row>
    <row r="15" spans="1:18">
      <c r="A15" s="228" t="s">
        <v>348</v>
      </c>
      <c r="B15" s="102"/>
      <c r="C15" s="102"/>
      <c r="D15" s="102"/>
      <c r="E15" s="102"/>
      <c r="F15" s="102"/>
      <c r="G15" s="229">
        <f t="shared" ref="G15:J15" si="6">SUMIF(C13:G13,"&gt;0")/SUMIF(C7:G7,"&gt;0")</f>
        <v>9.8629758263784492E-2</v>
      </c>
      <c r="H15" s="229">
        <f t="shared" si="6"/>
        <v>6.7043208133295659E-2</v>
      </c>
      <c r="I15" s="229">
        <f t="shared" si="6"/>
        <v>4.8066448801742913E-2</v>
      </c>
      <c r="J15" s="229">
        <f t="shared" si="6"/>
        <v>0.11220409380626774</v>
      </c>
      <c r="K15" s="229">
        <f>SUMIF(G13:K13,"&gt;0")/SUMIF(G7:K7,"&gt;0")</f>
        <v>8.5963449823661414E-2</v>
      </c>
      <c r="M15" s="241" t="s">
        <v>375</v>
      </c>
      <c r="N15" s="241"/>
      <c r="O15" s="241"/>
      <c r="P15" s="102"/>
      <c r="Q15" s="225">
        <f>'Data Sheet'!B8</f>
        <v>1942.95</v>
      </c>
    </row>
    <row r="16" spans="1:18">
      <c r="A16" s="228" t="s">
        <v>349</v>
      </c>
      <c r="B16" s="102"/>
      <c r="C16" s="102"/>
      <c r="D16" s="102"/>
      <c r="E16" s="102"/>
      <c r="F16" s="102"/>
      <c r="G16" s="143"/>
      <c r="H16" s="143"/>
      <c r="I16" s="143"/>
      <c r="J16" s="143"/>
      <c r="K16" s="229">
        <f>SUMIF(C13:K13,"&gt;0")/SUMIF(C7:K7,"&gt;0")</f>
        <v>7.9955694895526314E-2</v>
      </c>
    </row>
    <row r="17" spans="1:17">
      <c r="A17" s="223" t="s">
        <v>351</v>
      </c>
      <c r="B17" s="221">
        <v>0</v>
      </c>
      <c r="C17" s="221">
        <v>1</v>
      </c>
      <c r="D17" s="221">
        <v>2</v>
      </c>
      <c r="E17" s="221">
        <v>3</v>
      </c>
      <c r="F17" s="221">
        <v>4</v>
      </c>
      <c r="G17" s="221">
        <v>5</v>
      </c>
      <c r="H17" s="221">
        <v>6</v>
      </c>
      <c r="I17" s="221">
        <v>7</v>
      </c>
      <c r="J17" s="221">
        <v>8</v>
      </c>
      <c r="K17" s="221">
        <v>9</v>
      </c>
      <c r="L17" s="231">
        <v>10</v>
      </c>
      <c r="M17" s="231">
        <v>11</v>
      </c>
      <c r="N17" s="231">
        <v>12</v>
      </c>
      <c r="O17" s="231">
        <v>13</v>
      </c>
      <c r="P17" s="231">
        <v>14</v>
      </c>
      <c r="Q17" s="231">
        <v>15</v>
      </c>
    </row>
    <row r="18" spans="1:17">
      <c r="A18" s="232" t="s">
        <v>257</v>
      </c>
      <c r="B18" s="219">
        <v>42430</v>
      </c>
      <c r="C18" s="219">
        <v>42795</v>
      </c>
      <c r="D18" s="219">
        <v>43160</v>
      </c>
      <c r="E18" s="219">
        <v>43525</v>
      </c>
      <c r="F18" s="219">
        <v>43891</v>
      </c>
      <c r="G18" s="219">
        <v>44256</v>
      </c>
      <c r="H18" s="219">
        <v>44621</v>
      </c>
      <c r="I18" s="219">
        <v>44986</v>
      </c>
      <c r="J18" s="219">
        <v>45352</v>
      </c>
      <c r="K18" s="219">
        <v>45717</v>
      </c>
      <c r="L18" s="219">
        <v>46082</v>
      </c>
      <c r="M18" s="219">
        <v>46447</v>
      </c>
      <c r="N18" s="219">
        <v>46813</v>
      </c>
      <c r="O18" s="219">
        <v>47178</v>
      </c>
      <c r="P18" s="219">
        <v>11018</v>
      </c>
      <c r="Q18" s="219">
        <v>11383</v>
      </c>
    </row>
    <row r="19" spans="1:17">
      <c r="A19" s="232" t="s">
        <v>6</v>
      </c>
      <c r="B19" s="102">
        <f>'Data Sheet'!K17</f>
        <v>2732.66</v>
      </c>
      <c r="C19" s="102">
        <f>B19*(1+R3)</f>
        <v>2974.29</v>
      </c>
      <c r="D19" s="102">
        <f>C19*(1+$Q$3)</f>
        <v>3717.8625000000002</v>
      </c>
      <c r="E19" s="102">
        <f t="shared" ref="E19:Q19" si="7">D19*(1+$Q$3)</f>
        <v>4647.328125</v>
      </c>
      <c r="F19" s="102">
        <f t="shared" si="7"/>
        <v>5809.16015625</v>
      </c>
      <c r="G19" s="102">
        <f t="shared" si="7"/>
        <v>7261.4501953125</v>
      </c>
      <c r="H19" s="102">
        <f t="shared" si="7"/>
        <v>9076.812744140625</v>
      </c>
      <c r="I19" s="102">
        <f t="shared" si="7"/>
        <v>11346.015930175781</v>
      </c>
      <c r="J19" s="102">
        <f t="shared" si="7"/>
        <v>14182.519912719727</v>
      </c>
      <c r="K19" s="102">
        <f t="shared" si="7"/>
        <v>17728.149890899658</v>
      </c>
      <c r="L19" s="102">
        <f t="shared" si="7"/>
        <v>22160.187363624573</v>
      </c>
      <c r="M19" s="102">
        <f t="shared" si="7"/>
        <v>27700.234204530716</v>
      </c>
      <c r="N19" s="102">
        <f t="shared" si="7"/>
        <v>34625.292755663395</v>
      </c>
      <c r="O19" s="102">
        <f t="shared" si="7"/>
        <v>43281.615944579244</v>
      </c>
      <c r="P19" s="102">
        <f t="shared" si="7"/>
        <v>54102.019930724055</v>
      </c>
      <c r="Q19" s="102">
        <f t="shared" si="7"/>
        <v>67627.524913405068</v>
      </c>
    </row>
    <row r="20" spans="1:17">
      <c r="A20" s="232" t="s">
        <v>86</v>
      </c>
      <c r="B20" s="102">
        <f>'Calculated Data'!K4</f>
        <v>340.03000000000003</v>
      </c>
      <c r="C20" s="102">
        <f>R4*C19</f>
        <v>488.08000000000004</v>
      </c>
      <c r="D20" s="102">
        <f>D19*$Q$4</f>
        <v>483.32212500000003</v>
      </c>
      <c r="E20" s="102">
        <f t="shared" ref="E20:Q20" si="8">E19*$Q$4</f>
        <v>604.15265625000006</v>
      </c>
      <c r="F20" s="102">
        <f t="shared" si="8"/>
        <v>755.19082031250002</v>
      </c>
      <c r="G20" s="102">
        <f t="shared" si="8"/>
        <v>943.988525390625</v>
      </c>
      <c r="H20" s="102">
        <f t="shared" si="8"/>
        <v>1179.9856567382812</v>
      </c>
      <c r="I20" s="102">
        <f t="shared" si="8"/>
        <v>1474.9820709228516</v>
      </c>
      <c r="J20" s="102">
        <f t="shared" si="8"/>
        <v>1843.7275886535645</v>
      </c>
      <c r="K20" s="102">
        <f t="shared" si="8"/>
        <v>2304.6594858169556</v>
      </c>
      <c r="L20" s="102">
        <f t="shared" si="8"/>
        <v>2880.8243572711945</v>
      </c>
      <c r="M20" s="102">
        <f t="shared" si="8"/>
        <v>3601.0304465889931</v>
      </c>
      <c r="N20" s="102">
        <f t="shared" si="8"/>
        <v>4501.2880582362413</v>
      </c>
      <c r="O20" s="102">
        <f t="shared" si="8"/>
        <v>5626.6100727953017</v>
      </c>
      <c r="P20" s="102">
        <f t="shared" si="8"/>
        <v>7033.2625909941271</v>
      </c>
      <c r="Q20" s="102">
        <f t="shared" si="8"/>
        <v>8791.5782387426589</v>
      </c>
    </row>
    <row r="21" spans="1:17">
      <c r="A21" s="232" t="s">
        <v>358</v>
      </c>
      <c r="B21" s="108">
        <f>'Calculated Data'!K23</f>
        <v>230.03103556298109</v>
      </c>
      <c r="C21" s="108">
        <f>C20*(1-$Q$5)</f>
        <v>327.0136</v>
      </c>
      <c r="D21" s="108">
        <f t="shared" ref="D21:Q21" si="9">D20*(1-$Q$5)</f>
        <v>323.82582374999998</v>
      </c>
      <c r="E21" s="108">
        <f t="shared" si="9"/>
        <v>404.78227968750002</v>
      </c>
      <c r="F21" s="108">
        <f t="shared" si="9"/>
        <v>505.97784960937497</v>
      </c>
      <c r="G21" s="108">
        <f t="shared" si="9"/>
        <v>632.47231201171871</v>
      </c>
      <c r="H21" s="108">
        <f t="shared" si="9"/>
        <v>790.59039001464839</v>
      </c>
      <c r="I21" s="108">
        <f t="shared" si="9"/>
        <v>988.23798751831043</v>
      </c>
      <c r="J21" s="102">
        <f t="shared" si="9"/>
        <v>1235.297484397888</v>
      </c>
      <c r="K21" s="102">
        <f t="shared" si="9"/>
        <v>1544.12185549736</v>
      </c>
      <c r="L21" s="102">
        <f t="shared" si="9"/>
        <v>1930.1523193717001</v>
      </c>
      <c r="M21" s="102">
        <f t="shared" si="9"/>
        <v>2412.6903992146249</v>
      </c>
      <c r="N21" s="102">
        <f t="shared" si="9"/>
        <v>3015.8629990182812</v>
      </c>
      <c r="O21" s="102">
        <f t="shared" si="9"/>
        <v>3769.8287487728517</v>
      </c>
      <c r="P21" s="102">
        <f t="shared" si="9"/>
        <v>4712.2859359660642</v>
      </c>
      <c r="Q21" s="102">
        <f t="shared" si="9"/>
        <v>5890.3574199575805</v>
      </c>
    </row>
    <row r="22" spans="1:17">
      <c r="A22" s="233" t="s">
        <v>346</v>
      </c>
      <c r="B22" s="102"/>
      <c r="C22" s="108">
        <f>(C19-B19)*$Q$6</f>
        <v>24.163000000000011</v>
      </c>
      <c r="D22" s="108">
        <f t="shared" ref="D22:Q22" si="10">(D19-C19)*$Q$6</f>
        <v>74.357250000000022</v>
      </c>
      <c r="E22" s="108">
        <f t="shared" si="10"/>
        <v>92.946562499999985</v>
      </c>
      <c r="F22" s="108">
        <f t="shared" si="10"/>
        <v>116.18320312500001</v>
      </c>
      <c r="G22" s="108">
        <f t="shared" si="10"/>
        <v>145.22900390625</v>
      </c>
      <c r="H22" s="108">
        <f t="shared" si="10"/>
        <v>181.5362548828125</v>
      </c>
      <c r="I22" s="108">
        <f t="shared" si="10"/>
        <v>226.92031860351562</v>
      </c>
      <c r="J22" s="108">
        <f t="shared" si="10"/>
        <v>283.65039825439453</v>
      </c>
      <c r="K22" s="108">
        <f t="shared" si="10"/>
        <v>354.56299781799316</v>
      </c>
      <c r="L22" s="108">
        <f t="shared" si="10"/>
        <v>443.20374727249146</v>
      </c>
      <c r="M22" s="108">
        <f t="shared" si="10"/>
        <v>554.00468409061432</v>
      </c>
      <c r="N22" s="108">
        <f t="shared" si="10"/>
        <v>692.5058551132679</v>
      </c>
      <c r="O22" s="108">
        <f t="shared" si="10"/>
        <v>865.63231889158487</v>
      </c>
      <c r="P22" s="108">
        <f t="shared" si="10"/>
        <v>1082.0403986144811</v>
      </c>
      <c r="Q22" s="108">
        <f t="shared" si="10"/>
        <v>1352.5504982681014</v>
      </c>
    </row>
    <row r="23" spans="1:17">
      <c r="A23" s="233" t="s">
        <v>359</v>
      </c>
      <c r="B23" s="102"/>
      <c r="C23" s="108">
        <f>(C19-B19)*$Q$7</f>
        <v>36.244500000000016</v>
      </c>
      <c r="D23" s="108">
        <f t="shared" ref="D23:Q23" si="11">(D19-C19)*$Q$7</f>
        <v>111.53587500000003</v>
      </c>
      <c r="E23" s="108">
        <f t="shared" si="11"/>
        <v>139.41984374999996</v>
      </c>
      <c r="F23" s="108">
        <f t="shared" si="11"/>
        <v>174.27480468749999</v>
      </c>
      <c r="G23" s="108">
        <f t="shared" si="11"/>
        <v>217.843505859375</v>
      </c>
      <c r="H23" s="108">
        <f t="shared" si="11"/>
        <v>272.30438232421875</v>
      </c>
      <c r="I23" s="108">
        <f t="shared" si="11"/>
        <v>340.38047790527344</v>
      </c>
      <c r="J23" s="108">
        <f t="shared" si="11"/>
        <v>425.4755973815918</v>
      </c>
      <c r="K23" s="108">
        <f t="shared" si="11"/>
        <v>531.84449672698975</v>
      </c>
      <c r="L23" s="108">
        <f t="shared" si="11"/>
        <v>664.80562090873718</v>
      </c>
      <c r="M23" s="108">
        <f t="shared" si="11"/>
        <v>831.00702613592148</v>
      </c>
      <c r="N23" s="108">
        <f t="shared" si="11"/>
        <v>1038.7587826699018</v>
      </c>
      <c r="O23" s="108">
        <f t="shared" si="11"/>
        <v>1298.4484783373773</v>
      </c>
      <c r="P23" s="108">
        <f t="shared" si="11"/>
        <v>1623.0605979217216</v>
      </c>
      <c r="Q23" s="108">
        <f t="shared" si="11"/>
        <v>2028.825747402152</v>
      </c>
    </row>
    <row r="24" spans="1:17">
      <c r="A24" s="233" t="s">
        <v>83</v>
      </c>
      <c r="B24" s="102"/>
      <c r="C24" s="108">
        <f>C21-(C22+C23)</f>
        <v>266.60609999999997</v>
      </c>
      <c r="D24" s="108">
        <f t="shared" ref="D24:Q24" si="12">D21-(D22+D23)</f>
        <v>137.93269874999993</v>
      </c>
      <c r="E24" s="108">
        <f t="shared" si="12"/>
        <v>172.41587343750007</v>
      </c>
      <c r="F24" s="108">
        <f t="shared" si="12"/>
        <v>215.51984179687497</v>
      </c>
      <c r="G24" s="108">
        <f t="shared" si="12"/>
        <v>269.39980224609371</v>
      </c>
      <c r="H24" s="108">
        <f t="shared" si="12"/>
        <v>336.74975280761714</v>
      </c>
      <c r="I24" s="108">
        <f t="shared" si="12"/>
        <v>420.93719100952137</v>
      </c>
      <c r="J24" s="108">
        <f t="shared" si="12"/>
        <v>526.17148876190163</v>
      </c>
      <c r="K24" s="108">
        <f t="shared" si="12"/>
        <v>657.71436095237709</v>
      </c>
      <c r="L24" s="108">
        <f t="shared" si="12"/>
        <v>822.14295119047142</v>
      </c>
      <c r="M24" s="108">
        <f t="shared" si="12"/>
        <v>1027.6786889880891</v>
      </c>
      <c r="N24" s="108">
        <f t="shared" si="12"/>
        <v>1284.5983612351115</v>
      </c>
      <c r="O24" s="108">
        <f t="shared" si="12"/>
        <v>1605.7479515438895</v>
      </c>
      <c r="P24" s="108">
        <f t="shared" si="12"/>
        <v>2007.1849394298615</v>
      </c>
      <c r="Q24" s="108">
        <f t="shared" si="12"/>
        <v>2508.9811742873271</v>
      </c>
    </row>
    <row r="25" spans="1:17">
      <c r="A25" s="233" t="s">
        <v>362</v>
      </c>
      <c r="B25" s="102"/>
      <c r="C25" s="108">
        <f>C24/((1+$Q$8)^C17)</f>
        <v>238.04116071428567</v>
      </c>
      <c r="D25" s="108">
        <f t="shared" ref="D25:Q25" si="13">D24/((1+$Q$8)^D17)</f>
        <v>109.95910295758921</v>
      </c>
      <c r="E25" s="108">
        <f t="shared" si="13"/>
        <v>122.72221312230948</v>
      </c>
      <c r="F25" s="108">
        <f t="shared" si="13"/>
        <v>136.96675571686319</v>
      </c>
      <c r="G25" s="108">
        <f t="shared" si="13"/>
        <v>152.86468271971339</v>
      </c>
      <c r="H25" s="108">
        <f t="shared" si="13"/>
        <v>170.60790482110866</v>
      </c>
      <c r="I25" s="108">
        <f t="shared" si="13"/>
        <v>190.41060805927302</v>
      </c>
      <c r="J25" s="108">
        <f t="shared" si="13"/>
        <v>212.51183935186717</v>
      </c>
      <c r="K25" s="108">
        <f t="shared" si="13"/>
        <v>237.17839213378033</v>
      </c>
      <c r="L25" s="108">
        <f t="shared" si="13"/>
        <v>264.7080269350227</v>
      </c>
      <c r="M25" s="108">
        <f t="shared" si="13"/>
        <v>295.4330657756949</v>
      </c>
      <c r="N25" s="108">
        <f t="shared" si="13"/>
        <v>329.72440376751666</v>
      </c>
      <c r="O25" s="108">
        <f t="shared" si="13"/>
        <v>367.99598634767483</v>
      </c>
      <c r="P25" s="108">
        <f t="shared" si="13"/>
        <v>410.70980619160122</v>
      </c>
      <c r="Q25" s="108">
        <f t="shared" si="13"/>
        <v>458.38148012455503</v>
      </c>
    </row>
    <row r="26" spans="1:17">
      <c r="A26" s="233" t="s">
        <v>363</v>
      </c>
      <c r="B26" s="102"/>
      <c r="C26" s="108">
        <f>C25</f>
        <v>238.04116071428567</v>
      </c>
      <c r="D26" s="108">
        <f>D25+C26</f>
        <v>348.0002636718749</v>
      </c>
      <c r="E26" s="108">
        <f t="shared" ref="E26:Q26" si="14">E25+D26</f>
        <v>470.72247679418439</v>
      </c>
      <c r="F26" s="108">
        <f t="shared" si="14"/>
        <v>607.68923251104752</v>
      </c>
      <c r="G26" s="108">
        <f t="shared" si="14"/>
        <v>760.55391523076094</v>
      </c>
      <c r="H26" s="108">
        <f t="shared" si="14"/>
        <v>931.16182005186965</v>
      </c>
      <c r="I26" s="108">
        <f t="shared" si="14"/>
        <v>1121.5724281111427</v>
      </c>
      <c r="J26" s="108">
        <f t="shared" si="14"/>
        <v>1334.0842674630098</v>
      </c>
      <c r="K26" s="108">
        <f t="shared" si="14"/>
        <v>1571.2626595967902</v>
      </c>
      <c r="L26" s="108">
        <f t="shared" si="14"/>
        <v>1835.9706865318128</v>
      </c>
      <c r="M26" s="108">
        <f t="shared" si="14"/>
        <v>2131.4037523075076</v>
      </c>
      <c r="N26" s="108">
        <f t="shared" si="14"/>
        <v>2461.1281560750244</v>
      </c>
      <c r="O26" s="108">
        <f t="shared" si="14"/>
        <v>2829.1241424226992</v>
      </c>
      <c r="P26" s="108">
        <f t="shared" si="14"/>
        <v>3239.8339486143004</v>
      </c>
      <c r="Q26" s="108">
        <f t="shared" si="14"/>
        <v>3698.2154287388553</v>
      </c>
    </row>
    <row r="27" spans="1:17">
      <c r="A27" s="233" t="s">
        <v>364</v>
      </c>
      <c r="B27" s="102"/>
      <c r="C27" s="102">
        <f>((C21*(1+$Q$9))/($Q$8-$Q$9))/((1+$Q$8)^C17)</f>
        <v>4379.6464285714292</v>
      </c>
      <c r="D27" s="102">
        <f t="shared" ref="D27:Q27" si="15">((D21*(1+$Q$9))/($Q$8-$Q$9))/((1+$Q$8)^D17)</f>
        <v>3872.2794612962375</v>
      </c>
      <c r="E27" s="102">
        <f t="shared" si="15"/>
        <v>4321.7404701966934</v>
      </c>
      <c r="F27" s="102">
        <f t="shared" si="15"/>
        <v>4823.3710604873804</v>
      </c>
      <c r="G27" s="102">
        <f t="shared" si="15"/>
        <v>5383.2266300082365</v>
      </c>
      <c r="H27" s="102">
        <f t="shared" si="15"/>
        <v>6008.0654352770498</v>
      </c>
      <c r="I27" s="102">
        <f t="shared" si="15"/>
        <v>6705.4301733002767</v>
      </c>
      <c r="J27" s="102">
        <f t="shared" si="15"/>
        <v>7483.7390327012017</v>
      </c>
      <c r="K27" s="102">
        <f t="shared" si="15"/>
        <v>8352.3873132825902</v>
      </c>
      <c r="L27" s="102">
        <f t="shared" si="15"/>
        <v>9321.860840717176</v>
      </c>
      <c r="M27" s="102">
        <f t="shared" si="15"/>
        <v>10403.862545443275</v>
      </c>
      <c r="N27" s="102">
        <f t="shared" si="15"/>
        <v>11611.453733753657</v>
      </c>
      <c r="O27" s="102">
        <f t="shared" si="15"/>
        <v>12959.21175642149</v>
      </c>
      <c r="P27" s="102">
        <f t="shared" si="15"/>
        <v>14463.405978148983</v>
      </c>
      <c r="Q27" s="102">
        <f t="shared" si="15"/>
        <v>16142.194172041276</v>
      </c>
    </row>
    <row r="28" spans="1:17">
      <c r="A28" s="230"/>
      <c r="B28" s="242"/>
      <c r="C28" s="243"/>
      <c r="D28" s="243"/>
      <c r="E28" s="243"/>
      <c r="F28" s="243"/>
      <c r="G28" s="243"/>
      <c r="H28" s="243"/>
      <c r="I28" s="243"/>
      <c r="J28" s="243"/>
      <c r="K28" s="243"/>
      <c r="L28" s="243"/>
      <c r="M28" s="243"/>
      <c r="N28" s="243"/>
      <c r="O28" s="243"/>
      <c r="P28" s="243"/>
      <c r="Q28" s="244"/>
    </row>
    <row r="29" spans="1:17">
      <c r="A29" s="233" t="s">
        <v>365</v>
      </c>
      <c r="B29" s="102"/>
      <c r="C29" s="108">
        <f>C27+C26</f>
        <v>4617.6875892857151</v>
      </c>
      <c r="D29" s="108">
        <f t="shared" ref="D29:Q29" si="16">D27+D26</f>
        <v>4220.2797249681125</v>
      </c>
      <c r="E29" s="108">
        <f t="shared" si="16"/>
        <v>4792.4629469908778</v>
      </c>
      <c r="F29" s="108">
        <f t="shared" si="16"/>
        <v>5431.0602929984279</v>
      </c>
      <c r="G29" s="108">
        <f t="shared" si="16"/>
        <v>6143.7805452389975</v>
      </c>
      <c r="H29" s="108">
        <f t="shared" si="16"/>
        <v>6939.2272553289195</v>
      </c>
      <c r="I29" s="108">
        <f t="shared" si="16"/>
        <v>7827.0026014114192</v>
      </c>
      <c r="J29" s="108">
        <f t="shared" si="16"/>
        <v>8817.8233001642111</v>
      </c>
      <c r="K29" s="108">
        <f t="shared" si="16"/>
        <v>9923.6499728793806</v>
      </c>
      <c r="L29" s="108">
        <f t="shared" si="16"/>
        <v>11157.831527248989</v>
      </c>
      <c r="M29" s="108">
        <f t="shared" si="16"/>
        <v>12535.266297750783</v>
      </c>
      <c r="N29" s="108">
        <f t="shared" si="16"/>
        <v>14072.581889828682</v>
      </c>
      <c r="O29" s="108">
        <f t="shared" si="16"/>
        <v>15788.335898844189</v>
      </c>
      <c r="P29" s="108">
        <f t="shared" si="16"/>
        <v>17703.239926763283</v>
      </c>
      <c r="Q29" s="108">
        <f t="shared" si="16"/>
        <v>19840.409600780131</v>
      </c>
    </row>
    <row r="30" spans="1:17">
      <c r="A30" s="233" t="s">
        <v>366</v>
      </c>
      <c r="B30" s="102"/>
      <c r="C30" s="102">
        <f>$Q$12</f>
        <v>402.63</v>
      </c>
      <c r="D30" s="102">
        <f t="shared" ref="D30:Q30" si="17">$Q$12</f>
        <v>402.63</v>
      </c>
      <c r="E30" s="102">
        <f t="shared" si="17"/>
        <v>402.63</v>
      </c>
      <c r="F30" s="102">
        <f t="shared" si="17"/>
        <v>402.63</v>
      </c>
      <c r="G30" s="102">
        <f t="shared" si="17"/>
        <v>402.63</v>
      </c>
      <c r="H30" s="102">
        <f t="shared" si="17"/>
        <v>402.63</v>
      </c>
      <c r="I30" s="102">
        <f t="shared" si="17"/>
        <v>402.63</v>
      </c>
      <c r="J30" s="102">
        <f t="shared" si="17"/>
        <v>402.63</v>
      </c>
      <c r="K30" s="102">
        <f t="shared" si="17"/>
        <v>402.63</v>
      </c>
      <c r="L30" s="102">
        <f t="shared" si="17"/>
        <v>402.63</v>
      </c>
      <c r="M30" s="102">
        <f t="shared" si="17"/>
        <v>402.63</v>
      </c>
      <c r="N30" s="102">
        <f t="shared" si="17"/>
        <v>402.63</v>
      </c>
      <c r="O30" s="102">
        <f t="shared" si="17"/>
        <v>402.63</v>
      </c>
      <c r="P30" s="102">
        <f t="shared" si="17"/>
        <v>402.63</v>
      </c>
      <c r="Q30" s="102">
        <f t="shared" si="17"/>
        <v>402.63</v>
      </c>
    </row>
    <row r="31" spans="1:17">
      <c r="A31" s="233" t="s">
        <v>370</v>
      </c>
      <c r="B31" s="102"/>
      <c r="C31" s="102">
        <f>$Q$13</f>
        <v>19.43</v>
      </c>
      <c r="D31" s="102">
        <f t="shared" ref="D31:Q31" si="18">$Q$13</f>
        <v>19.43</v>
      </c>
      <c r="E31" s="102">
        <f t="shared" si="18"/>
        <v>19.43</v>
      </c>
      <c r="F31" s="102">
        <f t="shared" si="18"/>
        <v>19.43</v>
      </c>
      <c r="G31" s="102">
        <f t="shared" si="18"/>
        <v>19.43</v>
      </c>
      <c r="H31" s="102">
        <f t="shared" si="18"/>
        <v>19.43</v>
      </c>
      <c r="I31" s="102">
        <f t="shared" si="18"/>
        <v>19.43</v>
      </c>
      <c r="J31" s="102">
        <f t="shared" si="18"/>
        <v>19.43</v>
      </c>
      <c r="K31" s="102">
        <f t="shared" si="18"/>
        <v>19.43</v>
      </c>
      <c r="L31" s="102">
        <f t="shared" si="18"/>
        <v>19.43</v>
      </c>
      <c r="M31" s="102">
        <f t="shared" si="18"/>
        <v>19.43</v>
      </c>
      <c r="N31" s="102">
        <f t="shared" si="18"/>
        <v>19.43</v>
      </c>
      <c r="O31" s="102">
        <f t="shared" si="18"/>
        <v>19.43</v>
      </c>
      <c r="P31" s="102">
        <f t="shared" si="18"/>
        <v>19.43</v>
      </c>
      <c r="Q31" s="102">
        <f t="shared" si="18"/>
        <v>19.43</v>
      </c>
    </row>
    <row r="32" spans="1:17">
      <c r="A32" s="233" t="s">
        <v>371</v>
      </c>
      <c r="B32" s="102"/>
      <c r="C32" s="108">
        <f>C29+C30-C31</f>
        <v>5000.887589285715</v>
      </c>
      <c r="D32" s="108">
        <f t="shared" ref="D32:Q32" si="19">D29+D30-D31</f>
        <v>4603.4797249681124</v>
      </c>
      <c r="E32" s="108">
        <f t="shared" si="19"/>
        <v>5175.6629469908776</v>
      </c>
      <c r="F32" s="108">
        <f t="shared" si="19"/>
        <v>5814.2602929984278</v>
      </c>
      <c r="G32" s="108">
        <f t="shared" si="19"/>
        <v>6526.9805452389974</v>
      </c>
      <c r="H32" s="108">
        <f t="shared" si="19"/>
        <v>7322.4272553289193</v>
      </c>
      <c r="I32" s="108">
        <f t="shared" si="19"/>
        <v>8210.2026014114181</v>
      </c>
      <c r="J32" s="108">
        <f t="shared" si="19"/>
        <v>9201.02330016421</v>
      </c>
      <c r="K32" s="108">
        <f t="shared" si="19"/>
        <v>10306.849972879379</v>
      </c>
      <c r="L32" s="108">
        <f t="shared" si="19"/>
        <v>11541.031527248988</v>
      </c>
      <c r="M32" s="108">
        <f t="shared" si="19"/>
        <v>12918.466297750781</v>
      </c>
      <c r="N32" s="108">
        <f t="shared" si="19"/>
        <v>14455.781889828681</v>
      </c>
      <c r="O32" s="108">
        <f t="shared" si="19"/>
        <v>16171.535898844188</v>
      </c>
      <c r="P32" s="108">
        <f t="shared" si="19"/>
        <v>18086.439926763283</v>
      </c>
      <c r="Q32" s="108">
        <f t="shared" si="19"/>
        <v>20223.609600780132</v>
      </c>
    </row>
    <row r="33" spans="1:17">
      <c r="A33" s="230"/>
      <c r="B33" s="242"/>
      <c r="C33" s="243"/>
      <c r="D33" s="243"/>
      <c r="E33" s="243"/>
      <c r="F33" s="243"/>
      <c r="G33" s="243"/>
      <c r="H33" s="243"/>
      <c r="I33" s="243"/>
      <c r="J33" s="243"/>
      <c r="K33" s="243"/>
      <c r="L33" s="243"/>
      <c r="M33" s="243"/>
      <c r="N33" s="243"/>
      <c r="O33" s="243"/>
      <c r="P33" s="243"/>
      <c r="Q33" s="244"/>
    </row>
    <row r="34" spans="1:17">
      <c r="A34" s="233" t="s">
        <v>373</v>
      </c>
      <c r="B34" s="102"/>
      <c r="C34" s="108">
        <f>C32/$Q$14</f>
        <v>1101.1479599955439</v>
      </c>
      <c r="D34" s="108">
        <f t="shared" ref="D34:Q34" si="20">D32/$Q$14</f>
        <v>1013.64252195749</v>
      </c>
      <c r="E34" s="108">
        <f t="shared" si="20"/>
        <v>1139.6318341395774</v>
      </c>
      <c r="F34" s="108">
        <f t="shared" si="20"/>
        <v>1280.2449057713716</v>
      </c>
      <c r="G34" s="108">
        <f t="shared" si="20"/>
        <v>1437.1791375032847</v>
      </c>
      <c r="H34" s="108">
        <f t="shared" si="20"/>
        <v>1612.3289497040807</v>
      </c>
      <c r="I34" s="108">
        <f t="shared" si="20"/>
        <v>1807.8086508210397</v>
      </c>
      <c r="J34" s="108">
        <f t="shared" si="20"/>
        <v>2025.9779601033608</v>
      </c>
      <c r="K34" s="108">
        <f t="shared" si="20"/>
        <v>2269.4704927845228</v>
      </c>
      <c r="L34" s="108">
        <f t="shared" si="20"/>
        <v>2541.2255515804623</v>
      </c>
      <c r="M34" s="108">
        <f t="shared" si="20"/>
        <v>2844.5236082723586</v>
      </c>
      <c r="N34" s="108">
        <f t="shared" si="20"/>
        <v>3183.0259036874227</v>
      </c>
      <c r="O34" s="108">
        <f t="shared" si="20"/>
        <v>3560.8186441060197</v>
      </c>
      <c r="P34" s="108">
        <f t="shared" si="20"/>
        <v>3982.4623276089192</v>
      </c>
      <c r="Q34" s="108">
        <f t="shared" si="20"/>
        <v>4453.046795804119</v>
      </c>
    </row>
    <row r="35" spans="1:17" s="220" customFormat="1">
      <c r="A35" s="227" t="s">
        <v>374</v>
      </c>
      <c r="C35" s="220">
        <f>IF(Q15&gt;Q34,"15+",IF(Q15&lt;C34,"&lt;1",LOOKUP(Q15,C34:Q34,C17:Q17)))</f>
        <v>7</v>
      </c>
    </row>
  </sheetData>
  <mergeCells count="17">
    <mergeCell ref="M2:O2"/>
    <mergeCell ref="M3:O3"/>
    <mergeCell ref="M4:O4"/>
    <mergeCell ref="M5:O5"/>
    <mergeCell ref="M12:O12"/>
    <mergeCell ref="M6:O6"/>
    <mergeCell ref="M7:O7"/>
    <mergeCell ref="M8:O8"/>
    <mergeCell ref="M9:O9"/>
    <mergeCell ref="M10:O10"/>
    <mergeCell ref="M14:O14"/>
    <mergeCell ref="M15:O15"/>
    <mergeCell ref="A11:K11"/>
    <mergeCell ref="B28:Q28"/>
    <mergeCell ref="B33:Q33"/>
    <mergeCell ref="M11:O11"/>
    <mergeCell ref="M13:O13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Profit &amp; Loss</vt:lpstr>
      <vt:lpstr>Quarters</vt:lpstr>
      <vt:lpstr>Balance Sheet</vt:lpstr>
      <vt:lpstr>Cash Flow</vt:lpstr>
      <vt:lpstr>Customization</vt:lpstr>
      <vt:lpstr>Data Sheet</vt:lpstr>
      <vt:lpstr>Calculated Data</vt:lpstr>
      <vt:lpstr>Cost Analysis</vt:lpstr>
      <vt:lpstr>Price Implied Expectations</vt:lpstr>
      <vt:lpstr>Business Robustness</vt:lpstr>
      <vt:lpstr>Buffet-Valuation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Pratyush</dc:creator>
  <cp:lastModifiedBy>Donald Francis</cp:lastModifiedBy>
  <cp:lastPrinted>2012-12-06T18:14:13Z</cp:lastPrinted>
  <dcterms:created xsi:type="dcterms:W3CDTF">2012-08-17T09:55:37Z</dcterms:created>
  <dcterms:modified xsi:type="dcterms:W3CDTF">2017-08-17T11:51:06Z</dcterms:modified>
</cp:coreProperties>
</file>