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9045" windowHeight="7575"/>
  </bookViews>
  <sheets>
    <sheet name="FS (Y) - Cons." sheetId="5" r:id="rId1"/>
    <sheet name="FS (Y) - SA" sheetId="2" r:id="rId2"/>
    <sheet name="FS (Q) - Cons." sheetId="6" r:id="rId3"/>
    <sheet name="FS (Q) - SA" sheetId="7" r:id="rId4"/>
  </sheets>
  <calcPr calcId="152511"/>
</workbook>
</file>

<file path=xl/calcChain.xml><?xml version="1.0" encoding="utf-8"?>
<calcChain xmlns="http://schemas.openxmlformats.org/spreadsheetml/2006/main">
  <c r="H24" i="5" l="1"/>
  <c r="J21" i="5" l="1"/>
  <c r="J20" i="2"/>
  <c r="I20" i="2"/>
  <c r="H20" i="2"/>
  <c r="G20" i="2"/>
  <c r="F20" i="2"/>
  <c r="I22" i="5"/>
  <c r="I23" i="5" s="1"/>
  <c r="H22" i="5"/>
  <c r="H23" i="5" s="1"/>
  <c r="G22" i="5"/>
  <c r="I21" i="5"/>
  <c r="H21" i="5"/>
  <c r="G21" i="5"/>
  <c r="F21" i="5"/>
  <c r="F51" i="5"/>
  <c r="E51" i="5"/>
  <c r="G51" i="5"/>
  <c r="F24" i="5" l="1"/>
  <c r="E24" i="5"/>
  <c r="G24" i="5"/>
  <c r="G28" i="5" s="1"/>
  <c r="E21" i="2"/>
  <c r="G46" i="2"/>
  <c r="F21" i="2"/>
  <c r="F25" i="2" s="1"/>
  <c r="G21" i="2"/>
  <c r="G25" i="2"/>
  <c r="G28" i="2" s="1"/>
  <c r="G32" i="2" s="1"/>
  <c r="G34" i="2" s="1"/>
  <c r="G36" i="2" s="1"/>
  <c r="I24" i="5"/>
  <c r="D25" i="5"/>
  <c r="E25" i="5"/>
  <c r="E26" i="5"/>
  <c r="F25" i="5"/>
  <c r="F26" i="5" s="1"/>
  <c r="G26" i="5"/>
  <c r="D26" i="5"/>
  <c r="C26" i="5"/>
  <c r="G25" i="5"/>
  <c r="E61" i="7"/>
  <c r="D61" i="7"/>
  <c r="E11" i="7"/>
  <c r="E6" i="7"/>
  <c r="J29" i="7"/>
  <c r="I29" i="7"/>
  <c r="H29" i="7"/>
  <c r="G29" i="7"/>
  <c r="F29" i="7"/>
  <c r="D29" i="7"/>
  <c r="C29" i="7"/>
  <c r="H34" i="5"/>
  <c r="I34" i="5"/>
  <c r="G31" i="5" l="1"/>
  <c r="G35" i="5" s="1"/>
  <c r="G37" i="5" s="1"/>
  <c r="G39" i="5" s="1"/>
  <c r="I30" i="2"/>
  <c r="G30" i="2"/>
  <c r="D30" i="2"/>
  <c r="C30" i="2"/>
  <c r="G33" i="5" l="1"/>
  <c r="D6" i="7"/>
  <c r="G6" i="7"/>
  <c r="G32" i="5"/>
  <c r="I37" i="2"/>
  <c r="G37" i="2"/>
  <c r="D37" i="2"/>
  <c r="C37" i="2"/>
  <c r="G29" i="2"/>
  <c r="G26" i="2"/>
  <c r="I21" i="2"/>
  <c r="H11" i="2"/>
  <c r="H11" i="5"/>
  <c r="J21" i="6"/>
  <c r="I21" i="6"/>
  <c r="H21" i="6"/>
  <c r="G21" i="6"/>
  <c r="F21" i="6"/>
  <c r="E21" i="6"/>
  <c r="D21" i="6"/>
  <c r="C21" i="6"/>
  <c r="J20" i="7"/>
  <c r="I20" i="7"/>
  <c r="H20" i="7"/>
  <c r="G20" i="7"/>
  <c r="F20" i="7"/>
  <c r="E20" i="7"/>
  <c r="D20" i="7"/>
  <c r="D16" i="7"/>
  <c r="D5" i="7"/>
  <c r="H6" i="7"/>
  <c r="H5" i="7"/>
  <c r="H5" i="6"/>
  <c r="F5" i="6"/>
  <c r="J92" i="6"/>
  <c r="I92" i="6"/>
  <c r="H92" i="6"/>
  <c r="G92" i="6"/>
  <c r="F92" i="6"/>
  <c r="E92" i="6"/>
  <c r="D92" i="6"/>
  <c r="C92" i="6"/>
  <c r="J91" i="7"/>
  <c r="I91" i="7"/>
  <c r="H91" i="7"/>
  <c r="G91" i="7"/>
  <c r="F91" i="7"/>
  <c r="D91" i="7"/>
  <c r="C91" i="7"/>
  <c r="E91" i="7"/>
  <c r="C85" i="5"/>
  <c r="D85" i="5"/>
  <c r="E85" i="5"/>
  <c r="F85" i="5"/>
  <c r="G85" i="5"/>
  <c r="I95" i="5"/>
  <c r="H95" i="5"/>
  <c r="G95" i="5"/>
  <c r="F95" i="5"/>
  <c r="E95" i="5"/>
  <c r="D95" i="5"/>
  <c r="C95" i="5"/>
  <c r="I90" i="2"/>
  <c r="G90" i="2"/>
  <c r="F90" i="2"/>
  <c r="E90" i="2"/>
  <c r="D90" i="2"/>
  <c r="C90" i="2"/>
  <c r="H90" i="2"/>
  <c r="C80" i="2"/>
  <c r="D80" i="2"/>
  <c r="E80" i="2"/>
  <c r="F80" i="2"/>
  <c r="G80" i="2"/>
  <c r="D7" i="7" l="1"/>
  <c r="D9" i="7" s="1"/>
  <c r="D12" i="7" s="1"/>
  <c r="D15" i="7" s="1"/>
  <c r="H7" i="7"/>
  <c r="H9" i="7" s="1"/>
  <c r="H12" i="7" s="1"/>
  <c r="H14" i="7" s="1"/>
  <c r="H7" i="6"/>
  <c r="J6" i="7"/>
  <c r="J26" i="7" s="1"/>
  <c r="I6" i="7"/>
  <c r="F6" i="7"/>
  <c r="B94" i="7"/>
  <c r="H86" i="7"/>
  <c r="H85" i="7"/>
  <c r="H84" i="7"/>
  <c r="J80" i="7"/>
  <c r="I80" i="7"/>
  <c r="H80" i="7"/>
  <c r="G80" i="7"/>
  <c r="F80" i="7"/>
  <c r="E80" i="7"/>
  <c r="C80" i="7"/>
  <c r="J79" i="7"/>
  <c r="I79" i="7"/>
  <c r="H79" i="7"/>
  <c r="G79" i="7"/>
  <c r="F79" i="7"/>
  <c r="E79" i="7"/>
  <c r="C79" i="7"/>
  <c r="K76" i="7"/>
  <c r="J76" i="7"/>
  <c r="I76" i="7"/>
  <c r="H76" i="7"/>
  <c r="G76" i="7"/>
  <c r="F76" i="7"/>
  <c r="E76" i="7"/>
  <c r="C76" i="7"/>
  <c r="E68" i="7"/>
  <c r="C68" i="7"/>
  <c r="E67" i="7"/>
  <c r="C67" i="7"/>
  <c r="E66" i="7"/>
  <c r="C66" i="7"/>
  <c r="J61" i="7"/>
  <c r="J67" i="7" s="1"/>
  <c r="I61" i="7"/>
  <c r="I66" i="7" s="1"/>
  <c r="H61" i="7"/>
  <c r="H63" i="7" s="1"/>
  <c r="G61" i="7"/>
  <c r="G68" i="7" s="1"/>
  <c r="F61" i="7"/>
  <c r="F67" i="7" s="1"/>
  <c r="J49" i="7"/>
  <c r="J85" i="7" s="1"/>
  <c r="I49" i="7"/>
  <c r="I84" i="7" s="1"/>
  <c r="G49" i="7"/>
  <c r="G86" i="7" s="1"/>
  <c r="F49" i="7"/>
  <c r="F85" i="7" s="1"/>
  <c r="E49" i="7"/>
  <c r="C49" i="7"/>
  <c r="C84" i="7" s="1"/>
  <c r="J45" i="7"/>
  <c r="I45" i="7"/>
  <c r="G45" i="7"/>
  <c r="F45" i="7"/>
  <c r="E45" i="7"/>
  <c r="C45" i="7"/>
  <c r="G42" i="7"/>
  <c r="F42" i="7"/>
  <c r="E42" i="7"/>
  <c r="C42" i="7"/>
  <c r="J34" i="7"/>
  <c r="I34" i="7"/>
  <c r="H34" i="7"/>
  <c r="G34" i="7"/>
  <c r="F34" i="7"/>
  <c r="E34" i="7"/>
  <c r="D34" i="7"/>
  <c r="C34" i="7"/>
  <c r="J32" i="7"/>
  <c r="I32" i="7"/>
  <c r="H32" i="7"/>
  <c r="G32" i="7"/>
  <c r="F32" i="7"/>
  <c r="E32" i="7"/>
  <c r="D32" i="7"/>
  <c r="C32" i="7"/>
  <c r="J30" i="7"/>
  <c r="I30" i="7"/>
  <c r="H30" i="7"/>
  <c r="G30" i="7"/>
  <c r="F30" i="7"/>
  <c r="E30" i="7"/>
  <c r="D30" i="7"/>
  <c r="C30" i="7"/>
  <c r="H26" i="7"/>
  <c r="G26" i="7"/>
  <c r="F26" i="7"/>
  <c r="E26" i="7"/>
  <c r="D26" i="7"/>
  <c r="C26" i="7"/>
  <c r="J23" i="7"/>
  <c r="I23" i="7"/>
  <c r="H23" i="7"/>
  <c r="G23" i="7"/>
  <c r="F23" i="7"/>
  <c r="E23" i="7"/>
  <c r="D23" i="7"/>
  <c r="C23" i="7"/>
  <c r="J22" i="7"/>
  <c r="I22" i="7"/>
  <c r="H22" i="7"/>
  <c r="G22" i="7"/>
  <c r="F22" i="7"/>
  <c r="E22" i="7"/>
  <c r="D22" i="7"/>
  <c r="C22" i="7"/>
  <c r="I81" i="7"/>
  <c r="E81" i="7"/>
  <c r="D24" i="7"/>
  <c r="E16" i="7"/>
  <c r="C16" i="7"/>
  <c r="H15" i="7"/>
  <c r="I26" i="7"/>
  <c r="J5" i="7"/>
  <c r="I5" i="7"/>
  <c r="I7" i="7" s="1"/>
  <c r="I9" i="7" s="1"/>
  <c r="I12" i="7" s="1"/>
  <c r="G5" i="7"/>
  <c r="G7" i="7" s="1"/>
  <c r="G9" i="7" s="1"/>
  <c r="G12" i="7" s="1"/>
  <c r="F5" i="7"/>
  <c r="E5" i="7"/>
  <c r="E7" i="7" s="1"/>
  <c r="E9" i="7" s="1"/>
  <c r="E12" i="7" s="1"/>
  <c r="D64" i="6"/>
  <c r="H62" i="6"/>
  <c r="H64" i="6" s="1"/>
  <c r="G62" i="6"/>
  <c r="G17" i="6" s="1"/>
  <c r="F62" i="6"/>
  <c r="F68" i="6" s="1"/>
  <c r="J35" i="6"/>
  <c r="I35" i="6"/>
  <c r="H35" i="6"/>
  <c r="G35" i="6"/>
  <c r="F35" i="6"/>
  <c r="E35" i="6"/>
  <c r="D35" i="6"/>
  <c r="C35" i="6"/>
  <c r="H33" i="6"/>
  <c r="G33" i="6"/>
  <c r="F33" i="6"/>
  <c r="E33" i="6"/>
  <c r="D33" i="6"/>
  <c r="C33" i="6"/>
  <c r="H31" i="6"/>
  <c r="G31" i="6"/>
  <c r="F31" i="6"/>
  <c r="E31" i="6"/>
  <c r="D31" i="6"/>
  <c r="C31" i="6"/>
  <c r="H27" i="6"/>
  <c r="G27" i="6"/>
  <c r="E27" i="6"/>
  <c r="D27" i="6"/>
  <c r="C27" i="6"/>
  <c r="H24" i="6"/>
  <c r="G24" i="6"/>
  <c r="G25" i="6" s="1"/>
  <c r="F24" i="6"/>
  <c r="E24" i="6"/>
  <c r="D24" i="6"/>
  <c r="D25" i="6" s="1"/>
  <c r="C24" i="6"/>
  <c r="H23" i="6"/>
  <c r="G23" i="6"/>
  <c r="F23" i="6"/>
  <c r="E23" i="6"/>
  <c r="D23" i="6"/>
  <c r="C23" i="6"/>
  <c r="H83" i="6"/>
  <c r="H91" i="6" s="1"/>
  <c r="G82" i="6"/>
  <c r="C17" i="6"/>
  <c r="E17" i="6"/>
  <c r="F6" i="6"/>
  <c r="F27" i="6" s="1"/>
  <c r="I6" i="6"/>
  <c r="I27" i="6" s="1"/>
  <c r="J6" i="6"/>
  <c r="J27" i="6" s="1"/>
  <c r="B95" i="6"/>
  <c r="H87" i="6"/>
  <c r="H86" i="6"/>
  <c r="H85" i="6"/>
  <c r="J81" i="6"/>
  <c r="I81" i="6"/>
  <c r="H81" i="6"/>
  <c r="G81" i="6"/>
  <c r="F81" i="6"/>
  <c r="E81" i="6"/>
  <c r="C81" i="6"/>
  <c r="G83" i="6"/>
  <c r="G91" i="6" s="1"/>
  <c r="C83" i="6"/>
  <c r="C91" i="6" s="1"/>
  <c r="J80" i="6"/>
  <c r="I80" i="6"/>
  <c r="H80" i="6"/>
  <c r="G80" i="6"/>
  <c r="F80" i="6"/>
  <c r="E80" i="6"/>
  <c r="C80" i="6"/>
  <c r="K77" i="6"/>
  <c r="J77" i="6"/>
  <c r="I77" i="6"/>
  <c r="H77" i="6"/>
  <c r="G77" i="6"/>
  <c r="F77" i="6"/>
  <c r="E77" i="6"/>
  <c r="C77" i="6"/>
  <c r="G75" i="6"/>
  <c r="G76" i="6" s="1"/>
  <c r="C75" i="6"/>
  <c r="C76" i="6" s="1"/>
  <c r="H73" i="6"/>
  <c r="H74" i="6" s="1"/>
  <c r="G73" i="6"/>
  <c r="G74" i="6" s="1"/>
  <c r="C73" i="6"/>
  <c r="C74" i="6" s="1"/>
  <c r="H71" i="6"/>
  <c r="H72" i="6" s="1"/>
  <c r="G71" i="6"/>
  <c r="G72" i="6" s="1"/>
  <c r="C71" i="6"/>
  <c r="C72" i="6" s="1"/>
  <c r="E69" i="6"/>
  <c r="C69" i="6"/>
  <c r="E68" i="6"/>
  <c r="C68" i="6"/>
  <c r="G67" i="6"/>
  <c r="E67" i="6"/>
  <c r="C67" i="6"/>
  <c r="J62" i="6"/>
  <c r="J68" i="6" s="1"/>
  <c r="I62" i="6"/>
  <c r="I67" i="6" s="1"/>
  <c r="I50" i="6"/>
  <c r="G50" i="6"/>
  <c r="G86" i="6" s="1"/>
  <c r="F50" i="6"/>
  <c r="F86" i="6" s="1"/>
  <c r="E50" i="6"/>
  <c r="E85" i="6" s="1"/>
  <c r="C50" i="6"/>
  <c r="J46" i="6"/>
  <c r="I46" i="6"/>
  <c r="G46" i="6"/>
  <c r="F46" i="6"/>
  <c r="E46" i="6"/>
  <c r="C46" i="6"/>
  <c r="G43" i="6"/>
  <c r="F43" i="6"/>
  <c r="E43" i="6"/>
  <c r="C43" i="6"/>
  <c r="J33" i="6"/>
  <c r="I33" i="6"/>
  <c r="J31" i="6"/>
  <c r="I31" i="6"/>
  <c r="J24" i="6"/>
  <c r="I24" i="6"/>
  <c r="J23" i="6"/>
  <c r="I23" i="6"/>
  <c r="J5" i="6"/>
  <c r="I5" i="6"/>
  <c r="G5" i="6"/>
  <c r="G7" i="6" s="1"/>
  <c r="E5" i="6"/>
  <c r="E7" i="6" s="1"/>
  <c r="C5" i="6"/>
  <c r="C7" i="6" s="1"/>
  <c r="G28" i="6" l="1"/>
  <c r="G29" i="6" s="1"/>
  <c r="E9" i="6"/>
  <c r="E12" i="6" s="1"/>
  <c r="H12" i="6"/>
  <c r="H16" i="6" s="1"/>
  <c r="H9" i="6"/>
  <c r="D30" i="6"/>
  <c r="G12" i="6"/>
  <c r="G16" i="6" s="1"/>
  <c r="G9" i="6"/>
  <c r="G69" i="6"/>
  <c r="G68" i="6"/>
  <c r="C12" i="6"/>
  <c r="C16" i="6" s="1"/>
  <c r="C9" i="6"/>
  <c r="D14" i="7"/>
  <c r="D17" i="7" s="1"/>
  <c r="G32" i="6"/>
  <c r="H17" i="6"/>
  <c r="H18" i="6" s="1"/>
  <c r="C5" i="7"/>
  <c r="C7" i="7" s="1"/>
  <c r="C9" i="7" s="1"/>
  <c r="C12" i="7" s="1"/>
  <c r="C14" i="7" s="1"/>
  <c r="C63" i="7" s="1"/>
  <c r="C20" i="7"/>
  <c r="C74" i="7" s="1"/>
  <c r="C75" i="7" s="1"/>
  <c r="J7" i="7"/>
  <c r="J9" i="7" s="1"/>
  <c r="J12" i="7" s="1"/>
  <c r="J15" i="7" s="1"/>
  <c r="H75" i="6"/>
  <c r="H76" i="6" s="1"/>
  <c r="H79" i="6" s="1"/>
  <c r="I75" i="6"/>
  <c r="I76" i="6" s="1"/>
  <c r="I82" i="6"/>
  <c r="E75" i="6"/>
  <c r="E76" i="6" s="1"/>
  <c r="E82" i="6"/>
  <c r="F25" i="6"/>
  <c r="F82" i="6"/>
  <c r="C25" i="6"/>
  <c r="C82" i="6"/>
  <c r="J73" i="6"/>
  <c r="J74" i="6" s="1"/>
  <c r="J82" i="6"/>
  <c r="H25" i="6"/>
  <c r="H82" i="6"/>
  <c r="I83" i="6"/>
  <c r="I91" i="6" s="1"/>
  <c r="H67" i="6"/>
  <c r="H68" i="6"/>
  <c r="H69" i="6"/>
  <c r="I71" i="6"/>
  <c r="I72" i="6" s="1"/>
  <c r="I73" i="6"/>
  <c r="I74" i="6" s="1"/>
  <c r="I25" i="6"/>
  <c r="C79" i="6"/>
  <c r="I17" i="6"/>
  <c r="F73" i="6"/>
  <c r="F74" i="6" s="1"/>
  <c r="J25" i="6"/>
  <c r="F75" i="6"/>
  <c r="F76" i="6" s="1"/>
  <c r="F71" i="6"/>
  <c r="F72" i="6" s="1"/>
  <c r="J71" i="6"/>
  <c r="J72" i="6" s="1"/>
  <c r="F83" i="6"/>
  <c r="F91" i="6" s="1"/>
  <c r="J83" i="6"/>
  <c r="J91" i="6" s="1"/>
  <c r="G77" i="7"/>
  <c r="H16" i="7"/>
  <c r="H17" i="7" s="1"/>
  <c r="H68" i="7"/>
  <c r="G74" i="7"/>
  <c r="G75" i="7" s="1"/>
  <c r="G81" i="7"/>
  <c r="H74" i="7"/>
  <c r="H75" i="7" s="1"/>
  <c r="H81" i="7"/>
  <c r="I16" i="7"/>
  <c r="F24" i="7"/>
  <c r="F27" i="7" s="1"/>
  <c r="F81" i="7"/>
  <c r="J24" i="7"/>
  <c r="J81" i="7"/>
  <c r="G67" i="7"/>
  <c r="G72" i="7"/>
  <c r="G73" i="7" s="1"/>
  <c r="G82" i="7"/>
  <c r="G90" i="7" s="1"/>
  <c r="F66" i="7"/>
  <c r="E70" i="7"/>
  <c r="E71" i="7" s="1"/>
  <c r="J66" i="7"/>
  <c r="G16" i="7"/>
  <c r="E74" i="7"/>
  <c r="E75" i="7" s="1"/>
  <c r="F16" i="7"/>
  <c r="J16" i="7"/>
  <c r="G85" i="7"/>
  <c r="F7" i="7"/>
  <c r="F9" i="7" s="1"/>
  <c r="F12" i="7" s="1"/>
  <c r="F15" i="7" s="1"/>
  <c r="F84" i="7"/>
  <c r="C86" i="7"/>
  <c r="I74" i="7"/>
  <c r="I75" i="7" s="1"/>
  <c r="I70" i="7"/>
  <c r="I71" i="7" s="1"/>
  <c r="J25" i="7"/>
  <c r="J27" i="7"/>
  <c r="I14" i="7"/>
  <c r="I63" i="7" s="1"/>
  <c r="I15" i="7"/>
  <c r="D27" i="7"/>
  <c r="D25" i="7"/>
  <c r="E84" i="7"/>
  <c r="E85" i="7"/>
  <c r="E86" i="7"/>
  <c r="E14" i="7"/>
  <c r="E63" i="7" s="1"/>
  <c r="E15" i="7"/>
  <c r="G15" i="7"/>
  <c r="G14" i="7"/>
  <c r="G63" i="7" s="1"/>
  <c r="F82" i="7"/>
  <c r="F90" i="7" s="1"/>
  <c r="F77" i="7"/>
  <c r="F72" i="7"/>
  <c r="F73" i="7" s="1"/>
  <c r="F74" i="7"/>
  <c r="F75" i="7" s="1"/>
  <c r="F70" i="7"/>
  <c r="F71" i="7" s="1"/>
  <c r="J82" i="7"/>
  <c r="J90" i="7" s="1"/>
  <c r="J77" i="7"/>
  <c r="J72" i="7"/>
  <c r="J73" i="7" s="1"/>
  <c r="J74" i="7"/>
  <c r="J75" i="7" s="1"/>
  <c r="J70" i="7"/>
  <c r="J71" i="7" s="1"/>
  <c r="G24" i="7"/>
  <c r="G66" i="7"/>
  <c r="H67" i="7"/>
  <c r="I68" i="7"/>
  <c r="H72" i="7"/>
  <c r="H73" i="7" s="1"/>
  <c r="H77" i="7"/>
  <c r="H82" i="7"/>
  <c r="H90" i="7" s="1"/>
  <c r="G84" i="7"/>
  <c r="C85" i="7"/>
  <c r="I86" i="7"/>
  <c r="J84" i="7"/>
  <c r="H24" i="7"/>
  <c r="H66" i="7"/>
  <c r="I67" i="7"/>
  <c r="F68" i="7"/>
  <c r="J68" i="7"/>
  <c r="G70" i="7"/>
  <c r="G71" i="7" s="1"/>
  <c r="E72" i="7"/>
  <c r="E73" i="7" s="1"/>
  <c r="I72" i="7"/>
  <c r="I73" i="7" s="1"/>
  <c r="E77" i="7"/>
  <c r="I77" i="7"/>
  <c r="E82" i="7"/>
  <c r="E90" i="7" s="1"/>
  <c r="I82" i="7"/>
  <c r="I90" i="7" s="1"/>
  <c r="I85" i="7"/>
  <c r="F86" i="7"/>
  <c r="J86" i="7"/>
  <c r="E24" i="7"/>
  <c r="I24" i="7"/>
  <c r="H70" i="7"/>
  <c r="H71" i="7" s="1"/>
  <c r="F67" i="6"/>
  <c r="F69" i="6"/>
  <c r="F17" i="6"/>
  <c r="G34" i="6"/>
  <c r="F26" i="6"/>
  <c r="D28" i="6"/>
  <c r="D29" i="6" s="1"/>
  <c r="D26" i="6"/>
  <c r="E73" i="6"/>
  <c r="E74" i="6" s="1"/>
  <c r="E83" i="6"/>
  <c r="E91" i="6" s="1"/>
  <c r="E71" i="6"/>
  <c r="E72" i="6" s="1"/>
  <c r="E25" i="6"/>
  <c r="G26" i="6"/>
  <c r="J75" i="6"/>
  <c r="J76" i="6" s="1"/>
  <c r="J17" i="6"/>
  <c r="J7" i="6"/>
  <c r="J67" i="6"/>
  <c r="F78" i="6"/>
  <c r="J50" i="6"/>
  <c r="J86" i="6" s="1"/>
  <c r="E78" i="6"/>
  <c r="I78" i="6"/>
  <c r="F7" i="6"/>
  <c r="H78" i="6"/>
  <c r="J78" i="6"/>
  <c r="F85" i="6"/>
  <c r="G78" i="6"/>
  <c r="I85" i="6"/>
  <c r="I86" i="6"/>
  <c r="I87" i="6"/>
  <c r="I7" i="6"/>
  <c r="C14" i="6"/>
  <c r="C85" i="6"/>
  <c r="C86" i="6"/>
  <c r="G79" i="6"/>
  <c r="C87" i="6"/>
  <c r="G87" i="6"/>
  <c r="G85" i="6"/>
  <c r="I69" i="6"/>
  <c r="C78" i="6"/>
  <c r="E87" i="6"/>
  <c r="I68" i="6"/>
  <c r="J69" i="6"/>
  <c r="E86" i="6"/>
  <c r="F87" i="6"/>
  <c r="H25" i="5"/>
  <c r="H26" i="5" s="1"/>
  <c r="I25" i="5"/>
  <c r="I26" i="5" s="1"/>
  <c r="H33" i="2"/>
  <c r="I33" i="2"/>
  <c r="G41" i="5"/>
  <c r="G97" i="5" s="1"/>
  <c r="H36" i="5"/>
  <c r="I36" i="5"/>
  <c r="H44" i="5"/>
  <c r="H46" i="5" s="1"/>
  <c r="I44" i="5"/>
  <c r="I46" i="5" s="1"/>
  <c r="G67" i="2"/>
  <c r="F67" i="2"/>
  <c r="E67" i="2"/>
  <c r="D67" i="2"/>
  <c r="C67" i="2"/>
  <c r="G72" i="5"/>
  <c r="F72" i="5"/>
  <c r="E72" i="5"/>
  <c r="D72" i="5"/>
  <c r="C72" i="5"/>
  <c r="G92" i="2"/>
  <c r="G16" i="5"/>
  <c r="H35" i="2"/>
  <c r="H38" i="5"/>
  <c r="I43" i="2"/>
  <c r="H43" i="2"/>
  <c r="F43" i="2"/>
  <c r="E43" i="2"/>
  <c r="D43" i="2"/>
  <c r="C43" i="2"/>
  <c r="F46" i="5"/>
  <c r="E46" i="5"/>
  <c r="D46" i="5"/>
  <c r="C46" i="5"/>
  <c r="G15" i="2"/>
  <c r="I27" i="5"/>
  <c r="H28" i="5"/>
  <c r="I31" i="2"/>
  <c r="H31" i="2"/>
  <c r="I24" i="2"/>
  <c r="D49" i="2"/>
  <c r="C49" i="2"/>
  <c r="I50" i="2"/>
  <c r="I49" i="2" s="1"/>
  <c r="H50" i="2"/>
  <c r="H49" i="2" s="1"/>
  <c r="G89" i="5"/>
  <c r="F89" i="5"/>
  <c r="E88" i="5"/>
  <c r="D53" i="5"/>
  <c r="D90" i="5" s="1"/>
  <c r="C53" i="5"/>
  <c r="C88" i="5" s="1"/>
  <c r="H54" i="5"/>
  <c r="H55" i="5"/>
  <c r="I55" i="5"/>
  <c r="I54" i="5"/>
  <c r="I62" i="5"/>
  <c r="H62" i="5"/>
  <c r="H6" i="5"/>
  <c r="I6" i="5"/>
  <c r="I30" i="5" s="1"/>
  <c r="B98" i="5"/>
  <c r="G90" i="5"/>
  <c r="D89" i="5"/>
  <c r="I84" i="5"/>
  <c r="H84" i="5"/>
  <c r="G84" i="5"/>
  <c r="F84" i="5"/>
  <c r="E84" i="5"/>
  <c r="D84" i="5"/>
  <c r="C84" i="5"/>
  <c r="I86" i="5"/>
  <c r="I94" i="5" s="1"/>
  <c r="H86" i="5"/>
  <c r="H94" i="5" s="1"/>
  <c r="G86" i="5"/>
  <c r="G94" i="5" s="1"/>
  <c r="F86" i="5"/>
  <c r="F94" i="5" s="1"/>
  <c r="E86" i="5"/>
  <c r="E94" i="5" s="1"/>
  <c r="D86" i="5"/>
  <c r="D94" i="5" s="1"/>
  <c r="C86" i="5"/>
  <c r="C94" i="5" s="1"/>
  <c r="I83" i="5"/>
  <c r="H83" i="5"/>
  <c r="G83" i="5"/>
  <c r="F83" i="5"/>
  <c r="E83" i="5"/>
  <c r="D83" i="5"/>
  <c r="C83" i="5"/>
  <c r="I80" i="5"/>
  <c r="H80" i="5"/>
  <c r="G80" i="5"/>
  <c r="F80" i="5"/>
  <c r="E80" i="5"/>
  <c r="D80" i="5"/>
  <c r="C80" i="5"/>
  <c r="I78" i="5"/>
  <c r="I79" i="5" s="1"/>
  <c r="H78" i="5"/>
  <c r="H79" i="5" s="1"/>
  <c r="G78" i="5"/>
  <c r="G79" i="5" s="1"/>
  <c r="F78" i="5"/>
  <c r="F79" i="5" s="1"/>
  <c r="E78" i="5"/>
  <c r="E79" i="5" s="1"/>
  <c r="D78" i="5"/>
  <c r="D79" i="5" s="1"/>
  <c r="C78" i="5"/>
  <c r="C79" i="5" s="1"/>
  <c r="I76" i="5"/>
  <c r="I77" i="5" s="1"/>
  <c r="H76" i="5"/>
  <c r="H77" i="5" s="1"/>
  <c r="G76" i="5"/>
  <c r="G77" i="5" s="1"/>
  <c r="F76" i="5"/>
  <c r="F77" i="5" s="1"/>
  <c r="E76" i="5"/>
  <c r="E77" i="5" s="1"/>
  <c r="D76" i="5"/>
  <c r="D77" i="5" s="1"/>
  <c r="C76" i="5"/>
  <c r="C77" i="5" s="1"/>
  <c r="I74" i="5"/>
  <c r="I75" i="5" s="1"/>
  <c r="H74" i="5"/>
  <c r="H75" i="5" s="1"/>
  <c r="G74" i="5"/>
  <c r="G75" i="5" s="1"/>
  <c r="F74" i="5"/>
  <c r="F75" i="5" s="1"/>
  <c r="E74" i="5"/>
  <c r="E75" i="5" s="1"/>
  <c r="D74" i="5"/>
  <c r="D75" i="5" s="1"/>
  <c r="C74" i="5"/>
  <c r="C75" i="5" s="1"/>
  <c r="G71" i="5"/>
  <c r="F71" i="5"/>
  <c r="E71" i="5"/>
  <c r="D71" i="5"/>
  <c r="C71" i="5"/>
  <c r="G70" i="5"/>
  <c r="F70" i="5"/>
  <c r="E70" i="5"/>
  <c r="D70" i="5"/>
  <c r="C70" i="5"/>
  <c r="H69" i="5"/>
  <c r="I65" i="5"/>
  <c r="I17" i="5" s="1"/>
  <c r="H65" i="5"/>
  <c r="H70" i="5" s="1"/>
  <c r="I49" i="5"/>
  <c r="H49" i="5"/>
  <c r="F28" i="5"/>
  <c r="F29" i="5" s="1"/>
  <c r="E28" i="5"/>
  <c r="E29" i="5" s="1"/>
  <c r="D28" i="5"/>
  <c r="D29" i="5" s="1"/>
  <c r="C28" i="5"/>
  <c r="C31" i="5" s="1"/>
  <c r="C33" i="5" s="1"/>
  <c r="G17" i="5"/>
  <c r="F17" i="5"/>
  <c r="E17" i="5"/>
  <c r="D17" i="5"/>
  <c r="C17" i="5"/>
  <c r="I5" i="5"/>
  <c r="H5" i="5"/>
  <c r="F5" i="5"/>
  <c r="F7" i="5" s="1"/>
  <c r="F9" i="5" s="1"/>
  <c r="F12" i="5" s="1"/>
  <c r="F16" i="5" s="1"/>
  <c r="E5" i="5"/>
  <c r="E7" i="5" s="1"/>
  <c r="E9" i="5" s="1"/>
  <c r="E12" i="5" s="1"/>
  <c r="E16" i="5" s="1"/>
  <c r="D5" i="5"/>
  <c r="D7" i="5" s="1"/>
  <c r="D9" i="5" s="1"/>
  <c r="D12" i="5" s="1"/>
  <c r="D16" i="5" s="1"/>
  <c r="C5" i="5"/>
  <c r="C7" i="5" s="1"/>
  <c r="C9" i="5" s="1"/>
  <c r="C12" i="5" s="1"/>
  <c r="C16" i="5" s="1"/>
  <c r="I22" i="2"/>
  <c r="I23" i="2" s="1"/>
  <c r="F16" i="2"/>
  <c r="E16" i="2"/>
  <c r="D16" i="2"/>
  <c r="C16" i="2"/>
  <c r="H64" i="2"/>
  <c r="E16" i="6" l="1"/>
  <c r="E14" i="6"/>
  <c r="I9" i="6"/>
  <c r="I12" i="6" s="1"/>
  <c r="J9" i="6"/>
  <c r="J12" i="6" s="1"/>
  <c r="G30" i="6"/>
  <c r="E30" i="6"/>
  <c r="J28" i="6"/>
  <c r="J29" i="6" s="1"/>
  <c r="J30" i="6"/>
  <c r="I26" i="6"/>
  <c r="I30" i="6"/>
  <c r="H26" i="6"/>
  <c r="C28" i="6"/>
  <c r="C29" i="6" s="1"/>
  <c r="C30" i="6"/>
  <c r="G14" i="6"/>
  <c r="G64" i="6" s="1"/>
  <c r="F12" i="6"/>
  <c r="F9" i="6"/>
  <c r="F28" i="6"/>
  <c r="F29" i="6" s="1"/>
  <c r="H29" i="5"/>
  <c r="D63" i="7"/>
  <c r="C15" i="7"/>
  <c r="C81" i="7"/>
  <c r="F31" i="7"/>
  <c r="F33" i="7" s="1"/>
  <c r="F35" i="7" s="1"/>
  <c r="F28" i="7"/>
  <c r="C77" i="7"/>
  <c r="D31" i="7"/>
  <c r="D28" i="7"/>
  <c r="J31" i="7"/>
  <c r="J28" i="7"/>
  <c r="J32" i="6"/>
  <c r="C32" i="6"/>
  <c r="C34" i="6" s="1"/>
  <c r="D32" i="6"/>
  <c r="I79" i="6"/>
  <c r="C35" i="5"/>
  <c r="C37" i="5" s="1"/>
  <c r="C41" i="5" s="1"/>
  <c r="C32" i="5"/>
  <c r="H28" i="6"/>
  <c r="H29" i="6" s="1"/>
  <c r="J79" i="6"/>
  <c r="F79" i="6"/>
  <c r="I28" i="6"/>
  <c r="I29" i="6" s="1"/>
  <c r="J14" i="7"/>
  <c r="J63" i="7" s="1"/>
  <c r="C82" i="7"/>
  <c r="C90" i="7" s="1"/>
  <c r="C72" i="7"/>
  <c r="C73" i="7" s="1"/>
  <c r="C70" i="7"/>
  <c r="C71" i="7" s="1"/>
  <c r="C24" i="7"/>
  <c r="C25" i="7" s="1"/>
  <c r="F25" i="7"/>
  <c r="G17" i="7"/>
  <c r="F92" i="7"/>
  <c r="C26" i="6"/>
  <c r="E79" i="6"/>
  <c r="J85" i="6"/>
  <c r="J26" i="6"/>
  <c r="J87" i="6"/>
  <c r="E18" i="6"/>
  <c r="E64" i="6"/>
  <c r="C18" i="6"/>
  <c r="C64" i="6"/>
  <c r="E81" i="5"/>
  <c r="I81" i="5"/>
  <c r="E78" i="7"/>
  <c r="F14" i="7"/>
  <c r="F63" i="7" s="1"/>
  <c r="I78" i="7"/>
  <c r="C17" i="7"/>
  <c r="H78" i="7"/>
  <c r="H85" i="5"/>
  <c r="I85" i="5"/>
  <c r="D88" i="5"/>
  <c r="F37" i="7"/>
  <c r="F93" i="7" s="1"/>
  <c r="I17" i="7"/>
  <c r="E27" i="7"/>
  <c r="E29" i="7" s="1"/>
  <c r="E25" i="7"/>
  <c r="G27" i="7"/>
  <c r="G25" i="7"/>
  <c r="J78" i="7"/>
  <c r="F88" i="7"/>
  <c r="F64" i="7"/>
  <c r="F36" i="7"/>
  <c r="F89" i="7" s="1"/>
  <c r="H27" i="7"/>
  <c r="H25" i="7"/>
  <c r="E17" i="7"/>
  <c r="I27" i="7"/>
  <c r="I25" i="7"/>
  <c r="G78" i="7"/>
  <c r="F78" i="7"/>
  <c r="D33" i="7"/>
  <c r="J92" i="7"/>
  <c r="J33" i="7"/>
  <c r="D34" i="6"/>
  <c r="E28" i="6"/>
  <c r="E29" i="6" s="1"/>
  <c r="E26" i="6"/>
  <c r="C38" i="6"/>
  <c r="C36" i="6"/>
  <c r="G38" i="6"/>
  <c r="G36" i="6"/>
  <c r="G18" i="6"/>
  <c r="F14" i="6"/>
  <c r="F16" i="6"/>
  <c r="G93" i="6"/>
  <c r="J93" i="6"/>
  <c r="J34" i="6"/>
  <c r="H53" i="5"/>
  <c r="H88" i="5" s="1"/>
  <c r="C90" i="5"/>
  <c r="C89" i="5"/>
  <c r="H72" i="5"/>
  <c r="I53" i="5"/>
  <c r="I88" i="5" s="1"/>
  <c r="E90" i="5"/>
  <c r="I72" i="5"/>
  <c r="D81" i="5"/>
  <c r="F90" i="5"/>
  <c r="D31" i="5"/>
  <c r="D33" i="5" s="1"/>
  <c r="H71" i="5"/>
  <c r="E31" i="5"/>
  <c r="E33" i="5" s="1"/>
  <c r="H17" i="5"/>
  <c r="G81" i="5"/>
  <c r="G88" i="5"/>
  <c r="I28" i="5"/>
  <c r="F82" i="5"/>
  <c r="F88" i="5"/>
  <c r="F81" i="5"/>
  <c r="H33" i="5"/>
  <c r="E89" i="5"/>
  <c r="H7" i="5"/>
  <c r="H9" i="5" s="1"/>
  <c r="H12" i="5" s="1"/>
  <c r="H16" i="5" s="1"/>
  <c r="I7" i="5"/>
  <c r="I9" i="5" s="1"/>
  <c r="I12" i="5" s="1"/>
  <c r="I16" i="5" s="1"/>
  <c r="I82" i="5"/>
  <c r="C14" i="5"/>
  <c r="D82" i="5"/>
  <c r="E82" i="5"/>
  <c r="D14" i="5"/>
  <c r="D67" i="5" s="1"/>
  <c r="C82" i="5"/>
  <c r="G82" i="5"/>
  <c r="H82" i="5"/>
  <c r="F14" i="5"/>
  <c r="F67" i="5" s="1"/>
  <c r="E14" i="5"/>
  <c r="E67" i="5" s="1"/>
  <c r="C96" i="5"/>
  <c r="G96" i="5"/>
  <c r="C81" i="5"/>
  <c r="F31" i="5"/>
  <c r="F33" i="5" s="1"/>
  <c r="I71" i="5"/>
  <c r="H81" i="5"/>
  <c r="C29" i="5"/>
  <c r="G29" i="5"/>
  <c r="I70" i="5"/>
  <c r="I73" i="2"/>
  <c r="H73" i="2"/>
  <c r="G73" i="2"/>
  <c r="F73" i="2"/>
  <c r="E73" i="2"/>
  <c r="D73" i="2"/>
  <c r="C73" i="2"/>
  <c r="I69" i="2"/>
  <c r="H69" i="2"/>
  <c r="G69" i="2"/>
  <c r="F69" i="2"/>
  <c r="E69" i="2"/>
  <c r="D69" i="2"/>
  <c r="C69" i="2"/>
  <c r="H46" i="2"/>
  <c r="F46" i="2"/>
  <c r="E46" i="2"/>
  <c r="D46" i="2"/>
  <c r="C46" i="2"/>
  <c r="I46" i="2"/>
  <c r="J16" i="6" l="1"/>
  <c r="J14" i="6"/>
  <c r="I16" i="6"/>
  <c r="I14" i="6"/>
  <c r="I64" i="6" s="1"/>
  <c r="H30" i="6"/>
  <c r="F32" i="6"/>
  <c r="F30" i="6"/>
  <c r="C78" i="7"/>
  <c r="J17" i="7"/>
  <c r="C27" i="7"/>
  <c r="E31" i="7"/>
  <c r="E33" i="7" s="1"/>
  <c r="E28" i="7"/>
  <c r="I31" i="7"/>
  <c r="I92" i="7" s="1"/>
  <c r="I28" i="7"/>
  <c r="H31" i="7"/>
  <c r="H92" i="7" s="1"/>
  <c r="H28" i="7"/>
  <c r="G31" i="7"/>
  <c r="G92" i="7" s="1"/>
  <c r="G28" i="7"/>
  <c r="H32" i="6"/>
  <c r="C93" i="6"/>
  <c r="I32" i="6"/>
  <c r="I93" i="6" s="1"/>
  <c r="E32" i="6"/>
  <c r="H35" i="5"/>
  <c r="H96" i="5" s="1"/>
  <c r="H32" i="5"/>
  <c r="F35" i="5"/>
  <c r="F96" i="5" s="1"/>
  <c r="F32" i="5"/>
  <c r="D35" i="5"/>
  <c r="D96" i="5" s="1"/>
  <c r="D32" i="5"/>
  <c r="E35" i="5"/>
  <c r="E96" i="5" s="1"/>
  <c r="E32" i="5"/>
  <c r="F17" i="7"/>
  <c r="G37" i="6"/>
  <c r="G65" i="6"/>
  <c r="C37" i="6"/>
  <c r="C90" i="6" s="1"/>
  <c r="C65" i="6"/>
  <c r="F18" i="6"/>
  <c r="F64" i="6"/>
  <c r="H89" i="5"/>
  <c r="H90" i="5"/>
  <c r="J37" i="7"/>
  <c r="J35" i="7"/>
  <c r="I33" i="7"/>
  <c r="D35" i="7"/>
  <c r="D37" i="7"/>
  <c r="G33" i="7"/>
  <c r="F94" i="7"/>
  <c r="E34" i="6"/>
  <c r="E93" i="6"/>
  <c r="D38" i="6"/>
  <c r="D36" i="6"/>
  <c r="J38" i="6"/>
  <c r="J36" i="6"/>
  <c r="C89" i="6"/>
  <c r="C94" i="6"/>
  <c r="I90" i="5"/>
  <c r="I89" i="5"/>
  <c r="C39" i="5"/>
  <c r="D37" i="5"/>
  <c r="D41" i="5" s="1"/>
  <c r="I31" i="5"/>
  <c r="I33" i="5" s="1"/>
  <c r="I29" i="5"/>
  <c r="I14" i="5"/>
  <c r="I67" i="5" s="1"/>
  <c r="H14" i="5"/>
  <c r="H67" i="5" s="1"/>
  <c r="E18" i="5"/>
  <c r="C18" i="5"/>
  <c r="C67" i="5"/>
  <c r="F18" i="5"/>
  <c r="G18" i="5"/>
  <c r="G67" i="5"/>
  <c r="D18" i="5"/>
  <c r="D74" i="2"/>
  <c r="F74" i="2"/>
  <c r="I71" i="2"/>
  <c r="H71" i="2"/>
  <c r="G71" i="2"/>
  <c r="G72" i="2" s="1"/>
  <c r="F71" i="2"/>
  <c r="F72" i="2" s="1"/>
  <c r="E71" i="2"/>
  <c r="E72" i="2" s="1"/>
  <c r="D71" i="2"/>
  <c r="D72" i="2" s="1"/>
  <c r="C71" i="2"/>
  <c r="C72" i="2" s="1"/>
  <c r="F70" i="2"/>
  <c r="D70" i="2"/>
  <c r="E70" i="2"/>
  <c r="G70" i="2"/>
  <c r="H70" i="2"/>
  <c r="I70" i="2"/>
  <c r="C70" i="2"/>
  <c r="I78" i="2"/>
  <c r="H78" i="2"/>
  <c r="G78" i="2"/>
  <c r="F78" i="2"/>
  <c r="E78" i="2"/>
  <c r="D78" i="2"/>
  <c r="C78" i="2"/>
  <c r="G66" i="2"/>
  <c r="F66" i="2"/>
  <c r="E66" i="2"/>
  <c r="D66" i="2"/>
  <c r="C66" i="2"/>
  <c r="G65" i="2"/>
  <c r="F65" i="2"/>
  <c r="E65" i="2"/>
  <c r="D65" i="2"/>
  <c r="C65" i="2"/>
  <c r="I61" i="2"/>
  <c r="I67" i="2" s="1"/>
  <c r="H61" i="2"/>
  <c r="H67" i="2" s="1"/>
  <c r="I25" i="2"/>
  <c r="I26" i="2" s="1"/>
  <c r="H25" i="2"/>
  <c r="F26" i="2"/>
  <c r="E25" i="2"/>
  <c r="D25" i="2"/>
  <c r="D26" i="2" s="1"/>
  <c r="C25" i="2"/>
  <c r="C26" i="2" s="1"/>
  <c r="I6" i="2"/>
  <c r="I27" i="2" s="1"/>
  <c r="H6" i="2"/>
  <c r="I5" i="2"/>
  <c r="H5" i="2"/>
  <c r="F5" i="2"/>
  <c r="F7" i="2" s="1"/>
  <c r="F9" i="2" s="1"/>
  <c r="F12" i="2" s="1"/>
  <c r="F15" i="2" s="1"/>
  <c r="E5" i="2"/>
  <c r="E7" i="2" s="1"/>
  <c r="E9" i="2" s="1"/>
  <c r="E12" i="2" s="1"/>
  <c r="E15" i="2" s="1"/>
  <c r="D5" i="2"/>
  <c r="D7" i="2" s="1"/>
  <c r="D9" i="2" s="1"/>
  <c r="D12" i="2" s="1"/>
  <c r="D15" i="2" s="1"/>
  <c r="C5" i="2"/>
  <c r="C7" i="2" s="1"/>
  <c r="C9" i="2" s="1"/>
  <c r="C12" i="2" s="1"/>
  <c r="C15" i="2" s="1"/>
  <c r="I75" i="2"/>
  <c r="H75" i="2"/>
  <c r="G75" i="2"/>
  <c r="F75" i="2"/>
  <c r="E75" i="2"/>
  <c r="D75" i="2"/>
  <c r="C75" i="2"/>
  <c r="I58" i="2"/>
  <c r="H58" i="2"/>
  <c r="B93" i="2"/>
  <c r="I85" i="2"/>
  <c r="H85" i="2"/>
  <c r="G85" i="2"/>
  <c r="F85" i="2"/>
  <c r="E85" i="2"/>
  <c r="D85" i="2"/>
  <c r="C85" i="2"/>
  <c r="I84" i="2"/>
  <c r="H84" i="2"/>
  <c r="G84" i="2"/>
  <c r="F84" i="2"/>
  <c r="E84" i="2"/>
  <c r="D84" i="2"/>
  <c r="C84" i="2"/>
  <c r="I83" i="2"/>
  <c r="H83" i="2"/>
  <c r="G83" i="2"/>
  <c r="F83" i="2"/>
  <c r="E83" i="2"/>
  <c r="D83" i="2"/>
  <c r="C83" i="2"/>
  <c r="I79" i="2"/>
  <c r="H79" i="2"/>
  <c r="G79" i="2"/>
  <c r="F79" i="2"/>
  <c r="E79" i="2"/>
  <c r="D79" i="2"/>
  <c r="C79" i="2"/>
  <c r="I81" i="2"/>
  <c r="I89" i="2" s="1"/>
  <c r="G81" i="2"/>
  <c r="G89" i="2" s="1"/>
  <c r="F81" i="2"/>
  <c r="F89" i="2" s="1"/>
  <c r="E81" i="2"/>
  <c r="E89" i="2" s="1"/>
  <c r="D81" i="2"/>
  <c r="D89" i="2" s="1"/>
  <c r="C81" i="2"/>
  <c r="C89" i="2" s="1"/>
  <c r="I74" i="2"/>
  <c r="H74" i="2"/>
  <c r="G74" i="2"/>
  <c r="E74" i="2"/>
  <c r="C74" i="2"/>
  <c r="H81" i="2"/>
  <c r="H89" i="2" s="1"/>
  <c r="H26" i="2" l="1"/>
  <c r="I18" i="6"/>
  <c r="F34" i="6"/>
  <c r="F93" i="6"/>
  <c r="J64" i="6"/>
  <c r="J18" i="6"/>
  <c r="F37" i="5"/>
  <c r="F41" i="5" s="1"/>
  <c r="E26" i="2"/>
  <c r="H37" i="5"/>
  <c r="H41" i="5" s="1"/>
  <c r="E37" i="5"/>
  <c r="E41" i="5" s="1"/>
  <c r="H33" i="7"/>
  <c r="E92" i="7"/>
  <c r="C31" i="7"/>
  <c r="C28" i="7"/>
  <c r="I34" i="6"/>
  <c r="H93" i="6"/>
  <c r="H34" i="6"/>
  <c r="I35" i="5"/>
  <c r="I32" i="5"/>
  <c r="F77" i="2"/>
  <c r="D37" i="6"/>
  <c r="D65" i="6"/>
  <c r="H80" i="2"/>
  <c r="I80" i="2"/>
  <c r="E35" i="7"/>
  <c r="E37" i="7"/>
  <c r="H35" i="7"/>
  <c r="H37" i="7"/>
  <c r="I35" i="7"/>
  <c r="I37" i="7"/>
  <c r="J93" i="7"/>
  <c r="J64" i="7"/>
  <c r="J88" i="7"/>
  <c r="J36" i="7"/>
  <c r="J89" i="7" s="1"/>
  <c r="G35" i="7"/>
  <c r="G37" i="7"/>
  <c r="D64" i="7"/>
  <c r="D36" i="7"/>
  <c r="E38" i="6"/>
  <c r="E36" i="6"/>
  <c r="E65" i="6" s="1"/>
  <c r="C95" i="6"/>
  <c r="G89" i="6"/>
  <c r="G90" i="6"/>
  <c r="G94" i="6"/>
  <c r="J94" i="6"/>
  <c r="J37" i="6"/>
  <c r="J90" i="6" s="1"/>
  <c r="J89" i="6"/>
  <c r="J65" i="6"/>
  <c r="E76" i="2"/>
  <c r="I76" i="2"/>
  <c r="C97" i="5"/>
  <c r="D39" i="5"/>
  <c r="D92" i="5" s="1"/>
  <c r="F39" i="5"/>
  <c r="I18" i="5"/>
  <c r="I37" i="5"/>
  <c r="I41" i="5" s="1"/>
  <c r="I96" i="5"/>
  <c r="H66" i="2"/>
  <c r="H16" i="2"/>
  <c r="F76" i="2"/>
  <c r="H7" i="2"/>
  <c r="H9" i="2" s="1"/>
  <c r="H12" i="2" s="1"/>
  <c r="I66" i="2"/>
  <c r="I16" i="2"/>
  <c r="H18" i="5"/>
  <c r="C40" i="5"/>
  <c r="C93" i="5" s="1"/>
  <c r="C92" i="5"/>
  <c r="C68" i="5"/>
  <c r="G40" i="5"/>
  <c r="G93" i="5" s="1"/>
  <c r="G68" i="5"/>
  <c r="G92" i="5"/>
  <c r="D77" i="2"/>
  <c r="H65" i="2"/>
  <c r="I65" i="2"/>
  <c r="G77" i="2"/>
  <c r="E77" i="2"/>
  <c r="C77" i="2"/>
  <c r="I7" i="2"/>
  <c r="I9" i="2" s="1"/>
  <c r="I12" i="2" s="1"/>
  <c r="I15" i="2" s="1"/>
  <c r="G76" i="2"/>
  <c r="C28" i="2"/>
  <c r="D28" i="2"/>
  <c r="E28" i="2"/>
  <c r="E30" i="2" s="1"/>
  <c r="F28" i="2"/>
  <c r="F30" i="2" s="1"/>
  <c r="D76" i="2"/>
  <c r="H76" i="2"/>
  <c r="I28" i="2"/>
  <c r="C14" i="2"/>
  <c r="F14" i="2"/>
  <c r="D14" i="2"/>
  <c r="E14" i="2"/>
  <c r="H30" i="2"/>
  <c r="C76" i="2"/>
  <c r="H72" i="2"/>
  <c r="I72" i="2"/>
  <c r="H39" i="5" l="1"/>
  <c r="H92" i="5" s="1"/>
  <c r="F38" i="6"/>
  <c r="F36" i="6"/>
  <c r="E39" i="5"/>
  <c r="E40" i="5" s="1"/>
  <c r="E93" i="5" s="1"/>
  <c r="C92" i="7"/>
  <c r="C33" i="7"/>
  <c r="H38" i="6"/>
  <c r="H36" i="6"/>
  <c r="I36" i="6"/>
  <c r="I38" i="6"/>
  <c r="H32" i="2"/>
  <c r="H29" i="2"/>
  <c r="F32" i="2"/>
  <c r="F91" i="2" s="1"/>
  <c r="F29" i="2"/>
  <c r="I32" i="2"/>
  <c r="I29" i="2"/>
  <c r="E32" i="2"/>
  <c r="E91" i="2" s="1"/>
  <c r="E29" i="2"/>
  <c r="D32" i="2"/>
  <c r="D29" i="2"/>
  <c r="C32" i="2"/>
  <c r="C91" i="2" s="1"/>
  <c r="C29" i="2"/>
  <c r="J94" i="7"/>
  <c r="I88" i="7"/>
  <c r="I36" i="7"/>
  <c r="I89" i="7" s="1"/>
  <c r="I93" i="7"/>
  <c r="I64" i="7"/>
  <c r="E88" i="7"/>
  <c r="E36" i="7"/>
  <c r="E89" i="7" s="1"/>
  <c r="E64" i="7"/>
  <c r="E93" i="7"/>
  <c r="G64" i="7"/>
  <c r="G93" i="7"/>
  <c r="G88" i="7"/>
  <c r="G36" i="7"/>
  <c r="G89" i="7" s="1"/>
  <c r="H64" i="7"/>
  <c r="H88" i="7"/>
  <c r="H36" i="7"/>
  <c r="H89" i="7" s="1"/>
  <c r="H93" i="7"/>
  <c r="E37" i="6"/>
  <c r="E90" i="6" s="1"/>
  <c r="E94" i="6"/>
  <c r="E89" i="6"/>
  <c r="G95" i="6"/>
  <c r="J95" i="6"/>
  <c r="H14" i="2"/>
  <c r="H62" i="2" s="1"/>
  <c r="H15" i="2"/>
  <c r="F97" i="5"/>
  <c r="H68" i="5"/>
  <c r="H40" i="5"/>
  <c r="H93" i="5" s="1"/>
  <c r="H98" i="5" s="1"/>
  <c r="D40" i="5"/>
  <c r="D93" i="5" s="1"/>
  <c r="D98" i="5" s="1"/>
  <c r="D68" i="5"/>
  <c r="H97" i="5"/>
  <c r="D97" i="5"/>
  <c r="I39" i="5"/>
  <c r="I40" i="5" s="1"/>
  <c r="I93" i="5" s="1"/>
  <c r="D62" i="2"/>
  <c r="D17" i="2"/>
  <c r="G62" i="2"/>
  <c r="G17" i="2"/>
  <c r="I14" i="2"/>
  <c r="I62" i="2" s="1"/>
  <c r="F62" i="2"/>
  <c r="F17" i="2"/>
  <c r="C62" i="2"/>
  <c r="C17" i="2"/>
  <c r="H17" i="2"/>
  <c r="E62" i="2"/>
  <c r="E17" i="2"/>
  <c r="G98" i="5"/>
  <c r="C98" i="5"/>
  <c r="F68" i="5"/>
  <c r="F40" i="5"/>
  <c r="F93" i="5" s="1"/>
  <c r="F92" i="5"/>
  <c r="H34" i="2"/>
  <c r="H38" i="2" s="1"/>
  <c r="F34" i="2"/>
  <c r="F38" i="2" s="1"/>
  <c r="D91" i="2"/>
  <c r="D34" i="2"/>
  <c r="D38" i="2" s="1"/>
  <c r="C34" i="2"/>
  <c r="C38" i="2" s="1"/>
  <c r="I34" i="2"/>
  <c r="I38" i="2" s="1"/>
  <c r="G91" i="2"/>
  <c r="H77" i="2"/>
  <c r="I77" i="2"/>
  <c r="H91" i="2"/>
  <c r="I91" i="2"/>
  <c r="F65" i="6" l="1"/>
  <c r="F94" i="6"/>
  <c r="F37" i="6"/>
  <c r="F90" i="6" s="1"/>
  <c r="F95" i="6" s="1"/>
  <c r="F89" i="6"/>
  <c r="E34" i="2"/>
  <c r="E38" i="2" s="1"/>
  <c r="E97" i="5"/>
  <c r="E68" i="5"/>
  <c r="E92" i="5"/>
  <c r="E98" i="5" s="1"/>
  <c r="C37" i="7"/>
  <c r="C35" i="7"/>
  <c r="I37" i="6"/>
  <c r="I90" i="6" s="1"/>
  <c r="I65" i="6"/>
  <c r="I94" i="6"/>
  <c r="I89" i="6"/>
  <c r="H65" i="6"/>
  <c r="H94" i="6"/>
  <c r="H89" i="6"/>
  <c r="H37" i="6"/>
  <c r="H90" i="6" s="1"/>
  <c r="H95" i="6" s="1"/>
  <c r="H94" i="7"/>
  <c r="G94" i="7"/>
  <c r="E94" i="7"/>
  <c r="I94" i="7"/>
  <c r="E95" i="6"/>
  <c r="I17" i="2"/>
  <c r="D36" i="2"/>
  <c r="D88" i="2" s="1"/>
  <c r="I92" i="5"/>
  <c r="I98" i="5" s="1"/>
  <c r="I97" i="5"/>
  <c r="I68" i="5"/>
  <c r="F98" i="5"/>
  <c r="C36" i="2"/>
  <c r="C92" i="2" s="1"/>
  <c r="F36" i="2"/>
  <c r="F37" i="2" s="1"/>
  <c r="I36" i="2"/>
  <c r="I92" i="2" s="1"/>
  <c r="H36" i="2"/>
  <c r="E36" i="2" l="1"/>
  <c r="E87" i="2" s="1"/>
  <c r="H92" i="2"/>
  <c r="H37" i="2"/>
  <c r="H88" i="2" s="1"/>
  <c r="C64" i="7"/>
  <c r="C93" i="7"/>
  <c r="C36" i="7"/>
  <c r="C89" i="7" s="1"/>
  <c r="C88" i="7"/>
  <c r="I95" i="6"/>
  <c r="D87" i="2"/>
  <c r="D93" i="2" s="1"/>
  <c r="E63" i="2"/>
  <c r="E92" i="2"/>
  <c r="F63" i="2"/>
  <c r="F92" i="2"/>
  <c r="D63" i="2"/>
  <c r="D92" i="2"/>
  <c r="G88" i="2"/>
  <c r="I88" i="2"/>
  <c r="H63" i="2"/>
  <c r="F87" i="2"/>
  <c r="F88" i="2"/>
  <c r="G63" i="2"/>
  <c r="G87" i="2"/>
  <c r="I63" i="2"/>
  <c r="I87" i="2"/>
  <c r="C63" i="2"/>
  <c r="C88" i="2"/>
  <c r="C87" i="2"/>
  <c r="H87" i="2"/>
  <c r="E37" i="2" l="1"/>
  <c r="E88" i="2" s="1"/>
  <c r="E93" i="2" s="1"/>
  <c r="C94" i="7"/>
  <c r="I93" i="2"/>
  <c r="F93" i="2"/>
  <c r="G93" i="2"/>
  <c r="C93" i="2"/>
  <c r="H93" i="2"/>
</calcChain>
</file>

<file path=xl/comments1.xml><?xml version="1.0" encoding="utf-8"?>
<comments xmlns="http://schemas.openxmlformats.org/spreadsheetml/2006/main">
  <authors>
    <author>Author</author>
  </authors>
  <commentList>
    <comment ref="A2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Taken mostly as the basis for growth</t>
        </r>
      </text>
    </comment>
    <comment ref="E2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Only for Auto Lamps</t>
        </r>
      </text>
    </comment>
    <comment ref="F2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Only for Auto Lamps</t>
        </r>
      </text>
    </comment>
    <comment ref="G2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Only for Auto Lamps</t>
        </r>
      </text>
    </comment>
    <comment ref="H2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Only for Auto Lamps
</t>
        </r>
      </text>
    </comment>
    <comment ref="A2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By deducting excise duty, including scrap sales (if applicable)</t>
        </r>
      </text>
    </comment>
    <comment ref="E2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Considered as Gross Sales of Auto Lamps</t>
        </r>
      </text>
    </comment>
    <comment ref="F2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Considered as Gross Sales of Auto Lamps</t>
        </r>
      </text>
    </comment>
    <comment ref="G2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Considered as Gross Sales of Auto Lamps</t>
        </r>
      </text>
    </comment>
    <comment ref="H2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Considered as Gross Sales of Auto Lamps</t>
        </r>
      </text>
    </comment>
    <comment ref="D2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inclusive of auto lamps and general lighting business</t>
        </r>
      </text>
    </comment>
    <comment ref="E2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inclusive of auto lamps and general lighting business</t>
        </r>
      </text>
    </comment>
    <comment ref="F2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inclusive of auto lamps and general lighting business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inclusive of auto lamps and general lighting business</t>
        </r>
      </text>
    </comment>
    <comment ref="H2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inclusive of auto lamps and general lighting business</t>
        </r>
      </text>
    </comment>
    <comment ref="E3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Only for Auto Lamps</t>
        </r>
      </text>
    </comment>
    <comment ref="F3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Only for Auto Lamps</t>
        </r>
      </text>
    </comment>
    <comment ref="G3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Only for Auto Lamps</t>
        </r>
      </text>
    </comment>
    <comment ref="H3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Only for Auto Lamps</t>
        </r>
      </text>
    </comment>
    <comment ref="A33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Considering only COGS as the Variable Costs
&amp;
Operating Costs as Fixed Cost
Taken at EBITDA levels</t>
        </r>
      </text>
    </comment>
    <comment ref="E4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Only for Auto Lamps</t>
        </r>
      </text>
    </comment>
    <comment ref="F4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Only for Auto Lamps</t>
        </r>
      </text>
    </comment>
    <comment ref="G4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Only for Auto Lamps</t>
        </r>
      </text>
    </comment>
    <comment ref="E5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Segment Liabilities for Auto Lamps division only</t>
        </r>
      </text>
    </comment>
    <comment ref="F5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Segment Liabilities for Auto Lamps division only</t>
        </r>
      </text>
    </comment>
    <comment ref="G5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Segment Liabilities for Auto Lamps division only</t>
        </r>
      </text>
    </comment>
    <comment ref="E6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Only for Auto Lamps</t>
        </r>
      </text>
    </comment>
    <comment ref="F6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Only for Auto Lamps</t>
        </r>
      </text>
    </comment>
    <comment ref="G6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Only for Auto Lamps</t>
        </r>
      </text>
    </comment>
    <comment ref="H6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Interim Dividend Paid in Feb 2014
One time special dividend and Re. 1 per share dividend ( both decided on AGM 21 July 2014)
 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A1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Taken mostly as the basis for growth</t>
        </r>
      </text>
    </comment>
    <comment ref="E2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Considered as Gross Sales of Auto Lamps</t>
        </r>
      </text>
    </comment>
    <comment ref="F2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Considered as Gross Sales of Auto Lamps</t>
        </r>
      </text>
    </comment>
    <comment ref="G2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Considered as Gross Sales of Auto Lamps</t>
        </r>
      </text>
    </comment>
    <comment ref="E2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Only for Auto Lamps</t>
        </r>
      </text>
    </comment>
    <comment ref="H2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Only for Auto Lamps</t>
        </r>
      </text>
    </comment>
    <comment ref="A30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Considering only COGS as the Variable Costs
&amp;
Operating Costs as Fixed Cost
Taken at EBITDA levels</t>
        </r>
      </text>
    </comment>
    <comment ref="F4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Only for Auto Lamps</t>
        </r>
      </text>
    </comment>
    <comment ref="G4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Only for Auto Lamps</t>
        </r>
      </text>
    </comment>
    <comment ref="E4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Segment Liabilities for Auto Lamps division only</t>
        </r>
      </text>
    </comment>
    <comment ref="F4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Segment Liabilities for Auto Lamps division only</t>
        </r>
      </text>
    </comment>
    <comment ref="G4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Segment Liabilities for Auto Lamps division only</t>
        </r>
      </text>
    </comment>
    <comment ref="H6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Interim Dividend Paid in Feb 2014
One time special dividend and Re. 1 per share dividend ( both decided on AGM 21 July 2014)
 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A30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Considering only COGS as the Variable Costs
&amp;
Operating Costs as Fixed Cost
Taken at EBITDA levels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D1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Credit
</t>
        </r>
      </text>
    </comment>
    <comment ref="A29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Considering only COGS as the Variable Costs
&amp;
Operating Costs as Fixed Cost
Taken at EBITDA levels</t>
        </r>
      </text>
    </comment>
    <comment ref="D4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Only Auto Lamps Segment Net Assets (Capital Employed)</t>
        </r>
      </text>
    </comment>
    <comment ref="E4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Only Auto Lamps Segment Net Assets (Capital Employed)</t>
        </r>
      </text>
    </comment>
    <comment ref="F4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Only Auto Lamps Segment Net Assets (Capital Employed)</t>
        </r>
      </text>
    </comment>
    <comment ref="G4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Only Auto Lamps Segment Net Assets (Capital Employed)</t>
        </r>
      </text>
    </comment>
    <comment ref="H4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Only Auto Lamps Segment Net Assets (Capital Employed)</t>
        </r>
      </text>
    </comment>
    <comment ref="I4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Only Auto Lamps Segment Net Assets (Capital Employed)</t>
        </r>
      </text>
    </comment>
  </commentList>
</comments>
</file>

<file path=xl/sharedStrings.xml><?xml version="1.0" encoding="utf-8"?>
<sst xmlns="http://schemas.openxmlformats.org/spreadsheetml/2006/main" count="426" uniqueCount="113">
  <si>
    <t>FY09</t>
  </si>
  <si>
    <t>FY10</t>
  </si>
  <si>
    <t>FY11</t>
  </si>
  <si>
    <t>FY12</t>
  </si>
  <si>
    <t>FY13</t>
  </si>
  <si>
    <t>COGS</t>
  </si>
  <si>
    <t>Equity</t>
  </si>
  <si>
    <t>Total Debt</t>
  </si>
  <si>
    <t>Inventories</t>
  </si>
  <si>
    <t>Trade Receivables</t>
  </si>
  <si>
    <t>Current Assets</t>
  </si>
  <si>
    <t>Trade Payables</t>
  </si>
  <si>
    <t>Current Liabilities</t>
  </si>
  <si>
    <t>Net Fixed Assets</t>
  </si>
  <si>
    <t>Total Assets</t>
  </si>
  <si>
    <t>Activity Ratios</t>
  </si>
  <si>
    <t>Inventory Turnover</t>
  </si>
  <si>
    <t>Inventory Days</t>
  </si>
  <si>
    <t>Receivables Turnover</t>
  </si>
  <si>
    <t>Payables Turnover</t>
  </si>
  <si>
    <t>Payables Days</t>
  </si>
  <si>
    <t>Working Capital Turnover</t>
  </si>
  <si>
    <t>Fixed Asset Turnover</t>
  </si>
  <si>
    <t>Total Asset Turnover</t>
  </si>
  <si>
    <t>Current Ratio</t>
  </si>
  <si>
    <t>Solvency Ratios</t>
  </si>
  <si>
    <t>Debt-to-Assets Ratio</t>
  </si>
  <si>
    <t>Debt-to-Capital Ratio</t>
  </si>
  <si>
    <t>Debt-to-Equity Ratio</t>
  </si>
  <si>
    <t>Financial Leverage</t>
  </si>
  <si>
    <t>Gross Margin</t>
  </si>
  <si>
    <t>Net Margin</t>
  </si>
  <si>
    <t>Net Profit Margin</t>
  </si>
  <si>
    <t>Asset Turnover</t>
  </si>
  <si>
    <t>Check</t>
  </si>
  <si>
    <t>Working Capital</t>
  </si>
  <si>
    <t>FY14</t>
  </si>
  <si>
    <t>FY15</t>
  </si>
  <si>
    <t>P&amp;L</t>
  </si>
  <si>
    <t>Balance Sheet</t>
  </si>
  <si>
    <t>Gross Profit</t>
  </si>
  <si>
    <t>Operating Costs</t>
  </si>
  <si>
    <t>EBITDA</t>
  </si>
  <si>
    <t>DA</t>
  </si>
  <si>
    <t>EBIT</t>
  </si>
  <si>
    <t>Interest</t>
  </si>
  <si>
    <t>PBT</t>
  </si>
  <si>
    <t>Tax</t>
  </si>
  <si>
    <t>PAT</t>
  </si>
  <si>
    <t>Cash Flow</t>
  </si>
  <si>
    <t>CFO</t>
  </si>
  <si>
    <t>CFI</t>
  </si>
  <si>
    <t>CFF</t>
  </si>
  <si>
    <r>
      <t xml:space="preserve">Phoenix Lamps </t>
    </r>
    <r>
      <rPr>
        <sz val="11"/>
        <rFont val="Calibri"/>
        <family val="2"/>
        <scheme val="minor"/>
      </rPr>
      <t>(INR Mn)</t>
    </r>
  </si>
  <si>
    <t>RoCE</t>
  </si>
  <si>
    <t>RoA</t>
  </si>
  <si>
    <t>Tax Rate</t>
  </si>
  <si>
    <r>
      <t xml:space="preserve">RoE </t>
    </r>
    <r>
      <rPr>
        <sz val="11"/>
        <rFont val="Calibri"/>
        <family val="2"/>
        <scheme val="minor"/>
      </rPr>
      <t>(Dupont)</t>
    </r>
  </si>
  <si>
    <t>Net Revenue (Ops)</t>
  </si>
  <si>
    <t>Exceptional Items</t>
  </si>
  <si>
    <t>Adjusted P&amp;L</t>
  </si>
  <si>
    <t>EPS</t>
  </si>
  <si>
    <t>BV/Share</t>
  </si>
  <si>
    <t>Shares Outstanding (Mn)</t>
  </si>
  <si>
    <r>
      <t>Per Share</t>
    </r>
    <r>
      <rPr>
        <sz val="1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(INR)</t>
    </r>
  </si>
  <si>
    <t>Adjusted EPS</t>
  </si>
  <si>
    <t>Cash/Share</t>
  </si>
  <si>
    <t>Working Capital/Current Ratio</t>
  </si>
  <si>
    <t>Working Capital Days</t>
  </si>
  <si>
    <t>FCF</t>
  </si>
  <si>
    <t>Comments</t>
  </si>
  <si>
    <t>Repayment of Long Term Borrowings in 2014-15. How??</t>
  </si>
  <si>
    <t>Dividend</t>
  </si>
  <si>
    <t>Dividend Payout</t>
  </si>
  <si>
    <t>DPS</t>
  </si>
  <si>
    <t>Cash</t>
  </si>
  <si>
    <t>Secured borrowings for WC purpose at interest rate of 10.75%-14.2%</t>
  </si>
  <si>
    <t>Long Term</t>
  </si>
  <si>
    <t>Short Term</t>
  </si>
  <si>
    <t>Car finance loan at 2.5% for subsidiary/ INR 35 Mn loan borrowed at 13.25% - 13.5% on Sep'12 repaid back in 10 quarterly installments</t>
  </si>
  <si>
    <t xml:space="preserve">WC loan ~75%-80% secured, borrowed at 10.75% - 14.2%/ Eur. Subsidaries at 1.9% - 2.6% (earlier 5.75%) </t>
  </si>
  <si>
    <t>FV</t>
  </si>
  <si>
    <t>Shares O/s (Mn)</t>
  </si>
  <si>
    <t>before WC and tax</t>
  </si>
  <si>
    <t>WC</t>
  </si>
  <si>
    <t>CFO/Share</t>
  </si>
  <si>
    <t>Sales (Auto Halogens)</t>
  </si>
  <si>
    <t>PAT Margin (%)</t>
  </si>
  <si>
    <t>RoI Ratios</t>
  </si>
  <si>
    <t>Domestic (of gross sales)</t>
  </si>
  <si>
    <t>Overseas (of gross sales)</t>
  </si>
  <si>
    <r>
      <t xml:space="preserve">Equity </t>
    </r>
    <r>
      <rPr>
        <sz val="10"/>
        <rFont val="Calibri"/>
        <family val="2"/>
        <scheme val="minor"/>
      </rPr>
      <t>(Net Assets = Assets - Liabilities)</t>
    </r>
  </si>
  <si>
    <t>% of parent (considering eliminations)</t>
  </si>
  <si>
    <t>Q1 FY16</t>
  </si>
  <si>
    <t>Q1 FY15</t>
  </si>
  <si>
    <t>Q2 FY15</t>
  </si>
  <si>
    <t>Q3 FY15</t>
  </si>
  <si>
    <t>Q4 FY15</t>
  </si>
  <si>
    <t>Q4 FY14</t>
  </si>
  <si>
    <t>Q3 FY14</t>
  </si>
  <si>
    <t>Q2 FY14</t>
  </si>
  <si>
    <t>Other Income + Exceptional Items</t>
  </si>
  <si>
    <t>Receivables Days</t>
  </si>
  <si>
    <t>Turnover/Activity Ratios</t>
  </si>
  <si>
    <t>Consolidated Working days less than Stand Alone</t>
  </si>
  <si>
    <t>EBITDA Margin</t>
  </si>
  <si>
    <t>Operating Leverage</t>
  </si>
  <si>
    <t>Gross Sales (Auto Halogens)</t>
  </si>
  <si>
    <t>Mostly Exported</t>
  </si>
  <si>
    <t>Losses in General Lighting business in FY11,FY12,FY13</t>
  </si>
  <si>
    <t>Growth (YoY)</t>
  </si>
  <si>
    <t>Gross Sales (Auto Halogens) - Euro Subs</t>
  </si>
  <si>
    <t>CAGR Growth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</si>
</sst>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  <numFmt numFmtId="166" formatCode="0.0%"/>
    <numFmt numFmtId="167" formatCode="_ * #,##0.000_ ;_ * \-#,##0.000_ ;_ * &quot;-&quot;??_ ;_ @_ 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i/>
      <sz val="9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/>
    <xf numFmtId="165" fontId="5" fillId="0" borderId="1" xfId="1" applyNumberFormat="1" applyFont="1" applyFill="1" applyBorder="1"/>
    <xf numFmtId="165" fontId="5" fillId="0" borderId="6" xfId="1" applyNumberFormat="1" applyFont="1" applyFill="1" applyBorder="1"/>
    <xf numFmtId="0" fontId="6" fillId="0" borderId="2" xfId="0" applyFont="1" applyFill="1" applyBorder="1"/>
    <xf numFmtId="0" fontId="6" fillId="0" borderId="3" xfId="0" applyFont="1" applyFill="1" applyBorder="1" applyAlignment="1">
      <alignment horizontal="right"/>
    </xf>
    <xf numFmtId="0" fontId="6" fillId="0" borderId="4" xfId="0" applyFont="1" applyFill="1" applyBorder="1" applyAlignment="1">
      <alignment horizontal="right"/>
    </xf>
    <xf numFmtId="0" fontId="4" fillId="0" borderId="5" xfId="0" applyFont="1" applyFill="1" applyBorder="1"/>
    <xf numFmtId="165" fontId="4" fillId="0" borderId="1" xfId="1" applyNumberFormat="1" applyFont="1" applyFill="1" applyBorder="1"/>
    <xf numFmtId="165" fontId="4" fillId="0" borderId="6" xfId="1" applyNumberFormat="1" applyFont="1" applyFill="1" applyBorder="1"/>
    <xf numFmtId="0" fontId="4" fillId="0" borderId="0" xfId="0" applyFont="1" applyFill="1"/>
    <xf numFmtId="164" fontId="4" fillId="0" borderId="1" xfId="1" applyNumberFormat="1" applyFont="1" applyFill="1" applyBorder="1"/>
    <xf numFmtId="164" fontId="4" fillId="0" borderId="6" xfId="1" applyNumberFormat="1" applyFont="1" applyFill="1" applyBorder="1"/>
    <xf numFmtId="0" fontId="4" fillId="0" borderId="1" xfId="0" applyFont="1" applyFill="1" applyBorder="1"/>
    <xf numFmtId="43" fontId="4" fillId="0" borderId="1" xfId="1" applyNumberFormat="1" applyFont="1" applyFill="1" applyBorder="1"/>
    <xf numFmtId="43" fontId="4" fillId="0" borderId="6" xfId="1" applyNumberFormat="1" applyFont="1" applyFill="1" applyBorder="1"/>
    <xf numFmtId="166" fontId="4" fillId="0" borderId="1" xfId="2" applyNumberFormat="1" applyFont="1" applyFill="1" applyBorder="1"/>
    <xf numFmtId="166" fontId="4" fillId="0" borderId="6" xfId="2" applyNumberFormat="1" applyFont="1" applyFill="1" applyBorder="1"/>
    <xf numFmtId="164" fontId="4" fillId="0" borderId="1" xfId="0" applyNumberFormat="1" applyFont="1" applyFill="1" applyBorder="1"/>
    <xf numFmtId="164" fontId="4" fillId="0" borderId="6" xfId="0" applyNumberFormat="1" applyFont="1" applyFill="1" applyBorder="1"/>
    <xf numFmtId="165" fontId="4" fillId="0" borderId="0" xfId="0" applyNumberFormat="1" applyFont="1" applyFill="1"/>
    <xf numFmtId="43" fontId="0" fillId="0" borderId="0" xfId="0" applyNumberFormat="1"/>
    <xf numFmtId="0" fontId="7" fillId="0" borderId="0" xfId="0" applyFont="1" applyFill="1"/>
    <xf numFmtId="165" fontId="7" fillId="0" borderId="0" xfId="0" applyNumberFormat="1" applyFont="1" applyFill="1"/>
    <xf numFmtId="0" fontId="4" fillId="0" borderId="5" xfId="0" applyFont="1" applyFill="1" applyBorder="1" applyAlignment="1">
      <alignment horizontal="left" indent="2"/>
    </xf>
    <xf numFmtId="166" fontId="4" fillId="0" borderId="1" xfId="2" applyNumberFormat="1" applyFont="1" applyFill="1" applyBorder="1" applyAlignment="1">
      <alignment horizontal="left" indent="1"/>
    </xf>
    <xf numFmtId="164" fontId="4" fillId="0" borderId="5" xfId="0" applyNumberFormat="1" applyFont="1" applyFill="1" applyBorder="1" applyAlignment="1">
      <alignment horizontal="left" indent="2"/>
    </xf>
    <xf numFmtId="164" fontId="4" fillId="0" borderId="5" xfId="0" applyNumberFormat="1" applyFont="1" applyFill="1" applyBorder="1"/>
    <xf numFmtId="164" fontId="4" fillId="0" borderId="7" xfId="0" applyNumberFormat="1" applyFont="1" applyFill="1" applyBorder="1"/>
    <xf numFmtId="164" fontId="4" fillId="0" borderId="8" xfId="0" applyNumberFormat="1" applyFont="1" applyFill="1" applyBorder="1"/>
    <xf numFmtId="0" fontId="6" fillId="0" borderId="1" xfId="0" applyFont="1" applyFill="1" applyBorder="1" applyAlignment="1">
      <alignment horizontal="right"/>
    </xf>
    <xf numFmtId="0" fontId="6" fillId="0" borderId="5" xfId="0" applyFont="1" applyFill="1" applyBorder="1"/>
    <xf numFmtId="0" fontId="6" fillId="0" borderId="1" xfId="0" applyFont="1" applyFill="1" applyBorder="1" applyAlignment="1"/>
    <xf numFmtId="165" fontId="4" fillId="0" borderId="1" xfId="0" applyNumberFormat="1" applyFont="1" applyFill="1" applyBorder="1"/>
    <xf numFmtId="0" fontId="6" fillId="0" borderId="5" xfId="0" applyFont="1" applyFill="1" applyBorder="1" applyAlignment="1"/>
    <xf numFmtId="0" fontId="6" fillId="0" borderId="6" xfId="0" applyFont="1" applyFill="1" applyBorder="1" applyAlignment="1"/>
    <xf numFmtId="0" fontId="6" fillId="0" borderId="6" xfId="0" applyFont="1" applyFill="1" applyBorder="1" applyAlignment="1">
      <alignment horizontal="right"/>
    </xf>
    <xf numFmtId="0" fontId="4" fillId="0" borderId="1" xfId="1" applyNumberFormat="1" applyFont="1" applyFill="1" applyBorder="1"/>
    <xf numFmtId="0" fontId="5" fillId="0" borderId="5" xfId="0" applyFont="1" applyFill="1" applyBorder="1" applyAlignment="1">
      <alignment horizontal="left" indent="1"/>
    </xf>
    <xf numFmtId="165" fontId="0" fillId="0" borderId="0" xfId="0" applyNumberFormat="1"/>
    <xf numFmtId="0" fontId="6" fillId="0" borderId="10" xfId="0" applyFont="1" applyFill="1" applyBorder="1" applyAlignment="1">
      <alignment horizontal="left"/>
    </xf>
    <xf numFmtId="0" fontId="4" fillId="0" borderId="5" xfId="0" applyFont="1" applyFill="1" applyBorder="1" applyAlignment="1"/>
    <xf numFmtId="0" fontId="4" fillId="0" borderId="1" xfId="0" applyFont="1" applyFill="1" applyBorder="1" applyAlignment="1"/>
    <xf numFmtId="9" fontId="5" fillId="0" borderId="6" xfId="1" applyNumberFormat="1" applyFont="1" applyFill="1" applyBorder="1"/>
    <xf numFmtId="165" fontId="8" fillId="0" borderId="1" xfId="1" applyNumberFormat="1" applyFont="1" applyFill="1" applyBorder="1"/>
    <xf numFmtId="165" fontId="8" fillId="0" borderId="6" xfId="1" applyNumberFormat="1" applyFont="1" applyFill="1" applyBorder="1"/>
    <xf numFmtId="165" fontId="11" fillId="0" borderId="1" xfId="1" applyNumberFormat="1" applyFont="1" applyFill="1" applyBorder="1"/>
    <xf numFmtId="165" fontId="11" fillId="0" borderId="6" xfId="1" applyNumberFormat="1" applyFont="1" applyFill="1" applyBorder="1"/>
    <xf numFmtId="0" fontId="8" fillId="0" borderId="0" xfId="0" applyFont="1"/>
    <xf numFmtId="0" fontId="5" fillId="0" borderId="0" xfId="0" applyFont="1"/>
    <xf numFmtId="0" fontId="1" fillId="0" borderId="0" xfId="0" applyFont="1"/>
    <xf numFmtId="9" fontId="11" fillId="0" borderId="6" xfId="1" applyNumberFormat="1" applyFont="1" applyFill="1" applyBorder="1"/>
    <xf numFmtId="0" fontId="4" fillId="0" borderId="8" xfId="0" applyNumberFormat="1" applyFont="1" applyFill="1" applyBorder="1"/>
    <xf numFmtId="9" fontId="4" fillId="0" borderId="1" xfId="0" applyNumberFormat="1" applyFont="1" applyFill="1" applyBorder="1"/>
    <xf numFmtId="9" fontId="4" fillId="0" borderId="6" xfId="0" applyNumberFormat="1" applyFont="1" applyFill="1" applyBorder="1"/>
    <xf numFmtId="9" fontId="4" fillId="0" borderId="8" xfId="0" applyNumberFormat="1" applyFont="1" applyFill="1" applyBorder="1"/>
    <xf numFmtId="9" fontId="4" fillId="0" borderId="9" xfId="0" applyNumberFormat="1" applyFont="1" applyFill="1" applyBorder="1"/>
    <xf numFmtId="9" fontId="4" fillId="0" borderId="0" xfId="1" applyNumberFormat="1" applyFont="1" applyFill="1" applyBorder="1"/>
    <xf numFmtId="9" fontId="0" fillId="0" borderId="0" xfId="0" applyNumberFormat="1"/>
    <xf numFmtId="0" fontId="7" fillId="0" borderId="5" xfId="0" applyFont="1" applyFill="1" applyBorder="1"/>
    <xf numFmtId="166" fontId="7" fillId="0" borderId="1" xfId="2" applyNumberFormat="1" applyFont="1" applyFill="1" applyBorder="1"/>
    <xf numFmtId="166" fontId="7" fillId="0" borderId="6" xfId="2" applyNumberFormat="1" applyFont="1" applyFill="1" applyBorder="1"/>
    <xf numFmtId="165" fontId="12" fillId="0" borderId="1" xfId="1" applyNumberFormat="1" applyFont="1" applyFill="1" applyBorder="1"/>
    <xf numFmtId="9" fontId="5" fillId="0" borderId="1" xfId="1" applyNumberFormat="1" applyFont="1" applyFill="1" applyBorder="1"/>
    <xf numFmtId="165" fontId="7" fillId="0" borderId="1" xfId="1" applyNumberFormat="1" applyFont="1" applyFill="1" applyBorder="1"/>
    <xf numFmtId="9" fontId="7" fillId="0" borderId="1" xfId="1" applyNumberFormat="1" applyFont="1" applyFill="1" applyBorder="1"/>
    <xf numFmtId="9" fontId="7" fillId="0" borderId="6" xfId="1" applyNumberFormat="1" applyFont="1" applyFill="1" applyBorder="1"/>
    <xf numFmtId="9" fontId="11" fillId="0" borderId="1" xfId="1" applyNumberFormat="1" applyFont="1" applyFill="1" applyBorder="1"/>
    <xf numFmtId="0" fontId="5" fillId="0" borderId="5" xfId="0" applyFont="1" applyFill="1" applyBorder="1" applyAlignment="1">
      <alignment horizontal="left" indent="2"/>
    </xf>
    <xf numFmtId="165" fontId="13" fillId="0" borderId="1" xfId="1" applyNumberFormat="1" applyFont="1" applyFill="1" applyBorder="1"/>
    <xf numFmtId="9" fontId="13" fillId="0" borderId="6" xfId="1" applyNumberFormat="1" applyFont="1" applyFill="1" applyBorder="1"/>
    <xf numFmtId="9" fontId="13" fillId="0" borderId="1" xfId="1" applyNumberFormat="1" applyFont="1" applyFill="1" applyBorder="1"/>
    <xf numFmtId="165" fontId="7" fillId="0" borderId="6" xfId="1" applyNumberFormat="1" applyFont="1" applyFill="1" applyBorder="1"/>
    <xf numFmtId="43" fontId="7" fillId="0" borderId="6" xfId="1" applyFont="1" applyFill="1" applyBorder="1"/>
    <xf numFmtId="43" fontId="7" fillId="0" borderId="1" xfId="1" applyFont="1" applyFill="1" applyBorder="1"/>
    <xf numFmtId="166" fontId="7" fillId="0" borderId="0" xfId="2" applyNumberFormat="1" applyFont="1" applyFill="1" applyBorder="1"/>
    <xf numFmtId="0" fontId="16" fillId="0" borderId="0" xfId="0" applyFont="1"/>
    <xf numFmtId="0" fontId="7" fillId="0" borderId="5" xfId="0" applyFont="1" applyFill="1" applyBorder="1" applyAlignment="1"/>
    <xf numFmtId="0" fontId="7" fillId="0" borderId="1" xfId="0" applyFont="1" applyFill="1" applyBorder="1" applyAlignment="1"/>
    <xf numFmtId="165" fontId="17" fillId="0" borderId="1" xfId="1" applyNumberFormat="1" applyFont="1" applyFill="1" applyBorder="1"/>
    <xf numFmtId="9" fontId="7" fillId="0" borderId="1" xfId="2" applyFont="1" applyFill="1" applyBorder="1"/>
    <xf numFmtId="9" fontId="7" fillId="0" borderId="6" xfId="2" applyFont="1" applyFill="1" applyBorder="1"/>
    <xf numFmtId="9" fontId="7" fillId="0" borderId="10" xfId="2" applyFont="1" applyFill="1" applyBorder="1"/>
    <xf numFmtId="167" fontId="0" fillId="0" borderId="0" xfId="0" applyNumberFormat="1"/>
  </cellXfs>
  <cellStyles count="5">
    <cellStyle name="Comma" xfId="1" builtinId="3"/>
    <cellStyle name="Comma 2" xfId="3"/>
    <cellStyle name="Comma 3" xfId="4"/>
    <cellStyle name="Normal" xfId="0" builtinId="0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0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5" x14ac:dyDescent="0.25"/>
  <cols>
    <col min="1" max="1" width="35.42578125" style="1" bestFit="1" customWidth="1"/>
    <col min="2" max="7" width="9.140625" style="1"/>
    <col min="8" max="8" width="11" style="1" bestFit="1" customWidth="1"/>
    <col min="9" max="16384" width="9.140625" style="1"/>
  </cols>
  <sheetData>
    <row r="1" spans="1:10" x14ac:dyDescent="0.25">
      <c r="A1" s="4" t="s">
        <v>53</v>
      </c>
      <c r="B1" s="5"/>
      <c r="C1" s="5" t="s">
        <v>0</v>
      </c>
      <c r="D1" s="5" t="s">
        <v>1</v>
      </c>
      <c r="E1" s="5" t="s">
        <v>2</v>
      </c>
      <c r="F1" s="5" t="s">
        <v>3</v>
      </c>
      <c r="G1" s="5" t="s">
        <v>4</v>
      </c>
      <c r="H1" s="5" t="s">
        <v>36</v>
      </c>
      <c r="I1" s="6" t="s">
        <v>37</v>
      </c>
      <c r="J1" s="40" t="s">
        <v>70</v>
      </c>
    </row>
    <row r="2" spans="1:10" x14ac:dyDescent="0.25">
      <c r="A2" s="34" t="s">
        <v>38</v>
      </c>
      <c r="B2" s="32"/>
      <c r="C2" s="32"/>
      <c r="D2" s="32"/>
      <c r="E2" s="32"/>
      <c r="F2" s="32"/>
      <c r="G2" s="32"/>
      <c r="H2" s="32"/>
      <c r="I2" s="35"/>
    </row>
    <row r="3" spans="1:10" x14ac:dyDescent="0.25">
      <c r="A3" s="7" t="s">
        <v>58</v>
      </c>
      <c r="B3" s="8"/>
      <c r="C3" s="8"/>
      <c r="D3" s="8"/>
      <c r="E3" s="8"/>
      <c r="F3" s="8"/>
      <c r="G3" s="8"/>
      <c r="H3" s="44">
        <v>4940.2690000000002</v>
      </c>
      <c r="I3" s="45">
        <v>3651.3649999999998</v>
      </c>
    </row>
    <row r="4" spans="1:10" x14ac:dyDescent="0.25">
      <c r="A4" s="7" t="s">
        <v>5</v>
      </c>
      <c r="B4" s="8"/>
      <c r="C4" s="8"/>
      <c r="D4" s="8"/>
      <c r="E4" s="8"/>
      <c r="F4" s="8"/>
      <c r="G4" s="8"/>
      <c r="H4" s="44">
        <v>-1954.8230000000001</v>
      </c>
      <c r="I4" s="45">
        <v>-1377.53</v>
      </c>
    </row>
    <row r="5" spans="1:10" x14ac:dyDescent="0.25">
      <c r="A5" s="7" t="s">
        <v>40</v>
      </c>
      <c r="B5" s="8"/>
      <c r="C5" s="8">
        <f t="shared" ref="C5:F5" si="0">C3+C4</f>
        <v>0</v>
      </c>
      <c r="D5" s="8">
        <f t="shared" si="0"/>
        <v>0</v>
      </c>
      <c r="E5" s="8">
        <f t="shared" si="0"/>
        <v>0</v>
      </c>
      <c r="F5" s="8">
        <f t="shared" si="0"/>
        <v>0</v>
      </c>
      <c r="G5" s="8"/>
      <c r="H5" s="8">
        <f>H3+H4</f>
        <v>2985.4459999999999</v>
      </c>
      <c r="I5" s="9">
        <f>I3+I4</f>
        <v>2273.835</v>
      </c>
    </row>
    <row r="6" spans="1:10" x14ac:dyDescent="0.25">
      <c r="A6" s="7" t="s">
        <v>41</v>
      </c>
      <c r="B6" s="8"/>
      <c r="C6" s="8"/>
      <c r="D6" s="8"/>
      <c r="E6" s="8"/>
      <c r="F6" s="8"/>
      <c r="G6" s="8"/>
      <c r="H6" s="44">
        <f>-(4785.521+H4+H8+H10)</f>
        <v>-2535.1649999999991</v>
      </c>
      <c r="I6" s="45">
        <f>-(3378.711+I4+I8+I10)</f>
        <v>-1820.943</v>
      </c>
    </row>
    <row r="7" spans="1:10" x14ac:dyDescent="0.25">
      <c r="A7" s="7" t="s">
        <v>42</v>
      </c>
      <c r="B7" s="8"/>
      <c r="C7" s="8">
        <f t="shared" ref="C7:I7" si="1">C5+C6</f>
        <v>0</v>
      </c>
      <c r="D7" s="8">
        <f t="shared" si="1"/>
        <v>0</v>
      </c>
      <c r="E7" s="8">
        <f t="shared" si="1"/>
        <v>0</v>
      </c>
      <c r="F7" s="8">
        <f t="shared" si="1"/>
        <v>0</v>
      </c>
      <c r="G7" s="8"/>
      <c r="H7" s="8">
        <f t="shared" si="1"/>
        <v>450.28100000000086</v>
      </c>
      <c r="I7" s="9">
        <f t="shared" si="1"/>
        <v>452.89200000000005</v>
      </c>
    </row>
    <row r="8" spans="1:10" x14ac:dyDescent="0.25">
      <c r="A8" s="7" t="s">
        <v>43</v>
      </c>
      <c r="B8" s="8"/>
      <c r="C8" s="8"/>
      <c r="D8" s="8"/>
      <c r="E8" s="8"/>
      <c r="F8" s="8"/>
      <c r="G8" s="8"/>
      <c r="H8" s="44">
        <v>-150.215</v>
      </c>
      <c r="I8" s="45">
        <v>-119.187</v>
      </c>
    </row>
    <row r="9" spans="1:10" x14ac:dyDescent="0.25">
      <c r="A9" s="7" t="s">
        <v>44</v>
      </c>
      <c r="B9" s="8"/>
      <c r="C9" s="8">
        <f t="shared" ref="C9:I9" si="2">C7+C8</f>
        <v>0</v>
      </c>
      <c r="D9" s="8">
        <f t="shared" si="2"/>
        <v>0</v>
      </c>
      <c r="E9" s="8">
        <f t="shared" si="2"/>
        <v>0</v>
      </c>
      <c r="F9" s="8">
        <f t="shared" si="2"/>
        <v>0</v>
      </c>
      <c r="G9" s="8"/>
      <c r="H9" s="8">
        <f t="shared" si="2"/>
        <v>300.06600000000083</v>
      </c>
      <c r="I9" s="9">
        <f t="shared" si="2"/>
        <v>333.70500000000004</v>
      </c>
    </row>
    <row r="10" spans="1:10" x14ac:dyDescent="0.25">
      <c r="A10" s="7" t="s">
        <v>45</v>
      </c>
      <c r="B10" s="8"/>
      <c r="C10" s="8"/>
      <c r="D10" s="8"/>
      <c r="E10" s="8"/>
      <c r="F10" s="8"/>
      <c r="G10" s="8"/>
      <c r="H10" s="44">
        <v>-145.31800000000001</v>
      </c>
      <c r="I10" s="45">
        <v>-61.051000000000002</v>
      </c>
    </row>
    <row r="11" spans="1:10" x14ac:dyDescent="0.25">
      <c r="A11" s="7" t="s">
        <v>101</v>
      </c>
      <c r="B11" s="8"/>
      <c r="C11" s="8"/>
      <c r="D11" s="8"/>
      <c r="E11" s="8"/>
      <c r="F11" s="8"/>
      <c r="G11" s="8"/>
      <c r="H11" s="44">
        <f>421.792+201.521</f>
        <v>623.31299999999999</v>
      </c>
      <c r="I11" s="45">
        <v>23.033999999999999</v>
      </c>
    </row>
    <row r="12" spans="1:10" x14ac:dyDescent="0.25">
      <c r="A12" s="7" t="s">
        <v>46</v>
      </c>
      <c r="B12" s="8"/>
      <c r="C12" s="8">
        <f>C9+C10+C11</f>
        <v>0</v>
      </c>
      <c r="D12" s="8">
        <f t="shared" ref="D12:I12" si="3">D9+D10+D11</f>
        <v>0</v>
      </c>
      <c r="E12" s="8">
        <f t="shared" si="3"/>
        <v>0</v>
      </c>
      <c r="F12" s="8">
        <f t="shared" si="3"/>
        <v>0</v>
      </c>
      <c r="G12" s="8"/>
      <c r="H12" s="8">
        <f t="shared" si="3"/>
        <v>778.06100000000083</v>
      </c>
      <c r="I12" s="9">
        <f t="shared" si="3"/>
        <v>295.68800000000005</v>
      </c>
    </row>
    <row r="13" spans="1:10" x14ac:dyDescent="0.25">
      <c r="A13" s="7" t="s">
        <v>47</v>
      </c>
      <c r="B13" s="8"/>
      <c r="C13" s="8"/>
      <c r="D13" s="8"/>
      <c r="E13" s="8"/>
      <c r="F13" s="8"/>
      <c r="G13" s="8"/>
      <c r="H13" s="44">
        <v>-114.13</v>
      </c>
      <c r="I13" s="45">
        <v>-99.962999999999994</v>
      </c>
    </row>
    <row r="14" spans="1:10" x14ac:dyDescent="0.25">
      <c r="A14" s="7" t="s">
        <v>48</v>
      </c>
      <c r="B14" s="8"/>
      <c r="C14" s="8">
        <f>C12+C13</f>
        <v>0</v>
      </c>
      <c r="D14" s="8">
        <f t="shared" ref="D14:H14" si="4">D12+D13</f>
        <v>0</v>
      </c>
      <c r="E14" s="8">
        <f t="shared" si="4"/>
        <v>0</v>
      </c>
      <c r="F14" s="8">
        <f t="shared" si="4"/>
        <v>0</v>
      </c>
      <c r="G14" s="8"/>
      <c r="H14" s="8">
        <f t="shared" si="4"/>
        <v>663.93100000000084</v>
      </c>
      <c r="I14" s="9">
        <f>I12+I13</f>
        <v>195.72500000000005</v>
      </c>
    </row>
    <row r="15" spans="1:10" x14ac:dyDescent="0.25">
      <c r="A15" s="68" t="s">
        <v>92</v>
      </c>
      <c r="B15" s="62"/>
      <c r="C15" s="69"/>
      <c r="D15" s="69"/>
      <c r="E15" s="69"/>
      <c r="F15" s="69"/>
      <c r="G15" s="69"/>
      <c r="H15" s="71">
        <v>1.1564000000000001</v>
      </c>
      <c r="I15" s="70">
        <v>1.8009999999999999</v>
      </c>
    </row>
    <row r="16" spans="1:10" x14ac:dyDescent="0.25">
      <c r="A16" s="59" t="s">
        <v>56</v>
      </c>
      <c r="B16" s="60"/>
      <c r="C16" s="60" t="e">
        <f>-C13/C12</f>
        <v>#DIV/0!</v>
      </c>
      <c r="D16" s="60" t="e">
        <f t="shared" ref="D16:I16" si="5">-D13/D12</f>
        <v>#DIV/0!</v>
      </c>
      <c r="E16" s="60" t="e">
        <f t="shared" si="5"/>
        <v>#DIV/0!</v>
      </c>
      <c r="F16" s="60" t="e">
        <f t="shared" si="5"/>
        <v>#DIV/0!</v>
      </c>
      <c r="G16" s="60" t="e">
        <f t="shared" si="5"/>
        <v>#DIV/0!</v>
      </c>
      <c r="H16" s="60">
        <f t="shared" si="5"/>
        <v>0.14668515707637303</v>
      </c>
      <c r="I16" s="61">
        <f t="shared" si="5"/>
        <v>0.33806918102865174</v>
      </c>
    </row>
    <row r="17" spans="1:11" x14ac:dyDescent="0.25">
      <c r="A17" s="59" t="s">
        <v>72</v>
      </c>
      <c r="B17" s="64"/>
      <c r="C17" s="64">
        <f t="shared" ref="C17:G17" si="6">(C69*C65)</f>
        <v>0</v>
      </c>
      <c r="D17" s="64">
        <f t="shared" si="6"/>
        <v>0</v>
      </c>
      <c r="E17" s="64">
        <f t="shared" si="6"/>
        <v>0</v>
      </c>
      <c r="F17" s="64">
        <f t="shared" si="6"/>
        <v>0</v>
      </c>
      <c r="G17" s="64">
        <f t="shared" si="6"/>
        <v>0</v>
      </c>
      <c r="H17" s="64">
        <f>(H69*H65)</f>
        <v>448.30880000000002</v>
      </c>
      <c r="I17" s="72">
        <f>(I69*I65)</f>
        <v>0</v>
      </c>
    </row>
    <row r="18" spans="1:11" x14ac:dyDescent="0.25">
      <c r="A18" s="59" t="s">
        <v>73</v>
      </c>
      <c r="B18" s="60"/>
      <c r="C18" s="60" t="e">
        <f t="shared" ref="C18:G18" si="7">C17/C14</f>
        <v>#DIV/0!</v>
      </c>
      <c r="D18" s="60" t="e">
        <f t="shared" si="7"/>
        <v>#DIV/0!</v>
      </c>
      <c r="E18" s="60" t="e">
        <f t="shared" si="7"/>
        <v>#DIV/0!</v>
      </c>
      <c r="F18" s="60" t="e">
        <f t="shared" si="7"/>
        <v>#DIV/0!</v>
      </c>
      <c r="G18" s="60" t="e">
        <f t="shared" si="7"/>
        <v>#DIV/0!</v>
      </c>
      <c r="H18" s="60">
        <f>H17/H14</f>
        <v>0.67523402281261069</v>
      </c>
      <c r="I18" s="61">
        <f>I17/I14</f>
        <v>0</v>
      </c>
    </row>
    <row r="19" spans="1:11" x14ac:dyDescent="0.25">
      <c r="A19" s="34" t="s">
        <v>60</v>
      </c>
      <c r="B19" s="32"/>
      <c r="C19" s="32"/>
      <c r="D19" s="32"/>
      <c r="E19" s="32"/>
      <c r="F19" s="32"/>
      <c r="G19" s="32"/>
      <c r="H19" s="32"/>
      <c r="I19" s="35"/>
    </row>
    <row r="20" spans="1:11" x14ac:dyDescent="0.25">
      <c r="A20" s="41" t="s">
        <v>107</v>
      </c>
      <c r="B20" s="42"/>
      <c r="C20" s="44"/>
      <c r="D20" s="44"/>
      <c r="E20" s="44">
        <v>2385.64</v>
      </c>
      <c r="F20" s="44">
        <v>2317.114</v>
      </c>
      <c r="G20" s="44">
        <v>2466.9290000000001</v>
      </c>
      <c r="H20" s="44">
        <v>3655.8290000000002</v>
      </c>
      <c r="I20" s="45">
        <v>3814.4859999999999</v>
      </c>
    </row>
    <row r="21" spans="1:11" x14ac:dyDescent="0.25">
      <c r="A21" s="77" t="s">
        <v>110</v>
      </c>
      <c r="B21" s="78"/>
      <c r="C21" s="79"/>
      <c r="D21" s="79"/>
      <c r="E21" s="79"/>
      <c r="F21" s="80">
        <f>F20/E20-1</f>
        <v>-2.8724367465334133E-2</v>
      </c>
      <c r="G21" s="80">
        <f t="shared" ref="G21:I21" si="8">G20/F20-1</f>
        <v>6.4655860695675749E-2</v>
      </c>
      <c r="H21" s="80">
        <f t="shared" si="8"/>
        <v>0.48193523202329702</v>
      </c>
      <c r="I21" s="81">
        <f t="shared" si="8"/>
        <v>4.3398364639046116E-2</v>
      </c>
      <c r="J21" s="82">
        <f>(I20/E20)^(1/5)-1</f>
        <v>9.8414414358114044E-2</v>
      </c>
      <c r="K21" s="76" t="s">
        <v>112</v>
      </c>
    </row>
    <row r="22" spans="1:11" x14ac:dyDescent="0.25">
      <c r="A22" s="41" t="s">
        <v>111</v>
      </c>
      <c r="B22" s="78"/>
      <c r="C22" s="79"/>
      <c r="D22" s="79"/>
      <c r="E22" s="79"/>
      <c r="F22" s="80"/>
      <c r="G22" s="64">
        <f>G20-'FS (Y) - SA'!G19</f>
        <v>430.74300000000017</v>
      </c>
      <c r="H22" s="64">
        <f>H20-'FS (Y) - SA'!H19</f>
        <v>1127.078</v>
      </c>
      <c r="I22" s="72">
        <f>I20-'FS (Y) - SA'!I19</f>
        <v>1226.7239999999997</v>
      </c>
    </row>
    <row r="23" spans="1:11" x14ac:dyDescent="0.25">
      <c r="A23" s="77" t="s">
        <v>110</v>
      </c>
      <c r="B23" s="78"/>
      <c r="C23" s="79"/>
      <c r="D23" s="79"/>
      <c r="E23" s="79"/>
      <c r="F23" s="80"/>
      <c r="G23" s="80"/>
      <c r="H23" s="80">
        <f t="shared" ref="H23" si="9">H22/G22-1</f>
        <v>1.6165904030941873</v>
      </c>
      <c r="I23" s="81">
        <f t="shared" ref="I23" si="10">I22/H22-1</f>
        <v>8.841091743428553E-2</v>
      </c>
    </row>
    <row r="24" spans="1:11" x14ac:dyDescent="0.25">
      <c r="A24" s="7" t="s">
        <v>58</v>
      </c>
      <c r="B24" s="8"/>
      <c r="C24" s="8"/>
      <c r="D24" s="8"/>
      <c r="E24" s="8">
        <f t="shared" ref="E24:F24" si="11">E20</f>
        <v>2385.64</v>
      </c>
      <c r="F24" s="8">
        <f t="shared" si="11"/>
        <v>2317.114</v>
      </c>
      <c r="G24" s="8">
        <f>G20</f>
        <v>2466.9290000000001</v>
      </c>
      <c r="H24" s="8">
        <f>H20</f>
        <v>3655.8290000000002</v>
      </c>
      <c r="I24" s="9">
        <f>I3</f>
        <v>3651.3649999999998</v>
      </c>
    </row>
    <row r="25" spans="1:11" x14ac:dyDescent="0.25">
      <c r="A25" s="38" t="s">
        <v>89</v>
      </c>
      <c r="B25" s="8"/>
      <c r="C25" s="67"/>
      <c r="D25" s="67">
        <f>3233.731/4507.774</f>
        <v>0.71736759651215876</v>
      </c>
      <c r="E25" s="67">
        <f>3065.831/4326.912</f>
        <v>0.70854942277541122</v>
      </c>
      <c r="F25" s="67">
        <f>3660.017/4651.21</f>
        <v>0.78689566800896971</v>
      </c>
      <c r="G25" s="67">
        <f>3643.709/4966.704</f>
        <v>0.73362717005080236</v>
      </c>
      <c r="H25" s="67">
        <f>2673.022/5092.959</f>
        <v>0.52484655776730194</v>
      </c>
      <c r="I25" s="51">
        <f>1499.338/3824.055</f>
        <v>0.39208065783572676</v>
      </c>
      <c r="J25" s="1" t="s">
        <v>108</v>
      </c>
    </row>
    <row r="26" spans="1:11" x14ac:dyDescent="0.25">
      <c r="A26" s="38" t="s">
        <v>90</v>
      </c>
      <c r="B26" s="8"/>
      <c r="C26" s="63">
        <f t="shared" ref="C26:G26" si="12">1-C25</f>
        <v>1</v>
      </c>
      <c r="D26" s="63">
        <f t="shared" si="12"/>
        <v>0.28263240348784124</v>
      </c>
      <c r="E26" s="63">
        <f t="shared" si="12"/>
        <v>0.29145057722458878</v>
      </c>
      <c r="F26" s="63">
        <f t="shared" si="12"/>
        <v>0.21310433199103029</v>
      </c>
      <c r="G26" s="63">
        <f t="shared" si="12"/>
        <v>0.26637282994919764</v>
      </c>
      <c r="H26" s="63">
        <f>1-H25</f>
        <v>0.47515344223269806</v>
      </c>
      <c r="I26" s="43">
        <f>1-I25</f>
        <v>0.60791934216427324</v>
      </c>
    </row>
    <row r="27" spans="1:11" x14ac:dyDescent="0.25">
      <c r="A27" s="7" t="s">
        <v>5</v>
      </c>
      <c r="B27" s="8"/>
      <c r="C27" s="8"/>
      <c r="D27" s="8"/>
      <c r="E27" s="8"/>
      <c r="F27" s="8"/>
      <c r="G27" s="8"/>
      <c r="H27" s="8"/>
      <c r="I27" s="9">
        <f>I4</f>
        <v>-1377.53</v>
      </c>
    </row>
    <row r="28" spans="1:11" x14ac:dyDescent="0.25">
      <c r="A28" s="7" t="s">
        <v>40</v>
      </c>
      <c r="B28" s="8"/>
      <c r="C28" s="8">
        <f>C24+C27</f>
        <v>0</v>
      </c>
      <c r="D28" s="8">
        <f t="shared" ref="D28:I28" si="13">D24+D27</f>
        <v>0</v>
      </c>
      <c r="E28" s="8">
        <f t="shared" si="13"/>
        <v>2385.64</v>
      </c>
      <c r="F28" s="8">
        <f t="shared" si="13"/>
        <v>2317.114</v>
      </c>
      <c r="G28" s="8">
        <f t="shared" si="13"/>
        <v>2466.9290000000001</v>
      </c>
      <c r="H28" s="8">
        <f t="shared" si="13"/>
        <v>3655.8290000000002</v>
      </c>
      <c r="I28" s="9">
        <f t="shared" si="13"/>
        <v>2273.835</v>
      </c>
    </row>
    <row r="29" spans="1:11" x14ac:dyDescent="0.25">
      <c r="A29" s="59" t="s">
        <v>30</v>
      </c>
      <c r="B29" s="60"/>
      <c r="C29" s="60" t="e">
        <f t="shared" ref="C29:I29" si="14">C28/C24</f>
        <v>#DIV/0!</v>
      </c>
      <c r="D29" s="60" t="e">
        <f t="shared" si="14"/>
        <v>#DIV/0!</v>
      </c>
      <c r="E29" s="60">
        <f t="shared" si="14"/>
        <v>1</v>
      </c>
      <c r="F29" s="60">
        <f t="shared" si="14"/>
        <v>1</v>
      </c>
      <c r="G29" s="60">
        <f t="shared" si="14"/>
        <v>1</v>
      </c>
      <c r="H29" s="60">
        <f t="shared" si="14"/>
        <v>1</v>
      </c>
      <c r="I29" s="61">
        <f t="shared" si="14"/>
        <v>0.62273560709488096</v>
      </c>
    </row>
    <row r="30" spans="1:11" x14ac:dyDescent="0.25">
      <c r="A30" s="7" t="s">
        <v>41</v>
      </c>
      <c r="B30" s="8"/>
      <c r="C30" s="44"/>
      <c r="D30" s="44"/>
      <c r="E30" s="44">
        <v>-1667.1120000000001</v>
      </c>
      <c r="F30" s="44">
        <v>-1806.2550000000001</v>
      </c>
      <c r="G30" s="44">
        <v>-2211.3409999999999</v>
      </c>
      <c r="H30" s="8"/>
      <c r="I30" s="9">
        <f>I6</f>
        <v>-1820.943</v>
      </c>
      <c r="J30" s="1" t="s">
        <v>109</v>
      </c>
    </row>
    <row r="31" spans="1:11" x14ac:dyDescent="0.25">
      <c r="A31" s="7" t="s">
        <v>42</v>
      </c>
      <c r="B31" s="8"/>
      <c r="C31" s="8">
        <f t="shared" ref="C31:I31" si="15">C28+C30</f>
        <v>0</v>
      </c>
      <c r="D31" s="8">
        <f t="shared" si="15"/>
        <v>0</v>
      </c>
      <c r="E31" s="8">
        <f t="shared" si="15"/>
        <v>718.52799999999979</v>
      </c>
      <c r="F31" s="8">
        <f t="shared" si="15"/>
        <v>510.85899999999992</v>
      </c>
      <c r="G31" s="8">
        <f t="shared" si="15"/>
        <v>255.58800000000019</v>
      </c>
      <c r="H31" s="44">
        <v>447.84300000000002</v>
      </c>
      <c r="I31" s="9">
        <f t="shared" si="15"/>
        <v>452.89200000000005</v>
      </c>
    </row>
    <row r="32" spans="1:11" x14ac:dyDescent="0.25">
      <c r="A32" s="59" t="s">
        <v>105</v>
      </c>
      <c r="B32" s="60"/>
      <c r="C32" s="60" t="e">
        <f>C31/C24</f>
        <v>#DIV/0!</v>
      </c>
      <c r="D32" s="60" t="e">
        <f t="shared" ref="D32:I32" si="16">D31/D24</f>
        <v>#DIV/0!</v>
      </c>
      <c r="E32" s="60">
        <f t="shared" si="16"/>
        <v>0.3011887795308596</v>
      </c>
      <c r="F32" s="60">
        <f t="shared" si="16"/>
        <v>0.22047210452312657</v>
      </c>
      <c r="G32" s="60">
        <f t="shared" si="16"/>
        <v>0.10360573814649719</v>
      </c>
      <c r="H32" s="60">
        <f t="shared" si="16"/>
        <v>0.12250107978245153</v>
      </c>
      <c r="I32" s="61">
        <f t="shared" si="16"/>
        <v>0.12403361482623623</v>
      </c>
    </row>
    <row r="33" spans="1:10" x14ac:dyDescent="0.25">
      <c r="A33" s="59" t="s">
        <v>106</v>
      </c>
      <c r="B33" s="8"/>
      <c r="C33" s="74" t="e">
        <f t="shared" ref="C33:H33" si="17">C28/C31</f>
        <v>#DIV/0!</v>
      </c>
      <c r="D33" s="74" t="e">
        <f t="shared" si="17"/>
        <v>#DIV/0!</v>
      </c>
      <c r="E33" s="74">
        <f t="shared" si="17"/>
        <v>3.3201768059143144</v>
      </c>
      <c r="F33" s="74">
        <f t="shared" si="17"/>
        <v>4.5357212068300656</v>
      </c>
      <c r="G33" s="74">
        <f t="shared" si="17"/>
        <v>9.651975053601884</v>
      </c>
      <c r="H33" s="74">
        <f t="shared" si="17"/>
        <v>8.1631933512413948</v>
      </c>
      <c r="I33" s="73">
        <f>I28/I31</f>
        <v>5.0207002994091301</v>
      </c>
    </row>
    <row r="34" spans="1:10" x14ac:dyDescent="0.25">
      <c r="A34" s="7" t="s">
        <v>43</v>
      </c>
      <c r="B34" s="8"/>
      <c r="C34" s="8"/>
      <c r="D34" s="8"/>
      <c r="E34" s="8"/>
      <c r="F34" s="8"/>
      <c r="G34" s="8"/>
      <c r="H34" s="8">
        <f>H8</f>
        <v>-150.215</v>
      </c>
      <c r="I34" s="9">
        <f>I8</f>
        <v>-119.187</v>
      </c>
    </row>
    <row r="35" spans="1:10" x14ac:dyDescent="0.25">
      <c r="A35" s="7" t="s">
        <v>44</v>
      </c>
      <c r="B35" s="8"/>
      <c r="C35" s="8">
        <f t="shared" ref="C35:I35" si="18">C31+C34</f>
        <v>0</v>
      </c>
      <c r="D35" s="8">
        <f t="shared" si="18"/>
        <v>0</v>
      </c>
      <c r="E35" s="8">
        <f t="shared" si="18"/>
        <v>718.52799999999979</v>
      </c>
      <c r="F35" s="8">
        <f t="shared" si="18"/>
        <v>510.85899999999992</v>
      </c>
      <c r="G35" s="8">
        <f t="shared" ref="G35" si="19">G31+G34</f>
        <v>255.58800000000019</v>
      </c>
      <c r="H35" s="8">
        <f t="shared" si="18"/>
        <v>297.62800000000004</v>
      </c>
      <c r="I35" s="9">
        <f t="shared" si="18"/>
        <v>333.70500000000004</v>
      </c>
    </row>
    <row r="36" spans="1:10" x14ac:dyDescent="0.25">
      <c r="A36" s="7" t="s">
        <v>45</v>
      </c>
      <c r="B36" s="8"/>
      <c r="C36" s="8"/>
      <c r="D36" s="8"/>
      <c r="E36" s="8"/>
      <c r="F36" s="8"/>
      <c r="G36" s="8"/>
      <c r="H36" s="8">
        <f>H10</f>
        <v>-145.31800000000001</v>
      </c>
      <c r="I36" s="9">
        <f>I10</f>
        <v>-61.051000000000002</v>
      </c>
    </row>
    <row r="37" spans="1:10" x14ac:dyDescent="0.25">
      <c r="A37" s="7" t="s">
        <v>46</v>
      </c>
      <c r="B37" s="8"/>
      <c r="C37" s="8">
        <f t="shared" ref="C37:I37" si="20">C35+C36</f>
        <v>0</v>
      </c>
      <c r="D37" s="8">
        <f t="shared" si="20"/>
        <v>0</v>
      </c>
      <c r="E37" s="8">
        <f t="shared" si="20"/>
        <v>718.52799999999979</v>
      </c>
      <c r="F37" s="8">
        <f t="shared" si="20"/>
        <v>510.85899999999992</v>
      </c>
      <c r="G37" s="8">
        <f t="shared" si="20"/>
        <v>255.58800000000019</v>
      </c>
      <c r="H37" s="8">
        <f t="shared" si="20"/>
        <v>152.31000000000003</v>
      </c>
      <c r="I37" s="9">
        <f t="shared" si="20"/>
        <v>272.65400000000005</v>
      </c>
    </row>
    <row r="38" spans="1:10" x14ac:dyDescent="0.25">
      <c r="A38" s="7" t="s">
        <v>47</v>
      </c>
      <c r="B38" s="8"/>
      <c r="C38" s="8"/>
      <c r="D38" s="8"/>
      <c r="E38" s="8"/>
      <c r="F38" s="8"/>
      <c r="G38" s="8"/>
      <c r="H38" s="44">
        <f>-204.155-(-123.035)</f>
        <v>-81.12</v>
      </c>
      <c r="I38" s="45">
        <v>-108.22799999999999</v>
      </c>
    </row>
    <row r="39" spans="1:10" x14ac:dyDescent="0.25">
      <c r="A39" s="7" t="s">
        <v>48</v>
      </c>
      <c r="B39" s="8"/>
      <c r="C39" s="8">
        <f>C37+C38</f>
        <v>0</v>
      </c>
      <c r="D39" s="8">
        <f t="shared" ref="D39:H39" si="21">D37+D38</f>
        <v>0</v>
      </c>
      <c r="E39" s="8">
        <f t="shared" si="21"/>
        <v>718.52799999999979</v>
      </c>
      <c r="F39" s="8">
        <f t="shared" si="21"/>
        <v>510.85899999999992</v>
      </c>
      <c r="G39" s="8">
        <f t="shared" ref="G39" si="22">G37+G38</f>
        <v>255.58800000000019</v>
      </c>
      <c r="H39" s="8">
        <f t="shared" si="21"/>
        <v>71.190000000000026</v>
      </c>
      <c r="I39" s="9">
        <f>I37+I38</f>
        <v>164.42600000000004</v>
      </c>
    </row>
    <row r="40" spans="1:10" x14ac:dyDescent="0.25">
      <c r="A40" s="59" t="s">
        <v>87</v>
      </c>
      <c r="B40" s="60"/>
      <c r="C40" s="60" t="e">
        <f t="shared" ref="C40:I40" si="23">C39/C24</f>
        <v>#DIV/0!</v>
      </c>
      <c r="D40" s="60" t="e">
        <f t="shared" si="23"/>
        <v>#DIV/0!</v>
      </c>
      <c r="E40" s="60">
        <f t="shared" si="23"/>
        <v>0.3011887795308596</v>
      </c>
      <c r="F40" s="60">
        <f t="shared" si="23"/>
        <v>0.22047210452312657</v>
      </c>
      <c r="G40" s="60">
        <f t="shared" si="23"/>
        <v>0.10360573814649719</v>
      </c>
      <c r="H40" s="60">
        <f t="shared" si="23"/>
        <v>1.9473011456498657E-2</v>
      </c>
      <c r="I40" s="61">
        <f t="shared" si="23"/>
        <v>4.5031378676193709E-2</v>
      </c>
    </row>
    <row r="41" spans="1:10" x14ac:dyDescent="0.25">
      <c r="A41" s="59" t="s">
        <v>56</v>
      </c>
      <c r="B41" s="64"/>
      <c r="C41" s="65" t="e">
        <f t="shared" ref="C41:G41" si="24">-C38/C37</f>
        <v>#DIV/0!</v>
      </c>
      <c r="D41" s="65" t="e">
        <f t="shared" si="24"/>
        <v>#DIV/0!</v>
      </c>
      <c r="E41" s="65">
        <f t="shared" si="24"/>
        <v>0</v>
      </c>
      <c r="F41" s="65">
        <f t="shared" si="24"/>
        <v>0</v>
      </c>
      <c r="G41" s="65">
        <f t="shared" si="24"/>
        <v>0</v>
      </c>
      <c r="H41" s="65">
        <f>-H38/H37</f>
        <v>0.5325979909395312</v>
      </c>
      <c r="I41" s="66">
        <f>-I38/I37</f>
        <v>0.39694264525735906</v>
      </c>
    </row>
    <row r="42" spans="1:10" x14ac:dyDescent="0.25">
      <c r="A42" s="34" t="s">
        <v>49</v>
      </c>
      <c r="B42" s="32"/>
      <c r="C42" s="32"/>
      <c r="D42" s="32"/>
      <c r="E42" s="32"/>
      <c r="F42" s="32"/>
      <c r="G42" s="32"/>
      <c r="H42" s="32"/>
      <c r="I42" s="35"/>
    </row>
    <row r="43" spans="1:10" x14ac:dyDescent="0.25">
      <c r="A43" s="7" t="s">
        <v>50</v>
      </c>
      <c r="B43" s="8"/>
      <c r="C43" s="8"/>
      <c r="D43" s="8"/>
      <c r="E43" s="8"/>
      <c r="F43" s="8"/>
      <c r="G43" s="8"/>
      <c r="H43" s="44">
        <v>-105.233</v>
      </c>
      <c r="I43" s="45">
        <v>446.27100000000002</v>
      </c>
      <c r="J43" s="83"/>
    </row>
    <row r="44" spans="1:10" x14ac:dyDescent="0.25">
      <c r="A44" s="38" t="s">
        <v>83</v>
      </c>
      <c r="B44" s="2"/>
      <c r="C44" s="2"/>
      <c r="D44" s="2"/>
      <c r="E44" s="2"/>
      <c r="F44" s="2"/>
      <c r="G44" s="2"/>
      <c r="H44" s="46">
        <f>471.652</f>
        <v>471.65199999999999</v>
      </c>
      <c r="I44" s="47">
        <f>466.58</f>
        <v>466.58</v>
      </c>
    </row>
    <row r="45" spans="1:10" x14ac:dyDescent="0.25">
      <c r="A45" s="38" t="s">
        <v>47</v>
      </c>
      <c r="B45" s="2"/>
      <c r="C45" s="2"/>
      <c r="D45" s="2"/>
      <c r="E45" s="2"/>
      <c r="F45" s="2"/>
      <c r="G45" s="2"/>
      <c r="H45" s="46">
        <v>-363.4</v>
      </c>
      <c r="I45" s="47">
        <v>-94.54</v>
      </c>
    </row>
    <row r="46" spans="1:10" x14ac:dyDescent="0.25">
      <c r="A46" s="38" t="s">
        <v>84</v>
      </c>
      <c r="B46" s="2"/>
      <c r="C46" s="2">
        <f>C44+C45-C43</f>
        <v>0</v>
      </c>
      <c r="D46" s="2">
        <f>D44+D45-D43</f>
        <v>0</v>
      </c>
      <c r="E46" s="2">
        <f>E44+E45-E43</f>
        <v>0</v>
      </c>
      <c r="F46" s="2">
        <f>F44+F45-F43</f>
        <v>0</v>
      </c>
      <c r="G46" s="2"/>
      <c r="H46" s="2">
        <f>H44+H45-H43</f>
        <v>213.48500000000001</v>
      </c>
      <c r="I46" s="3">
        <f>I44+I45-I43</f>
        <v>-74.231000000000051</v>
      </c>
    </row>
    <row r="47" spans="1:10" x14ac:dyDescent="0.25">
      <c r="A47" s="7" t="s">
        <v>51</v>
      </c>
      <c r="B47" s="8"/>
      <c r="C47" s="44"/>
      <c r="D47" s="44"/>
      <c r="E47" s="44">
        <v>-52.872</v>
      </c>
      <c r="F47" s="44">
        <v>-12.606</v>
      </c>
      <c r="G47" s="44">
        <v>-14.808999999999999</v>
      </c>
      <c r="H47" s="44">
        <v>-30.337</v>
      </c>
      <c r="I47" s="45">
        <v>892.26300000000003</v>
      </c>
    </row>
    <row r="48" spans="1:10" x14ac:dyDescent="0.25">
      <c r="A48" s="7" t="s">
        <v>52</v>
      </c>
      <c r="B48" s="8"/>
      <c r="C48" s="8"/>
      <c r="D48" s="8"/>
      <c r="E48" s="8"/>
      <c r="F48" s="8"/>
      <c r="G48" s="8"/>
      <c r="H48" s="44">
        <v>-717.37699999999995</v>
      </c>
      <c r="I48" s="45">
        <v>-567.87599999999998</v>
      </c>
      <c r="J48" s="48" t="s">
        <v>71</v>
      </c>
    </row>
    <row r="49" spans="1:12" x14ac:dyDescent="0.25">
      <c r="A49" s="7" t="s">
        <v>69</v>
      </c>
      <c r="B49" s="8"/>
      <c r="C49" s="8"/>
      <c r="D49" s="8"/>
      <c r="E49" s="8"/>
      <c r="F49" s="8"/>
      <c r="G49" s="8"/>
      <c r="H49" s="8">
        <f>H43+H47+H48</f>
        <v>-852.94699999999989</v>
      </c>
      <c r="I49" s="9">
        <f>I43+I47+I48</f>
        <v>770.65800000000013</v>
      </c>
    </row>
    <row r="50" spans="1:12" x14ac:dyDescent="0.25">
      <c r="A50" s="34" t="s">
        <v>39</v>
      </c>
      <c r="B50" s="32"/>
      <c r="C50" s="32"/>
      <c r="D50" s="32"/>
      <c r="E50" s="32"/>
      <c r="F50" s="32"/>
      <c r="G50" s="32"/>
      <c r="H50" s="32"/>
      <c r="I50" s="35"/>
    </row>
    <row r="51" spans="1:12" x14ac:dyDescent="0.25">
      <c r="A51" s="7" t="s">
        <v>91</v>
      </c>
      <c r="B51" s="8"/>
      <c r="C51" s="44"/>
      <c r="D51" s="44"/>
      <c r="E51" s="8">
        <f t="shared" ref="E51:F51" si="25">E63-E53</f>
        <v>1261.3200000000002</v>
      </c>
      <c r="F51" s="8">
        <f t="shared" si="25"/>
        <v>1390.1680000000001</v>
      </c>
      <c r="G51" s="8">
        <f>G63-G53</f>
        <v>1574.04</v>
      </c>
      <c r="H51" s="44">
        <v>1158.2460000000001</v>
      </c>
      <c r="I51" s="45">
        <v>1171.819</v>
      </c>
    </row>
    <row r="52" spans="1:12" x14ac:dyDescent="0.25">
      <c r="A52" s="68" t="s">
        <v>92</v>
      </c>
      <c r="B52" s="8"/>
      <c r="C52" s="67"/>
      <c r="D52" s="67"/>
      <c r="E52" s="67"/>
      <c r="F52" s="67"/>
      <c r="G52" s="67"/>
      <c r="H52" s="67">
        <v>0.61319999999999997</v>
      </c>
      <c r="I52" s="51">
        <v>0.66959999999999997</v>
      </c>
    </row>
    <row r="53" spans="1:12" x14ac:dyDescent="0.25">
      <c r="A53" s="7" t="s">
        <v>7</v>
      </c>
      <c r="B53" s="8"/>
      <c r="C53" s="44">
        <f t="shared" ref="C53:D53" si="26">C54+C55</f>
        <v>0</v>
      </c>
      <c r="D53" s="44">
        <f t="shared" si="26"/>
        <v>0</v>
      </c>
      <c r="E53" s="44">
        <v>265.64</v>
      </c>
      <c r="F53" s="44">
        <v>310.99400000000003</v>
      </c>
      <c r="G53" s="44">
        <v>742.33399999999995</v>
      </c>
      <c r="H53" s="8">
        <f>H54+H55</f>
        <v>481.50200000000001</v>
      </c>
      <c r="I53" s="9">
        <f t="shared" ref="I53" si="27">I54+I55</f>
        <v>560.81000000000006</v>
      </c>
      <c r="J53" s="48"/>
    </row>
    <row r="54" spans="1:12" x14ac:dyDescent="0.25">
      <c r="A54" s="38" t="s">
        <v>77</v>
      </c>
      <c r="B54" s="2"/>
      <c r="C54" s="46"/>
      <c r="D54" s="46"/>
      <c r="E54" s="46"/>
      <c r="F54" s="46"/>
      <c r="G54" s="46"/>
      <c r="H54" s="46">
        <f>0</f>
        <v>0</v>
      </c>
      <c r="I54" s="47">
        <f>1.134</f>
        <v>1.1339999999999999</v>
      </c>
      <c r="J54" s="49" t="s">
        <v>79</v>
      </c>
    </row>
    <row r="55" spans="1:12" x14ac:dyDescent="0.25">
      <c r="A55" s="38" t="s">
        <v>78</v>
      </c>
      <c r="B55" s="2"/>
      <c r="C55" s="46"/>
      <c r="D55" s="46"/>
      <c r="E55" s="46"/>
      <c r="F55" s="46"/>
      <c r="G55" s="46"/>
      <c r="H55" s="46">
        <f>481.502</f>
        <v>481.50200000000001</v>
      </c>
      <c r="I55" s="47">
        <f>559.676</f>
        <v>559.67600000000004</v>
      </c>
      <c r="J55" s="49" t="s">
        <v>80</v>
      </c>
    </row>
    <row r="56" spans="1:12" x14ac:dyDescent="0.25">
      <c r="A56" s="7" t="s">
        <v>11</v>
      </c>
      <c r="B56" s="8"/>
      <c r="C56" s="44"/>
      <c r="D56" s="44"/>
      <c r="E56" s="44"/>
      <c r="F56" s="44"/>
      <c r="G56" s="44"/>
      <c r="H56" s="44">
        <v>577.6</v>
      </c>
      <c r="I56" s="45">
        <v>469.58800000000002</v>
      </c>
    </row>
    <row r="57" spans="1:12" x14ac:dyDescent="0.25">
      <c r="A57" s="7" t="s">
        <v>12</v>
      </c>
      <c r="B57" s="8"/>
      <c r="C57" s="44"/>
      <c r="D57" s="44"/>
      <c r="E57" s="44"/>
      <c r="F57" s="44"/>
      <c r="G57" s="44"/>
      <c r="H57" s="44">
        <v>1658.0340000000001</v>
      </c>
      <c r="I57" s="45">
        <v>1161.6379999999999</v>
      </c>
    </row>
    <row r="58" spans="1:12" x14ac:dyDescent="0.25">
      <c r="A58" s="7" t="s">
        <v>8</v>
      </c>
      <c r="B58" s="8"/>
      <c r="C58" s="44"/>
      <c r="D58" s="44"/>
      <c r="E58" s="44"/>
      <c r="F58" s="44"/>
      <c r="G58" s="44"/>
      <c r="H58" s="44">
        <v>967.99099999999999</v>
      </c>
      <c r="I58" s="45">
        <v>795.06799999999998</v>
      </c>
    </row>
    <row r="59" spans="1:12" x14ac:dyDescent="0.25">
      <c r="A59" s="7" t="s">
        <v>9</v>
      </c>
      <c r="B59" s="8"/>
      <c r="C59" s="44"/>
      <c r="D59" s="44"/>
      <c r="E59" s="44"/>
      <c r="F59" s="44"/>
      <c r="G59" s="44"/>
      <c r="H59" s="44">
        <v>566.995</v>
      </c>
      <c r="I59" s="45">
        <v>580.70799999999997</v>
      </c>
    </row>
    <row r="60" spans="1:12" x14ac:dyDescent="0.25">
      <c r="A60" s="7" t="s">
        <v>75</v>
      </c>
      <c r="B60" s="8"/>
      <c r="C60" s="44"/>
      <c r="D60" s="44"/>
      <c r="E60" s="44"/>
      <c r="F60" s="44"/>
      <c r="G60" s="44"/>
      <c r="H60" s="44">
        <v>242.61699999999999</v>
      </c>
      <c r="I60" s="45">
        <v>73.447000000000003</v>
      </c>
    </row>
    <row r="61" spans="1:12" x14ac:dyDescent="0.25">
      <c r="A61" s="7" t="s">
        <v>10</v>
      </c>
      <c r="B61" s="8"/>
      <c r="C61" s="44"/>
      <c r="D61" s="44"/>
      <c r="E61" s="44"/>
      <c r="F61" s="44"/>
      <c r="G61" s="44"/>
      <c r="H61" s="44">
        <v>2063.6260000000002</v>
      </c>
      <c r="I61" s="45">
        <v>1731.45</v>
      </c>
      <c r="L61" s="39"/>
    </row>
    <row r="62" spans="1:12" x14ac:dyDescent="0.25">
      <c r="A62" s="7" t="s">
        <v>13</v>
      </c>
      <c r="B62" s="8"/>
      <c r="C62" s="44"/>
      <c r="D62" s="44"/>
      <c r="E62" s="44"/>
      <c r="F62" s="44"/>
      <c r="G62" s="44"/>
      <c r="H62" s="44">
        <f>279.413+31.816+3.835+214.413</f>
        <v>529.47699999999998</v>
      </c>
      <c r="I62" s="45">
        <f>322.912+93.499+0.593+262.264</f>
        <v>679.26800000000003</v>
      </c>
    </row>
    <row r="63" spans="1:12" x14ac:dyDescent="0.25">
      <c r="A63" s="7" t="s">
        <v>14</v>
      </c>
      <c r="B63" s="8"/>
      <c r="C63" s="44"/>
      <c r="D63" s="44"/>
      <c r="E63" s="44">
        <v>1526.96</v>
      </c>
      <c r="F63" s="44">
        <v>1701.162</v>
      </c>
      <c r="G63" s="44">
        <v>2316.3739999999998</v>
      </c>
      <c r="H63" s="44">
        <v>2358.5949999999998</v>
      </c>
      <c r="I63" s="45">
        <v>2379.8009999999999</v>
      </c>
    </row>
    <row r="64" spans="1:12" x14ac:dyDescent="0.25">
      <c r="A64" s="34" t="s">
        <v>64</v>
      </c>
      <c r="B64" s="8"/>
      <c r="C64" s="8"/>
      <c r="D64" s="8"/>
      <c r="E64" s="8"/>
      <c r="F64" s="8"/>
      <c r="G64" s="8"/>
      <c r="H64" s="8"/>
      <c r="I64" s="9"/>
    </row>
    <row r="65" spans="1:10" x14ac:dyDescent="0.25">
      <c r="A65" s="7" t="s">
        <v>82</v>
      </c>
      <c r="B65" s="8"/>
      <c r="C65" s="8"/>
      <c r="D65" s="8"/>
      <c r="E65" s="8"/>
      <c r="F65" s="8"/>
      <c r="G65" s="8"/>
      <c r="H65" s="8">
        <f>28019300/10^6</f>
        <v>28.019300000000001</v>
      </c>
      <c r="I65" s="9">
        <f t="shared" ref="I65" si="28">28019300/10^6</f>
        <v>28.019300000000001</v>
      </c>
    </row>
    <row r="66" spans="1:10" x14ac:dyDescent="0.25">
      <c r="A66" s="7" t="s">
        <v>81</v>
      </c>
      <c r="B66" s="8"/>
      <c r="C66" s="8"/>
      <c r="D66" s="8"/>
      <c r="E66" s="8"/>
      <c r="F66" s="8"/>
      <c r="G66" s="8"/>
      <c r="H66" s="8">
        <v>10</v>
      </c>
      <c r="I66" s="9">
        <v>10</v>
      </c>
    </row>
    <row r="67" spans="1:10" x14ac:dyDescent="0.25">
      <c r="A67" s="7" t="s">
        <v>61</v>
      </c>
      <c r="B67" s="8"/>
      <c r="C67" s="8" t="e">
        <f t="shared" ref="C67:I67" si="29">C14/C$65</f>
        <v>#DIV/0!</v>
      </c>
      <c r="D67" s="8" t="e">
        <f t="shared" si="29"/>
        <v>#DIV/0!</v>
      </c>
      <c r="E67" s="8" t="e">
        <f t="shared" si="29"/>
        <v>#DIV/0!</v>
      </c>
      <c r="F67" s="8" t="e">
        <f t="shared" si="29"/>
        <v>#DIV/0!</v>
      </c>
      <c r="G67" s="8" t="e">
        <f t="shared" si="29"/>
        <v>#DIV/0!</v>
      </c>
      <c r="H67" s="8">
        <f t="shared" si="29"/>
        <v>23.695488466878217</v>
      </c>
      <c r="I67" s="9">
        <f t="shared" si="29"/>
        <v>6.9853636600486109</v>
      </c>
    </row>
    <row r="68" spans="1:10" x14ac:dyDescent="0.25">
      <c r="A68" s="7" t="s">
        <v>65</v>
      </c>
      <c r="B68" s="8"/>
      <c r="C68" s="8" t="e">
        <f t="shared" ref="C68:I68" si="30">C39/C$65</f>
        <v>#DIV/0!</v>
      </c>
      <c r="D68" s="8" t="e">
        <f t="shared" si="30"/>
        <v>#DIV/0!</v>
      </c>
      <c r="E68" s="8" t="e">
        <f t="shared" si="30"/>
        <v>#DIV/0!</v>
      </c>
      <c r="F68" s="8" t="e">
        <f t="shared" si="30"/>
        <v>#DIV/0!</v>
      </c>
      <c r="G68" s="8" t="e">
        <f t="shared" si="30"/>
        <v>#DIV/0!</v>
      </c>
      <c r="H68" s="8">
        <f t="shared" si="30"/>
        <v>2.5407486982187288</v>
      </c>
      <c r="I68" s="9">
        <f t="shared" si="30"/>
        <v>5.8683121990913421</v>
      </c>
    </row>
    <row r="69" spans="1:10" x14ac:dyDescent="0.25">
      <c r="A69" s="7" t="s">
        <v>74</v>
      </c>
      <c r="B69" s="8"/>
      <c r="C69" s="8"/>
      <c r="D69" s="8"/>
      <c r="E69" s="8"/>
      <c r="F69" s="8"/>
      <c r="G69" s="8"/>
      <c r="H69" s="8">
        <f>5+10+1</f>
        <v>16</v>
      </c>
      <c r="I69" s="45">
        <v>0</v>
      </c>
    </row>
    <row r="70" spans="1:10" x14ac:dyDescent="0.25">
      <c r="A70" s="7" t="s">
        <v>62</v>
      </c>
      <c r="B70" s="8"/>
      <c r="C70" s="8" t="e">
        <f t="shared" ref="C70:I70" si="31">C51/C$65</f>
        <v>#DIV/0!</v>
      </c>
      <c r="D70" s="8" t="e">
        <f t="shared" si="31"/>
        <v>#DIV/0!</v>
      </c>
      <c r="E70" s="8" t="e">
        <f t="shared" si="31"/>
        <v>#DIV/0!</v>
      </c>
      <c r="F70" s="8" t="e">
        <f t="shared" si="31"/>
        <v>#DIV/0!</v>
      </c>
      <c r="G70" s="8" t="e">
        <f t="shared" si="31"/>
        <v>#DIV/0!</v>
      </c>
      <c r="H70" s="8">
        <f t="shared" si="31"/>
        <v>41.337435267833243</v>
      </c>
      <c r="I70" s="9">
        <f t="shared" si="31"/>
        <v>41.821851366736496</v>
      </c>
    </row>
    <row r="71" spans="1:10" x14ac:dyDescent="0.25">
      <c r="A71" s="7" t="s">
        <v>66</v>
      </c>
      <c r="B71" s="8"/>
      <c r="C71" s="8" t="e">
        <f t="shared" ref="C71:I71" si="32">C60/C$65</f>
        <v>#DIV/0!</v>
      </c>
      <c r="D71" s="8" t="e">
        <f t="shared" si="32"/>
        <v>#DIV/0!</v>
      </c>
      <c r="E71" s="8" t="e">
        <f t="shared" si="32"/>
        <v>#DIV/0!</v>
      </c>
      <c r="F71" s="8" t="e">
        <f t="shared" si="32"/>
        <v>#DIV/0!</v>
      </c>
      <c r="G71" s="8" t="e">
        <f t="shared" si="32"/>
        <v>#DIV/0!</v>
      </c>
      <c r="H71" s="8">
        <f t="shared" si="32"/>
        <v>8.6589243842637025</v>
      </c>
      <c r="I71" s="9">
        <f t="shared" si="32"/>
        <v>2.6213003179950962</v>
      </c>
    </row>
    <row r="72" spans="1:10" x14ac:dyDescent="0.25">
      <c r="A72" s="7" t="s">
        <v>85</v>
      </c>
      <c r="B72" s="8"/>
      <c r="C72" s="8" t="e">
        <f t="shared" ref="C72:I72" si="33">C43/C$65</f>
        <v>#DIV/0!</v>
      </c>
      <c r="D72" s="8" t="e">
        <f t="shared" si="33"/>
        <v>#DIV/0!</v>
      </c>
      <c r="E72" s="8" t="e">
        <f t="shared" si="33"/>
        <v>#DIV/0!</v>
      </c>
      <c r="F72" s="8" t="e">
        <f t="shared" si="33"/>
        <v>#DIV/0!</v>
      </c>
      <c r="G72" s="8" t="e">
        <f t="shared" si="33"/>
        <v>#DIV/0!</v>
      </c>
      <c r="H72" s="8">
        <f t="shared" si="33"/>
        <v>-3.7557326557051747</v>
      </c>
      <c r="I72" s="9">
        <f t="shared" si="33"/>
        <v>15.927271559246662</v>
      </c>
    </row>
    <row r="73" spans="1:10" x14ac:dyDescent="0.25">
      <c r="A73" s="31" t="s">
        <v>103</v>
      </c>
      <c r="B73" s="30"/>
      <c r="C73" s="30"/>
      <c r="D73" s="30"/>
      <c r="E73" s="30"/>
      <c r="F73" s="30"/>
      <c r="G73" s="30"/>
      <c r="H73" s="30"/>
      <c r="I73" s="36"/>
    </row>
    <row r="74" spans="1:10" x14ac:dyDescent="0.25">
      <c r="A74" s="7" t="s">
        <v>16</v>
      </c>
      <c r="B74" s="11"/>
      <c r="C74" s="37" t="e">
        <f t="shared" ref="C74:I74" si="34">C24/AVERAGE(B58:C58)</f>
        <v>#DIV/0!</v>
      </c>
      <c r="D74" s="11" t="e">
        <f t="shared" si="34"/>
        <v>#DIV/0!</v>
      </c>
      <c r="E74" s="11" t="e">
        <f t="shared" si="34"/>
        <v>#DIV/0!</v>
      </c>
      <c r="F74" s="11" t="e">
        <f t="shared" si="34"/>
        <v>#DIV/0!</v>
      </c>
      <c r="G74" s="11" t="e">
        <f t="shared" si="34"/>
        <v>#DIV/0!</v>
      </c>
      <c r="H74" s="11">
        <f t="shared" si="34"/>
        <v>3.7767179653529839</v>
      </c>
      <c r="I74" s="12">
        <f t="shared" si="34"/>
        <v>4.1420791930389171</v>
      </c>
    </row>
    <row r="75" spans="1:10" x14ac:dyDescent="0.25">
      <c r="A75" s="7" t="s">
        <v>17</v>
      </c>
      <c r="B75" s="13"/>
      <c r="C75" s="8" t="e">
        <f>-365/C74</f>
        <v>#DIV/0!</v>
      </c>
      <c r="D75" s="8" t="e">
        <f>366/D74</f>
        <v>#DIV/0!</v>
      </c>
      <c r="E75" s="8" t="e">
        <f t="shared" ref="E75:I75" si="35">365/E74</f>
        <v>#DIV/0!</v>
      </c>
      <c r="F75" s="8" t="e">
        <f t="shared" si="35"/>
        <v>#DIV/0!</v>
      </c>
      <c r="G75" s="8" t="e">
        <f t="shared" si="35"/>
        <v>#DIV/0!</v>
      </c>
      <c r="H75" s="8">
        <f>366/H74</f>
        <v>96.909539806156133</v>
      </c>
      <c r="I75" s="9">
        <f t="shared" si="35"/>
        <v>88.119995535916019</v>
      </c>
    </row>
    <row r="76" spans="1:10" x14ac:dyDescent="0.25">
      <c r="A76" s="7" t="s">
        <v>18</v>
      </c>
      <c r="B76" s="13"/>
      <c r="C76" s="11" t="e">
        <f t="shared" ref="C76:I76" si="36">C24/AVERAGE(B59:C59)</f>
        <v>#DIV/0!</v>
      </c>
      <c r="D76" s="11" t="e">
        <f t="shared" si="36"/>
        <v>#DIV/0!</v>
      </c>
      <c r="E76" s="11" t="e">
        <f t="shared" si="36"/>
        <v>#DIV/0!</v>
      </c>
      <c r="F76" s="11" t="e">
        <f t="shared" si="36"/>
        <v>#DIV/0!</v>
      </c>
      <c r="G76" s="11" t="e">
        <f t="shared" si="36"/>
        <v>#DIV/0!</v>
      </c>
      <c r="H76" s="11">
        <f t="shared" si="36"/>
        <v>6.4477270522667753</v>
      </c>
      <c r="I76" s="12">
        <f t="shared" si="36"/>
        <v>6.3629092195454744</v>
      </c>
    </row>
    <row r="77" spans="1:10" x14ac:dyDescent="0.25">
      <c r="A77" s="7" t="s">
        <v>102</v>
      </c>
      <c r="B77" s="11"/>
      <c r="C77" s="8" t="e">
        <f t="shared" ref="C77" si="37">365/C76</f>
        <v>#DIV/0!</v>
      </c>
      <c r="D77" s="8" t="e">
        <f>366/D76</f>
        <v>#DIV/0!</v>
      </c>
      <c r="E77" s="8" t="e">
        <f t="shared" ref="E77:G77" si="38">365/E76</f>
        <v>#DIV/0!</v>
      </c>
      <c r="F77" s="8" t="e">
        <f t="shared" si="38"/>
        <v>#DIV/0!</v>
      </c>
      <c r="G77" s="8" t="e">
        <f t="shared" si="38"/>
        <v>#DIV/0!</v>
      </c>
      <c r="H77" s="8">
        <f>366/H76</f>
        <v>56.764189462909776</v>
      </c>
      <c r="I77" s="9">
        <f t="shared" ref="I77" si="39">365/I76</f>
        <v>57.363697548724929</v>
      </c>
    </row>
    <row r="78" spans="1:10" x14ac:dyDescent="0.25">
      <c r="A78" s="7" t="s">
        <v>19</v>
      </c>
      <c r="B78" s="13"/>
      <c r="C78" s="37" t="e">
        <f t="shared" ref="C78:I78" si="40">C24/AVERAGE(B56:C56)</f>
        <v>#DIV/0!</v>
      </c>
      <c r="D78" s="11" t="e">
        <f t="shared" si="40"/>
        <v>#DIV/0!</v>
      </c>
      <c r="E78" s="11" t="e">
        <f t="shared" si="40"/>
        <v>#DIV/0!</v>
      </c>
      <c r="F78" s="11" t="e">
        <f t="shared" si="40"/>
        <v>#DIV/0!</v>
      </c>
      <c r="G78" s="11" t="e">
        <f t="shared" si="40"/>
        <v>#DIV/0!</v>
      </c>
      <c r="H78" s="11">
        <f t="shared" si="40"/>
        <v>6.3293438365650969</v>
      </c>
      <c r="I78" s="12">
        <f t="shared" si="40"/>
        <v>6.9736570701726901</v>
      </c>
    </row>
    <row r="79" spans="1:10" x14ac:dyDescent="0.25">
      <c r="A79" s="7" t="s">
        <v>20</v>
      </c>
      <c r="B79" s="13"/>
      <c r="C79" s="8" t="e">
        <f t="shared" ref="C79" si="41">365/C78</f>
        <v>#DIV/0!</v>
      </c>
      <c r="D79" s="8" t="e">
        <f>366/D78</f>
        <v>#DIV/0!</v>
      </c>
      <c r="E79" s="8" t="e">
        <f t="shared" ref="E79:G79" si="42">365/E78</f>
        <v>#DIV/0!</v>
      </c>
      <c r="F79" s="8" t="e">
        <f t="shared" si="42"/>
        <v>#DIV/0!</v>
      </c>
      <c r="G79" s="8" t="e">
        <f t="shared" si="42"/>
        <v>#DIV/0!</v>
      </c>
      <c r="H79" s="8">
        <f>366/H78</f>
        <v>57.825899406126489</v>
      </c>
      <c r="I79" s="9">
        <f t="shared" ref="I79" si="43">365/I78</f>
        <v>52.339826338917099</v>
      </c>
    </row>
    <row r="80" spans="1:10" x14ac:dyDescent="0.25">
      <c r="A80" s="7" t="s">
        <v>35</v>
      </c>
      <c r="B80" s="33"/>
      <c r="C80" s="33">
        <f t="shared" ref="C80:I80" si="44">C61-C57-C60</f>
        <v>0</v>
      </c>
      <c r="D80" s="33">
        <f t="shared" si="44"/>
        <v>0</v>
      </c>
      <c r="E80" s="33">
        <f t="shared" si="44"/>
        <v>0</v>
      </c>
      <c r="F80" s="33">
        <f t="shared" si="44"/>
        <v>0</v>
      </c>
      <c r="G80" s="33">
        <f t="shared" si="44"/>
        <v>0</v>
      </c>
      <c r="H80" s="33">
        <f t="shared" si="44"/>
        <v>162.97500000000011</v>
      </c>
      <c r="I80" s="9">
        <f t="shared" si="44"/>
        <v>496.36500000000012</v>
      </c>
      <c r="J80" s="39"/>
    </row>
    <row r="81" spans="1:10" x14ac:dyDescent="0.25">
      <c r="A81" s="7" t="s">
        <v>21</v>
      </c>
      <c r="B81" s="13"/>
      <c r="C81" s="11" t="e">
        <f>C$24/AVERAGE(B80:C80)</f>
        <v>#DIV/0!</v>
      </c>
      <c r="D81" s="11" t="e">
        <f t="shared" ref="D81:I81" si="45">D$24/AVERAGE(C80:D80)</f>
        <v>#DIV/0!</v>
      </c>
      <c r="E81" s="11" t="e">
        <f t="shared" si="45"/>
        <v>#DIV/0!</v>
      </c>
      <c r="F81" s="11" t="e">
        <f t="shared" si="45"/>
        <v>#DIV/0!</v>
      </c>
      <c r="G81" s="11" t="e">
        <f t="shared" si="45"/>
        <v>#DIV/0!</v>
      </c>
      <c r="H81" s="11">
        <f t="shared" si="45"/>
        <v>44.86367847829419</v>
      </c>
      <c r="I81" s="12">
        <f t="shared" si="45"/>
        <v>11.075818242484905</v>
      </c>
    </row>
    <row r="82" spans="1:10" x14ac:dyDescent="0.25">
      <c r="A82" s="7" t="s">
        <v>68</v>
      </c>
      <c r="B82" s="13"/>
      <c r="C82" s="11" t="e">
        <f t="shared" ref="C82:H82" si="46">(C77+C75)-C79</f>
        <v>#DIV/0!</v>
      </c>
      <c r="D82" s="11" t="e">
        <f t="shared" si="46"/>
        <v>#DIV/0!</v>
      </c>
      <c r="E82" s="11" t="e">
        <f t="shared" si="46"/>
        <v>#DIV/0!</v>
      </c>
      <c r="F82" s="11" t="e">
        <f t="shared" si="46"/>
        <v>#DIV/0!</v>
      </c>
      <c r="G82" s="11" t="e">
        <f t="shared" si="46"/>
        <v>#DIV/0!</v>
      </c>
      <c r="H82" s="11">
        <f t="shared" si="46"/>
        <v>95.84782986293942</v>
      </c>
      <c r="I82" s="12">
        <f>(I77+I75)-I79</f>
        <v>93.143866745723841</v>
      </c>
      <c r="J82" s="1" t="s">
        <v>104</v>
      </c>
    </row>
    <row r="83" spans="1:10" x14ac:dyDescent="0.25">
      <c r="A83" s="7" t="s">
        <v>67</v>
      </c>
      <c r="B83" s="13"/>
      <c r="C83" s="37" t="e">
        <f t="shared" ref="C83:I83" si="47">(C61-C60)/C57</f>
        <v>#DIV/0!</v>
      </c>
      <c r="D83" s="11" t="e">
        <f t="shared" si="47"/>
        <v>#DIV/0!</v>
      </c>
      <c r="E83" s="11" t="e">
        <f t="shared" si="47"/>
        <v>#DIV/0!</v>
      </c>
      <c r="F83" s="11" t="e">
        <f t="shared" si="47"/>
        <v>#DIV/0!</v>
      </c>
      <c r="G83" s="11" t="e">
        <f t="shared" si="47"/>
        <v>#DIV/0!</v>
      </c>
      <c r="H83" s="11">
        <f t="shared" si="47"/>
        <v>1.0982941242459443</v>
      </c>
      <c r="I83" s="12">
        <f t="shared" si="47"/>
        <v>1.4272974885463461</v>
      </c>
    </row>
    <row r="84" spans="1:10" x14ac:dyDescent="0.25">
      <c r="A84" s="7" t="s">
        <v>24</v>
      </c>
      <c r="B84" s="11"/>
      <c r="C84" s="11" t="e">
        <f t="shared" ref="C84:I84" si="48">C61/C57</f>
        <v>#DIV/0!</v>
      </c>
      <c r="D84" s="11" t="e">
        <f t="shared" si="48"/>
        <v>#DIV/0!</v>
      </c>
      <c r="E84" s="11" t="e">
        <f t="shared" si="48"/>
        <v>#DIV/0!</v>
      </c>
      <c r="F84" s="11" t="e">
        <f t="shared" si="48"/>
        <v>#DIV/0!</v>
      </c>
      <c r="G84" s="11" t="e">
        <f t="shared" si="48"/>
        <v>#DIV/0!</v>
      </c>
      <c r="H84" s="11">
        <f t="shared" si="48"/>
        <v>1.2446222453821816</v>
      </c>
      <c r="I84" s="12">
        <f t="shared" si="48"/>
        <v>1.4905245868334198</v>
      </c>
    </row>
    <row r="85" spans="1:10" x14ac:dyDescent="0.25">
      <c r="A85" s="7" t="s">
        <v>22</v>
      </c>
      <c r="B85" s="13"/>
      <c r="C85" s="11" t="e">
        <f>C$24/AVERAGE(C62:C62)</f>
        <v>#DIV/0!</v>
      </c>
      <c r="D85" s="11" t="e">
        <f t="shared" ref="D85:I86" si="49">D$24/AVERAGE(C62:D62)</f>
        <v>#DIV/0!</v>
      </c>
      <c r="E85" s="11" t="e">
        <f t="shared" si="49"/>
        <v>#DIV/0!</v>
      </c>
      <c r="F85" s="11" t="e">
        <f t="shared" si="49"/>
        <v>#DIV/0!</v>
      </c>
      <c r="G85" s="11" t="e">
        <f t="shared" si="49"/>
        <v>#DIV/0!</v>
      </c>
      <c r="H85" s="11">
        <f t="shared" si="49"/>
        <v>6.9046039771321519</v>
      </c>
      <c r="I85" s="12">
        <f t="shared" si="49"/>
        <v>6.0415803167748372</v>
      </c>
    </row>
    <row r="86" spans="1:10" x14ac:dyDescent="0.25">
      <c r="A86" s="7" t="s">
        <v>23</v>
      </c>
      <c r="B86" s="13"/>
      <c r="C86" s="11" t="e">
        <f>C$24/AVERAGE(C63:C63)</f>
        <v>#DIV/0!</v>
      </c>
      <c r="D86" s="11" t="e">
        <f t="shared" si="49"/>
        <v>#DIV/0!</v>
      </c>
      <c r="E86" s="11">
        <f t="shared" si="49"/>
        <v>1.5623460994394089</v>
      </c>
      <c r="F86" s="11">
        <f t="shared" si="49"/>
        <v>1.4355801918267028</v>
      </c>
      <c r="G86" s="11">
        <f t="shared" si="49"/>
        <v>1.2280805946729538</v>
      </c>
      <c r="H86" s="11">
        <f t="shared" si="49"/>
        <v>1.5640013869610689</v>
      </c>
      <c r="I86" s="12">
        <f t="shared" si="49"/>
        <v>1.5411818682946719</v>
      </c>
    </row>
    <row r="87" spans="1:10" x14ac:dyDescent="0.25">
      <c r="A87" s="31" t="s">
        <v>25</v>
      </c>
      <c r="B87" s="30"/>
      <c r="C87" s="30"/>
      <c r="D87" s="30"/>
      <c r="E87" s="30"/>
      <c r="F87" s="30"/>
      <c r="G87" s="30"/>
      <c r="H87" s="30"/>
      <c r="I87" s="36"/>
    </row>
    <row r="88" spans="1:10" x14ac:dyDescent="0.25">
      <c r="A88" s="7" t="s">
        <v>26</v>
      </c>
      <c r="B88" s="14"/>
      <c r="C88" s="14" t="e">
        <f t="shared" ref="C88:I88" si="50">C53/C63</f>
        <v>#DIV/0!</v>
      </c>
      <c r="D88" s="14" t="e">
        <f t="shared" si="50"/>
        <v>#DIV/0!</v>
      </c>
      <c r="E88" s="14">
        <f t="shared" si="50"/>
        <v>0.17396657410803162</v>
      </c>
      <c r="F88" s="14">
        <f t="shared" si="50"/>
        <v>0.18281268920890545</v>
      </c>
      <c r="G88" s="14">
        <f t="shared" si="50"/>
        <v>0.32047242802759829</v>
      </c>
      <c r="H88" s="14">
        <f t="shared" si="50"/>
        <v>0.20414780833504695</v>
      </c>
      <c r="I88" s="15">
        <f t="shared" si="50"/>
        <v>0.2356541576375504</v>
      </c>
    </row>
    <row r="89" spans="1:10" x14ac:dyDescent="0.25">
      <c r="A89" s="7" t="s">
        <v>27</v>
      </c>
      <c r="B89" s="14"/>
      <c r="C89" s="14" t="e">
        <f t="shared" ref="C89:I89" si="51">C53/(C51+C53)</f>
        <v>#DIV/0!</v>
      </c>
      <c r="D89" s="14" t="e">
        <f t="shared" si="51"/>
        <v>#DIV/0!</v>
      </c>
      <c r="E89" s="14">
        <f t="shared" si="51"/>
        <v>0.17396657410803162</v>
      </c>
      <c r="F89" s="14">
        <f t="shared" si="51"/>
        <v>0.18281268920890542</v>
      </c>
      <c r="G89" s="14">
        <f t="shared" si="51"/>
        <v>0.32047242802759829</v>
      </c>
      <c r="H89" s="14">
        <f t="shared" si="51"/>
        <v>0.29364390137996815</v>
      </c>
      <c r="I89" s="15">
        <f t="shared" si="51"/>
        <v>0.32367575516743635</v>
      </c>
    </row>
    <row r="90" spans="1:10" x14ac:dyDescent="0.25">
      <c r="A90" s="7" t="s">
        <v>28</v>
      </c>
      <c r="B90" s="14"/>
      <c r="C90" s="14" t="e">
        <f t="shared" ref="C90:I90" si="52">C53/C51</f>
        <v>#DIV/0!</v>
      </c>
      <c r="D90" s="14" t="e">
        <f t="shared" si="52"/>
        <v>#DIV/0!</v>
      </c>
      <c r="E90" s="14">
        <f t="shared" si="52"/>
        <v>0.21060476326388225</v>
      </c>
      <c r="F90" s="14">
        <f t="shared" si="52"/>
        <v>0.22370965235856385</v>
      </c>
      <c r="G90" s="14">
        <f t="shared" si="52"/>
        <v>0.47161063251251556</v>
      </c>
      <c r="H90" s="14">
        <f t="shared" si="52"/>
        <v>0.41571652308749607</v>
      </c>
      <c r="I90" s="15">
        <f t="shared" si="52"/>
        <v>0.47858073644479232</v>
      </c>
    </row>
    <row r="91" spans="1:10" x14ac:dyDescent="0.25">
      <c r="A91" s="31" t="s">
        <v>88</v>
      </c>
      <c r="B91" s="30"/>
      <c r="C91" s="30"/>
      <c r="D91" s="30"/>
      <c r="E91" s="30"/>
      <c r="F91" s="30"/>
      <c r="G91" s="30"/>
      <c r="H91" s="30"/>
      <c r="I91" s="36"/>
    </row>
    <row r="92" spans="1:10" x14ac:dyDescent="0.25">
      <c r="A92" s="31" t="s">
        <v>57</v>
      </c>
      <c r="B92" s="16"/>
      <c r="C92" s="16" t="e">
        <f>C39/AVERAGE(C51:C51)</f>
        <v>#DIV/0!</v>
      </c>
      <c r="D92" s="16" t="e">
        <f t="shared" ref="D92:I92" si="53">D39/AVERAGE(C51:D51)</f>
        <v>#DIV/0!</v>
      </c>
      <c r="E92" s="16">
        <f t="shared" si="53"/>
        <v>0.56966352709859491</v>
      </c>
      <c r="F92" s="16">
        <f t="shared" si="53"/>
        <v>0.38533759157122333</v>
      </c>
      <c r="G92" s="16">
        <f t="shared" si="53"/>
        <v>0.17244943674667917</v>
      </c>
      <c r="H92" s="16">
        <f t="shared" si="53"/>
        <v>5.2110211010121213E-2</v>
      </c>
      <c r="I92" s="17">
        <f t="shared" si="53"/>
        <v>0.14113426020304157</v>
      </c>
    </row>
    <row r="93" spans="1:10" x14ac:dyDescent="0.25">
      <c r="A93" s="24" t="s">
        <v>32</v>
      </c>
      <c r="B93" s="25"/>
      <c r="C93" s="16" t="e">
        <f t="shared" ref="C93:I93" si="54">C40</f>
        <v>#DIV/0!</v>
      </c>
      <c r="D93" s="16" t="e">
        <f t="shared" si="54"/>
        <v>#DIV/0!</v>
      </c>
      <c r="E93" s="16">
        <f t="shared" si="54"/>
        <v>0.3011887795308596</v>
      </c>
      <c r="F93" s="16">
        <f t="shared" si="54"/>
        <v>0.22047210452312657</v>
      </c>
      <c r="G93" s="16">
        <f t="shared" si="54"/>
        <v>0.10360573814649719</v>
      </c>
      <c r="H93" s="16">
        <f t="shared" si="54"/>
        <v>1.9473011456498657E-2</v>
      </c>
      <c r="I93" s="17">
        <f t="shared" si="54"/>
        <v>4.5031378676193709E-2</v>
      </c>
    </row>
    <row r="94" spans="1:10" x14ac:dyDescent="0.25">
      <c r="A94" s="24" t="s">
        <v>33</v>
      </c>
      <c r="B94" s="18"/>
      <c r="C94" s="18" t="e">
        <f t="shared" ref="C94:I94" si="55">C86</f>
        <v>#DIV/0!</v>
      </c>
      <c r="D94" s="18" t="e">
        <f t="shared" si="55"/>
        <v>#DIV/0!</v>
      </c>
      <c r="E94" s="18">
        <f t="shared" si="55"/>
        <v>1.5623460994394089</v>
      </c>
      <c r="F94" s="18">
        <f t="shared" si="55"/>
        <v>1.4355801918267028</v>
      </c>
      <c r="G94" s="18">
        <f t="shared" si="55"/>
        <v>1.2280805946729538</v>
      </c>
      <c r="H94" s="18">
        <f t="shared" si="55"/>
        <v>1.5640013869610689</v>
      </c>
      <c r="I94" s="19">
        <f t="shared" si="55"/>
        <v>1.5411818682946719</v>
      </c>
    </row>
    <row r="95" spans="1:10" x14ac:dyDescent="0.25">
      <c r="A95" s="26" t="s">
        <v>29</v>
      </c>
      <c r="B95" s="18"/>
      <c r="C95" s="18" t="e">
        <f t="shared" ref="C95:I95" si="56">AVERAGE(C63:C63)/AVERAGE(C51:C51)</f>
        <v>#DIV/0!</v>
      </c>
      <c r="D95" s="18" t="e">
        <f t="shared" si="56"/>
        <v>#DIV/0!</v>
      </c>
      <c r="E95" s="18">
        <f t="shared" si="56"/>
        <v>1.2106047632638821</v>
      </c>
      <c r="F95" s="18">
        <f t="shared" si="56"/>
        <v>1.2237096523585638</v>
      </c>
      <c r="G95" s="18">
        <f t="shared" si="56"/>
        <v>1.4716106325125156</v>
      </c>
      <c r="H95" s="18">
        <f t="shared" si="56"/>
        <v>2.0363506543514931</v>
      </c>
      <c r="I95" s="19">
        <f t="shared" si="56"/>
        <v>2.0308605680570122</v>
      </c>
    </row>
    <row r="96" spans="1:10" x14ac:dyDescent="0.25">
      <c r="A96" s="27" t="s">
        <v>54</v>
      </c>
      <c r="B96" s="18"/>
      <c r="C96" s="53" t="e">
        <f t="shared" ref="C96:I96" si="57">C35/(AVERAGE(B51,C51,B53,C53))</f>
        <v>#DIV/0!</v>
      </c>
      <c r="D96" s="53" t="e">
        <f t="shared" si="57"/>
        <v>#DIV/0!</v>
      </c>
      <c r="E96" s="53">
        <f t="shared" si="57"/>
        <v>1.4116833446848636</v>
      </c>
      <c r="F96" s="53">
        <f t="shared" si="57"/>
        <v>0.63301077220749391</v>
      </c>
      <c r="G96" s="53">
        <f t="shared" si="57"/>
        <v>0.25447239302896124</v>
      </c>
      <c r="H96" s="53">
        <f t="shared" si="57"/>
        <v>0.3009290411165278</v>
      </c>
      <c r="I96" s="54">
        <f t="shared" si="57"/>
        <v>0.39580983976583883</v>
      </c>
    </row>
    <row r="97" spans="1:9" ht="15.75" thickBot="1" x14ac:dyDescent="0.3">
      <c r="A97" s="28" t="s">
        <v>55</v>
      </c>
      <c r="B97" s="29"/>
      <c r="C97" s="52" t="e">
        <f t="shared" ref="C97:I97" si="58">(C39-C36*(1-C41))/AVERAGE(B63,C63)</f>
        <v>#DIV/0!</v>
      </c>
      <c r="D97" s="55" t="e">
        <f t="shared" si="58"/>
        <v>#DIV/0!</v>
      </c>
      <c r="E97" s="55">
        <f t="shared" si="58"/>
        <v>0.47056111489495456</v>
      </c>
      <c r="F97" s="55">
        <f t="shared" si="58"/>
        <v>0.31650538610374696</v>
      </c>
      <c r="G97" s="55">
        <f t="shared" si="58"/>
        <v>0.12723619651448062</v>
      </c>
      <c r="H97" s="55">
        <f t="shared" si="58"/>
        <v>5.9513517695047501E-2</v>
      </c>
      <c r="I97" s="56">
        <f t="shared" si="58"/>
        <v>8.4941509559096809E-2</v>
      </c>
    </row>
    <row r="98" spans="1:9" x14ac:dyDescent="0.25">
      <c r="A98" s="22" t="s">
        <v>34</v>
      </c>
      <c r="B98" s="23">
        <f t="shared" ref="B98:I98" si="59">B93*B94*B95-B92</f>
        <v>0</v>
      </c>
      <c r="C98" s="23" t="e">
        <f t="shared" si="59"/>
        <v>#DIV/0!</v>
      </c>
      <c r="D98" s="23" t="e">
        <f t="shared" si="59"/>
        <v>#DIV/0!</v>
      </c>
      <c r="E98" s="23">
        <f t="shared" si="59"/>
        <v>0</v>
      </c>
      <c r="F98" s="23">
        <f t="shared" si="59"/>
        <v>1.9731044274057807E-3</v>
      </c>
      <c r="G98" s="23">
        <f t="shared" si="59"/>
        <v>1.4792702884482367E-2</v>
      </c>
      <c r="H98" s="23">
        <f t="shared" si="59"/>
        <v>9.9085117165034486E-3</v>
      </c>
      <c r="I98" s="23">
        <f t="shared" si="59"/>
        <v>-1.8940048116844466E-4</v>
      </c>
    </row>
    <row r="99" spans="1:9" x14ac:dyDescent="0.25">
      <c r="A99" s="10"/>
      <c r="B99" s="10"/>
      <c r="C99" s="10"/>
      <c r="D99" s="10"/>
      <c r="E99" s="10"/>
      <c r="F99" s="10"/>
      <c r="G99" s="10"/>
      <c r="H99" s="10"/>
      <c r="I99" s="10"/>
    </row>
    <row r="100" spans="1:9" x14ac:dyDescent="0.25">
      <c r="A100" s="10"/>
      <c r="B100" s="20"/>
      <c r="C100" s="20"/>
      <c r="D100" s="20"/>
      <c r="E100" s="20"/>
      <c r="F100" s="20"/>
      <c r="G100" s="20"/>
      <c r="H100" s="20"/>
      <c r="I100" s="20"/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9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5" x14ac:dyDescent="0.25"/>
  <cols>
    <col min="1" max="1" width="35.42578125" bestFit="1" customWidth="1"/>
    <col min="8" max="8" width="11" bestFit="1" customWidth="1"/>
  </cols>
  <sheetData>
    <row r="1" spans="1:10" x14ac:dyDescent="0.25">
      <c r="A1" s="4" t="s">
        <v>53</v>
      </c>
      <c r="B1" s="5"/>
      <c r="C1" s="5" t="s">
        <v>0</v>
      </c>
      <c r="D1" s="5" t="s">
        <v>1</v>
      </c>
      <c r="E1" s="5" t="s">
        <v>2</v>
      </c>
      <c r="F1" s="5" t="s">
        <v>3</v>
      </c>
      <c r="G1" s="5" t="s">
        <v>4</v>
      </c>
      <c r="H1" s="5" t="s">
        <v>36</v>
      </c>
      <c r="I1" s="6" t="s">
        <v>37</v>
      </c>
      <c r="J1" s="40" t="s">
        <v>70</v>
      </c>
    </row>
    <row r="2" spans="1:10" x14ac:dyDescent="0.25">
      <c r="A2" s="34" t="s">
        <v>38</v>
      </c>
      <c r="B2" s="32"/>
      <c r="C2" s="32"/>
      <c r="D2" s="32"/>
      <c r="E2" s="32"/>
      <c r="F2" s="32"/>
      <c r="G2" s="32"/>
      <c r="H2" s="32"/>
      <c r="I2" s="35"/>
    </row>
    <row r="3" spans="1:10" s="1" customFormat="1" x14ac:dyDescent="0.25">
      <c r="A3" s="7" t="s">
        <v>58</v>
      </c>
      <c r="B3" s="8"/>
      <c r="C3" s="8"/>
      <c r="D3" s="8"/>
      <c r="E3" s="8"/>
      <c r="F3" s="8"/>
      <c r="G3" s="8"/>
      <c r="H3" s="44">
        <v>3708.826</v>
      </c>
      <c r="I3" s="45">
        <v>2441.0129999999999</v>
      </c>
    </row>
    <row r="4" spans="1:10" s="1" customFormat="1" x14ac:dyDescent="0.25">
      <c r="A4" s="7" t="s">
        <v>5</v>
      </c>
      <c r="B4" s="8"/>
      <c r="C4" s="8"/>
      <c r="D4" s="8"/>
      <c r="E4" s="8"/>
      <c r="F4" s="8"/>
      <c r="G4" s="8"/>
      <c r="H4" s="44">
        <v>-1883.7380000000001</v>
      </c>
      <c r="I4" s="45">
        <v>-1314.577</v>
      </c>
    </row>
    <row r="5" spans="1:10" s="1" customFormat="1" x14ac:dyDescent="0.25">
      <c r="A5" s="7" t="s">
        <v>40</v>
      </c>
      <c r="B5" s="8"/>
      <c r="C5" s="8">
        <f t="shared" ref="C5" si="0">C3+C4</f>
        <v>0</v>
      </c>
      <c r="D5" s="8">
        <f t="shared" ref="D5" si="1">D3+D4</f>
        <v>0</v>
      </c>
      <c r="E5" s="8">
        <f t="shared" ref="E5" si="2">E3+E4</f>
        <v>0</v>
      </c>
      <c r="F5" s="8">
        <f t="shared" ref="F5" si="3">F3+F4</f>
        <v>0</v>
      </c>
      <c r="G5" s="8"/>
      <c r="H5" s="8">
        <f>H3+H4</f>
        <v>1825.088</v>
      </c>
      <c r="I5" s="9">
        <f>I3+I4</f>
        <v>1126.4359999999999</v>
      </c>
    </row>
    <row r="6" spans="1:10" s="1" customFormat="1" x14ac:dyDescent="0.25">
      <c r="A6" s="7" t="s">
        <v>41</v>
      </c>
      <c r="B6" s="8"/>
      <c r="C6" s="8"/>
      <c r="D6" s="8"/>
      <c r="E6" s="8"/>
      <c r="F6" s="8"/>
      <c r="G6" s="8"/>
      <c r="H6" s="44">
        <f>-(3300.625+H4+H8+H10)</f>
        <v>-1210.9180000000001</v>
      </c>
      <c r="I6" s="45">
        <f>-(2096.708+I4+I8+I10)</f>
        <v>-677.23400000000004</v>
      </c>
    </row>
    <row r="7" spans="1:10" s="1" customFormat="1" x14ac:dyDescent="0.25">
      <c r="A7" s="7" t="s">
        <v>42</v>
      </c>
      <c r="B7" s="8"/>
      <c r="C7" s="8">
        <f t="shared" ref="C7" si="4">C5+C6</f>
        <v>0</v>
      </c>
      <c r="D7" s="8">
        <f t="shared" ref="D7" si="5">D5+D6</f>
        <v>0</v>
      </c>
      <c r="E7" s="8">
        <f t="shared" ref="E7" si="6">E5+E6</f>
        <v>0</v>
      </c>
      <c r="F7" s="8">
        <f t="shared" ref="F7" si="7">F5+F6</f>
        <v>0</v>
      </c>
      <c r="G7" s="8"/>
      <c r="H7" s="8">
        <f t="shared" ref="H7" si="8">H5+H6</f>
        <v>614.16999999999985</v>
      </c>
      <c r="I7" s="9">
        <f t="shared" ref="I7" si="9">I5+I6</f>
        <v>449.20199999999988</v>
      </c>
    </row>
    <row r="8" spans="1:10" s="1" customFormat="1" x14ac:dyDescent="0.25">
      <c r="A8" s="7" t="s">
        <v>43</v>
      </c>
      <c r="B8" s="8"/>
      <c r="C8" s="8"/>
      <c r="D8" s="8"/>
      <c r="E8" s="8"/>
      <c r="F8" s="8"/>
      <c r="G8" s="8"/>
      <c r="H8" s="44">
        <v>-93.09</v>
      </c>
      <c r="I8" s="45">
        <v>-62.878999999999998</v>
      </c>
    </row>
    <row r="9" spans="1:10" s="1" customFormat="1" x14ac:dyDescent="0.25">
      <c r="A9" s="7" t="s">
        <v>44</v>
      </c>
      <c r="B9" s="8"/>
      <c r="C9" s="8">
        <f t="shared" ref="C9" si="10">C7+C8</f>
        <v>0</v>
      </c>
      <c r="D9" s="8">
        <f t="shared" ref="D9" si="11">D7+D8</f>
        <v>0</v>
      </c>
      <c r="E9" s="8">
        <f t="shared" ref="E9" si="12">E7+E8</f>
        <v>0</v>
      </c>
      <c r="F9" s="8">
        <f t="shared" ref="F9" si="13">F7+F8</f>
        <v>0</v>
      </c>
      <c r="G9" s="8"/>
      <c r="H9" s="8">
        <f t="shared" ref="H9" si="14">H7+H8</f>
        <v>521.07999999999981</v>
      </c>
      <c r="I9" s="9">
        <f t="shared" ref="I9" si="15">I7+I8</f>
        <v>386.32299999999987</v>
      </c>
    </row>
    <row r="10" spans="1:10" s="1" customFormat="1" x14ac:dyDescent="0.25">
      <c r="A10" s="7" t="s">
        <v>45</v>
      </c>
      <c r="B10" s="8"/>
      <c r="C10" s="8"/>
      <c r="D10" s="8"/>
      <c r="E10" s="8"/>
      <c r="F10" s="8"/>
      <c r="G10" s="8"/>
      <c r="H10" s="44">
        <v>-112.879</v>
      </c>
      <c r="I10" s="45">
        <v>-42.018000000000001</v>
      </c>
    </row>
    <row r="11" spans="1:10" s="1" customFormat="1" x14ac:dyDescent="0.25">
      <c r="A11" s="7" t="s">
        <v>59</v>
      </c>
      <c r="B11" s="8"/>
      <c r="C11" s="8"/>
      <c r="D11" s="8"/>
      <c r="E11" s="8"/>
      <c r="F11" s="8"/>
      <c r="G11" s="8"/>
      <c r="H11" s="44">
        <f>399.092+201.164</f>
        <v>600.25599999999997</v>
      </c>
      <c r="I11" s="45">
        <v>19.113</v>
      </c>
    </row>
    <row r="12" spans="1:10" s="1" customFormat="1" x14ac:dyDescent="0.25">
      <c r="A12" s="7" t="s">
        <v>46</v>
      </c>
      <c r="B12" s="8"/>
      <c r="C12" s="8">
        <f>C9+C10+C11</f>
        <v>0</v>
      </c>
      <c r="D12" s="8">
        <f t="shared" ref="D12" si="16">D9+D10+D11</f>
        <v>0</v>
      </c>
      <c r="E12" s="8">
        <f t="shared" ref="E12" si="17">E9+E10+E11</f>
        <v>0</v>
      </c>
      <c r="F12" s="8">
        <f t="shared" ref="F12" si="18">F9+F10+F11</f>
        <v>0</v>
      </c>
      <c r="G12" s="8"/>
      <c r="H12" s="8">
        <f t="shared" ref="H12" si="19">H9+H10+H11</f>
        <v>1008.4569999999998</v>
      </c>
      <c r="I12" s="9">
        <f t="shared" ref="I12" si="20">I9+I10+I11</f>
        <v>363.41799999999984</v>
      </c>
    </row>
    <row r="13" spans="1:10" s="1" customFormat="1" x14ac:dyDescent="0.25">
      <c r="A13" s="7" t="s">
        <v>47</v>
      </c>
      <c r="B13" s="8"/>
      <c r="C13" s="8"/>
      <c r="D13" s="8"/>
      <c r="E13" s="8"/>
      <c r="F13" s="8"/>
      <c r="G13" s="8"/>
      <c r="H13" s="44">
        <v>-106.81</v>
      </c>
      <c r="I13" s="45">
        <v>-88.659000000000006</v>
      </c>
    </row>
    <row r="14" spans="1:10" s="1" customFormat="1" x14ac:dyDescent="0.25">
      <c r="A14" s="7" t="s">
        <v>48</v>
      </c>
      <c r="B14" s="8"/>
      <c r="C14" s="8">
        <f>C12+C13</f>
        <v>0</v>
      </c>
      <c r="D14" s="8">
        <f t="shared" ref="D14" si="21">D12+D13</f>
        <v>0</v>
      </c>
      <c r="E14" s="8">
        <f t="shared" ref="E14" si="22">E12+E13</f>
        <v>0</v>
      </c>
      <c r="F14" s="8">
        <f t="shared" ref="F14" si="23">F12+F13</f>
        <v>0</v>
      </c>
      <c r="G14" s="8"/>
      <c r="H14" s="8">
        <f t="shared" ref="H14" si="24">H12+H13</f>
        <v>901.64699999999971</v>
      </c>
      <c r="I14" s="9">
        <f>I12+I13</f>
        <v>274.75899999999984</v>
      </c>
    </row>
    <row r="15" spans="1:10" s="1" customFormat="1" x14ac:dyDescent="0.25">
      <c r="A15" s="59" t="s">
        <v>56</v>
      </c>
      <c r="B15" s="60"/>
      <c r="C15" s="60" t="e">
        <f>-C13/C12</f>
        <v>#DIV/0!</v>
      </c>
      <c r="D15" s="60" t="e">
        <f t="shared" ref="D15:I15" si="25">-D13/D12</f>
        <v>#DIV/0!</v>
      </c>
      <c r="E15" s="60" t="e">
        <f t="shared" si="25"/>
        <v>#DIV/0!</v>
      </c>
      <c r="F15" s="60" t="e">
        <f t="shared" si="25"/>
        <v>#DIV/0!</v>
      </c>
      <c r="G15" s="60" t="e">
        <f t="shared" si="25"/>
        <v>#DIV/0!</v>
      </c>
      <c r="H15" s="60">
        <f t="shared" si="25"/>
        <v>0.10591428290943494</v>
      </c>
      <c r="I15" s="61">
        <f t="shared" si="25"/>
        <v>0.24395874722771035</v>
      </c>
    </row>
    <row r="16" spans="1:10" s="1" customFormat="1" x14ac:dyDescent="0.25">
      <c r="A16" s="59" t="s">
        <v>72</v>
      </c>
      <c r="B16" s="64"/>
      <c r="C16" s="64">
        <f>(C64*C61)</f>
        <v>0</v>
      </c>
      <c r="D16" s="64">
        <f>(D64*D61)</f>
        <v>0</v>
      </c>
      <c r="E16" s="64">
        <f>(E64*E61)</f>
        <v>0</v>
      </c>
      <c r="F16" s="64">
        <f>(F64*F61)</f>
        <v>0</v>
      </c>
      <c r="G16" s="64"/>
      <c r="H16" s="64">
        <f>(H64*H61)</f>
        <v>448.30880000000002</v>
      </c>
      <c r="I16" s="72">
        <f>(I64*I61)</f>
        <v>0</v>
      </c>
    </row>
    <row r="17" spans="1:11" s="1" customFormat="1" x14ac:dyDescent="0.25">
      <c r="A17" s="59" t="s">
        <v>73</v>
      </c>
      <c r="B17" s="60"/>
      <c r="C17" s="60" t="e">
        <f t="shared" ref="C17:G17" si="26">C16/C14</f>
        <v>#DIV/0!</v>
      </c>
      <c r="D17" s="60" t="e">
        <f t="shared" si="26"/>
        <v>#DIV/0!</v>
      </c>
      <c r="E17" s="60" t="e">
        <f t="shared" si="26"/>
        <v>#DIV/0!</v>
      </c>
      <c r="F17" s="60" t="e">
        <f t="shared" si="26"/>
        <v>#DIV/0!</v>
      </c>
      <c r="G17" s="60" t="e">
        <f t="shared" si="26"/>
        <v>#DIV/0!</v>
      </c>
      <c r="H17" s="60">
        <f>H16/H14</f>
        <v>0.49721099277211611</v>
      </c>
      <c r="I17" s="61">
        <f>I16/I14</f>
        <v>0</v>
      </c>
    </row>
    <row r="18" spans="1:11" s="1" customFormat="1" x14ac:dyDescent="0.25">
      <c r="A18" s="34" t="s">
        <v>60</v>
      </c>
      <c r="B18" s="32"/>
      <c r="C18" s="32"/>
      <c r="D18" s="32"/>
      <c r="E18" s="32"/>
      <c r="F18" s="32"/>
      <c r="G18" s="32"/>
      <c r="H18" s="32"/>
      <c r="I18" s="35"/>
    </row>
    <row r="19" spans="1:11" s="1" customFormat="1" x14ac:dyDescent="0.25">
      <c r="A19" s="41" t="s">
        <v>107</v>
      </c>
      <c r="B19" s="42"/>
      <c r="C19" s="44"/>
      <c r="D19" s="44"/>
      <c r="E19" s="44">
        <v>2385.64</v>
      </c>
      <c r="F19" s="44">
        <v>2317.14</v>
      </c>
      <c r="G19" s="44">
        <v>2036.1859999999999</v>
      </c>
      <c r="H19" s="44">
        <v>2528.7510000000002</v>
      </c>
      <c r="I19" s="45">
        <v>2587.7620000000002</v>
      </c>
    </row>
    <row r="20" spans="1:11" s="1" customFormat="1" x14ac:dyDescent="0.25">
      <c r="A20" s="77" t="s">
        <v>110</v>
      </c>
      <c r="B20" s="78"/>
      <c r="C20" s="79"/>
      <c r="D20" s="79"/>
      <c r="E20" s="79"/>
      <c r="F20" s="80">
        <f>F19/E19-1</f>
        <v>-2.8713468922385577E-2</v>
      </c>
      <c r="G20" s="80">
        <f t="shared" ref="G20:I20" si="27">G19/F19-1</f>
        <v>-0.12125033446403755</v>
      </c>
      <c r="H20" s="80">
        <f t="shared" si="27"/>
        <v>0.24190570016688073</v>
      </c>
      <c r="I20" s="81">
        <f t="shared" si="27"/>
        <v>2.3336026362421602E-2</v>
      </c>
      <c r="J20" s="82">
        <f>(I19/E19)^(1/5)-1</f>
        <v>1.6398193864226585E-2</v>
      </c>
      <c r="K20" s="76" t="s">
        <v>112</v>
      </c>
    </row>
    <row r="21" spans="1:11" x14ac:dyDescent="0.25">
      <c r="A21" s="7" t="s">
        <v>58</v>
      </c>
      <c r="B21" s="8"/>
      <c r="C21" s="8"/>
      <c r="D21" s="8"/>
      <c r="E21" s="8">
        <f>E19</f>
        <v>2385.64</v>
      </c>
      <c r="F21" s="8">
        <f>F19</f>
        <v>2317.14</v>
      </c>
      <c r="G21" s="8">
        <f>G19</f>
        <v>2036.1859999999999</v>
      </c>
      <c r="H21" s="8">
        <v>2424.386</v>
      </c>
      <c r="I21" s="9">
        <f>I3</f>
        <v>2441.0129999999999</v>
      </c>
      <c r="J21" s="21"/>
      <c r="K21" s="39"/>
    </row>
    <row r="22" spans="1:11" s="1" customFormat="1" x14ac:dyDescent="0.25">
      <c r="A22" s="38" t="s">
        <v>89</v>
      </c>
      <c r="B22" s="8"/>
      <c r="C22" s="8"/>
      <c r="D22" s="8"/>
      <c r="E22" s="8"/>
      <c r="F22" s="8"/>
      <c r="G22" s="8"/>
      <c r="H22" s="8"/>
      <c r="I22" s="51">
        <f>1499.338/2613.721</f>
        <v>0.57364118052385848</v>
      </c>
      <c r="K22" s="21"/>
    </row>
    <row r="23" spans="1:11" s="1" customFormat="1" x14ac:dyDescent="0.25">
      <c r="A23" s="38" t="s">
        <v>90</v>
      </c>
      <c r="B23" s="8"/>
      <c r="C23" s="8"/>
      <c r="D23" s="8"/>
      <c r="E23" s="8"/>
      <c r="F23" s="8"/>
      <c r="G23" s="8"/>
      <c r="H23" s="8"/>
      <c r="I23" s="43">
        <f>1-I22</f>
        <v>0.42635881947614152</v>
      </c>
      <c r="K23" s="21"/>
    </row>
    <row r="24" spans="1:11" x14ac:dyDescent="0.25">
      <c r="A24" s="7" t="s">
        <v>5</v>
      </c>
      <c r="B24" s="8"/>
      <c r="C24" s="8"/>
      <c r="D24" s="8"/>
      <c r="E24" s="8"/>
      <c r="F24" s="8"/>
      <c r="G24" s="8"/>
      <c r="H24" s="8"/>
      <c r="I24" s="9">
        <f>I4</f>
        <v>-1314.577</v>
      </c>
      <c r="J24" s="21"/>
      <c r="K24" s="39"/>
    </row>
    <row r="25" spans="1:11" x14ac:dyDescent="0.25">
      <c r="A25" s="7" t="s">
        <v>40</v>
      </c>
      <c r="B25" s="8"/>
      <c r="C25" s="8">
        <f>C21+C24</f>
        <v>0</v>
      </c>
      <c r="D25" s="8">
        <f t="shared" ref="D25:I25" si="28">D21+D24</f>
        <v>0</v>
      </c>
      <c r="E25" s="8">
        <f t="shared" si="28"/>
        <v>2385.64</v>
      </c>
      <c r="F25" s="8">
        <f t="shared" si="28"/>
        <v>2317.14</v>
      </c>
      <c r="G25" s="8">
        <f t="shared" si="28"/>
        <v>2036.1859999999999</v>
      </c>
      <c r="H25" s="8">
        <f t="shared" si="28"/>
        <v>2424.386</v>
      </c>
      <c r="I25" s="9">
        <f t="shared" si="28"/>
        <v>1126.4359999999999</v>
      </c>
      <c r="K25" s="39"/>
    </row>
    <row r="26" spans="1:11" x14ac:dyDescent="0.25">
      <c r="A26" s="59" t="s">
        <v>30</v>
      </c>
      <c r="B26" s="60"/>
      <c r="C26" s="60" t="e">
        <f>C25/C$21</f>
        <v>#DIV/0!</v>
      </c>
      <c r="D26" s="60" t="e">
        <f t="shared" ref="D26:I26" si="29">D25/D$21</f>
        <v>#DIV/0!</v>
      </c>
      <c r="E26" s="60">
        <f t="shared" si="29"/>
        <v>1</v>
      </c>
      <c r="F26" s="60">
        <f t="shared" si="29"/>
        <v>1</v>
      </c>
      <c r="G26" s="60">
        <f t="shared" si="29"/>
        <v>1</v>
      </c>
      <c r="H26" s="60">
        <f t="shared" si="29"/>
        <v>1</v>
      </c>
      <c r="I26" s="61">
        <f t="shared" si="29"/>
        <v>0.46146251576701963</v>
      </c>
    </row>
    <row r="27" spans="1:11" x14ac:dyDescent="0.25">
      <c r="A27" s="7" t="s">
        <v>41</v>
      </c>
      <c r="B27" s="8"/>
      <c r="C27" s="8"/>
      <c r="D27" s="8"/>
      <c r="E27" s="44">
        <v>-1667.1120000000001</v>
      </c>
      <c r="F27" s="44">
        <v>-1806.2550000000001</v>
      </c>
      <c r="G27" s="44">
        <v>-1598.9090000000001</v>
      </c>
      <c r="H27" s="8"/>
      <c r="I27" s="9">
        <f>I6</f>
        <v>-677.23400000000004</v>
      </c>
      <c r="J27" s="39"/>
      <c r="K27" s="39"/>
    </row>
    <row r="28" spans="1:11" x14ac:dyDescent="0.25">
      <c r="A28" s="7" t="s">
        <v>42</v>
      </c>
      <c r="B28" s="8"/>
      <c r="C28" s="8">
        <f t="shared" ref="C28:I28" si="30">C25+C27</f>
        <v>0</v>
      </c>
      <c r="D28" s="8">
        <f t="shared" si="30"/>
        <v>0</v>
      </c>
      <c r="E28" s="8">
        <f t="shared" si="30"/>
        <v>718.52799999999979</v>
      </c>
      <c r="F28" s="8">
        <f t="shared" si="30"/>
        <v>510.88499999999976</v>
      </c>
      <c r="G28" s="8">
        <f t="shared" si="30"/>
        <v>437.27699999999982</v>
      </c>
      <c r="H28" s="44">
        <v>668.66</v>
      </c>
      <c r="I28" s="9">
        <f t="shared" si="30"/>
        <v>449.20199999999988</v>
      </c>
      <c r="K28" s="39"/>
    </row>
    <row r="29" spans="1:11" s="1" customFormat="1" x14ac:dyDescent="0.25">
      <c r="A29" s="59" t="s">
        <v>105</v>
      </c>
      <c r="B29" s="8"/>
      <c r="C29" s="60" t="e">
        <f>C28/C$21</f>
        <v>#DIV/0!</v>
      </c>
      <c r="D29" s="60" t="e">
        <f t="shared" ref="D29" si="31">D28/D$21</f>
        <v>#DIV/0!</v>
      </c>
      <c r="E29" s="60">
        <f t="shared" ref="E29" si="32">E28/E$21</f>
        <v>0.3011887795308596</v>
      </c>
      <c r="F29" s="60">
        <f t="shared" ref="F29" si="33">F28/F$21</f>
        <v>0.22048085139439128</v>
      </c>
      <c r="G29" s="60">
        <f t="shared" ref="G29" si="34">G28/G$21</f>
        <v>0.21475297443357327</v>
      </c>
      <c r="H29" s="60">
        <f t="shared" ref="H29" si="35">H28/H$21</f>
        <v>0.27580591539466076</v>
      </c>
      <c r="I29" s="61">
        <f t="shared" ref="I29" si="36">I28/I$21</f>
        <v>0.18402278070620676</v>
      </c>
      <c r="K29" s="75"/>
    </row>
    <row r="30" spans="1:11" s="1" customFormat="1" x14ac:dyDescent="0.25">
      <c r="A30" s="59" t="s">
        <v>106</v>
      </c>
      <c r="B30" s="8"/>
      <c r="C30" s="74" t="e">
        <f t="shared" ref="C30:H30" si="37">C25/C28</f>
        <v>#DIV/0!</v>
      </c>
      <c r="D30" s="74" t="e">
        <f t="shared" si="37"/>
        <v>#DIV/0!</v>
      </c>
      <c r="E30" s="74">
        <f t="shared" si="37"/>
        <v>3.3201768059143144</v>
      </c>
      <c r="F30" s="74">
        <f t="shared" si="37"/>
        <v>4.5355412666255637</v>
      </c>
      <c r="G30" s="74">
        <f t="shared" si="37"/>
        <v>4.6565129197282289</v>
      </c>
      <c r="H30" s="74">
        <f t="shared" si="37"/>
        <v>3.6257380432506805</v>
      </c>
      <c r="I30" s="73">
        <f>I25/I28</f>
        <v>2.5076379891451959</v>
      </c>
    </row>
    <row r="31" spans="1:11" x14ac:dyDescent="0.25">
      <c r="A31" s="7" t="s">
        <v>43</v>
      </c>
      <c r="B31" s="8"/>
      <c r="C31" s="8"/>
      <c r="D31" s="8"/>
      <c r="E31" s="8"/>
      <c r="F31" s="8"/>
      <c r="G31" s="8"/>
      <c r="H31" s="8">
        <f>H8</f>
        <v>-93.09</v>
      </c>
      <c r="I31" s="9">
        <f>I8</f>
        <v>-62.878999999999998</v>
      </c>
    </row>
    <row r="32" spans="1:11" x14ac:dyDescent="0.25">
      <c r="A32" s="7" t="s">
        <v>44</v>
      </c>
      <c r="B32" s="8"/>
      <c r="C32" s="8">
        <f t="shared" ref="C32:I32" si="38">C28+C31</f>
        <v>0</v>
      </c>
      <c r="D32" s="8">
        <f t="shared" si="38"/>
        <v>0</v>
      </c>
      <c r="E32" s="8">
        <f t="shared" si="38"/>
        <v>718.52799999999979</v>
      </c>
      <c r="F32" s="8">
        <f t="shared" si="38"/>
        <v>510.88499999999976</v>
      </c>
      <c r="G32" s="8">
        <f t="shared" si="38"/>
        <v>437.27699999999982</v>
      </c>
      <c r="H32" s="8">
        <f t="shared" si="38"/>
        <v>575.56999999999994</v>
      </c>
      <c r="I32" s="9">
        <f t="shared" si="38"/>
        <v>386.32299999999987</v>
      </c>
    </row>
    <row r="33" spans="1:12" x14ac:dyDescent="0.25">
      <c r="A33" s="7" t="s">
        <v>45</v>
      </c>
      <c r="B33" s="8"/>
      <c r="C33" s="8"/>
      <c r="D33" s="8"/>
      <c r="E33" s="8"/>
      <c r="F33" s="8"/>
      <c r="G33" s="8"/>
      <c r="H33" s="8">
        <f>H10</f>
        <v>-112.879</v>
      </c>
      <c r="I33" s="9">
        <f>I10</f>
        <v>-42.018000000000001</v>
      </c>
    </row>
    <row r="34" spans="1:12" x14ac:dyDescent="0.25">
      <c r="A34" s="7" t="s">
        <v>46</v>
      </c>
      <c r="B34" s="8"/>
      <c r="C34" s="8">
        <f t="shared" ref="C34:I34" si="39">C32+C33</f>
        <v>0</v>
      </c>
      <c r="D34" s="8">
        <f t="shared" si="39"/>
        <v>0</v>
      </c>
      <c r="E34" s="8">
        <f t="shared" si="39"/>
        <v>718.52799999999979</v>
      </c>
      <c r="F34" s="8">
        <f t="shared" si="39"/>
        <v>510.88499999999976</v>
      </c>
      <c r="G34" s="8">
        <f t="shared" si="39"/>
        <v>437.27699999999982</v>
      </c>
      <c r="H34" s="8">
        <f t="shared" si="39"/>
        <v>462.69099999999992</v>
      </c>
      <c r="I34" s="9">
        <f t="shared" si="39"/>
        <v>344.30499999999984</v>
      </c>
    </row>
    <row r="35" spans="1:12" x14ac:dyDescent="0.25">
      <c r="A35" s="7" t="s">
        <v>47</v>
      </c>
      <c r="B35" s="8"/>
      <c r="C35" s="8"/>
      <c r="D35" s="8"/>
      <c r="E35" s="8"/>
      <c r="F35" s="8"/>
      <c r="G35" s="8"/>
      <c r="H35" s="44">
        <f>-197.351-(-123.035)</f>
        <v>-74.316000000000003</v>
      </c>
      <c r="I35" s="45">
        <v>-97.863</v>
      </c>
    </row>
    <row r="36" spans="1:12" x14ac:dyDescent="0.25">
      <c r="A36" s="7" t="s">
        <v>48</v>
      </c>
      <c r="B36" s="8"/>
      <c r="C36" s="8">
        <f>C34+C35</f>
        <v>0</v>
      </c>
      <c r="D36" s="8">
        <f t="shared" ref="D36:H36" si="40">D34+D35</f>
        <v>0</v>
      </c>
      <c r="E36" s="8">
        <f t="shared" si="40"/>
        <v>718.52799999999979</v>
      </c>
      <c r="F36" s="8">
        <f t="shared" si="40"/>
        <v>510.88499999999976</v>
      </c>
      <c r="G36" s="8">
        <f t="shared" ref="G36" si="41">G34+G35</f>
        <v>437.27699999999982</v>
      </c>
      <c r="H36" s="8">
        <f t="shared" si="40"/>
        <v>388.37499999999989</v>
      </c>
      <c r="I36" s="9">
        <f>I34+I35</f>
        <v>246.44199999999984</v>
      </c>
      <c r="K36" s="57"/>
      <c r="L36" s="58"/>
    </row>
    <row r="37" spans="1:12" x14ac:dyDescent="0.25">
      <c r="A37" s="59" t="s">
        <v>31</v>
      </c>
      <c r="B37" s="60"/>
      <c r="C37" s="60" t="e">
        <f>C36/C$21</f>
        <v>#DIV/0!</v>
      </c>
      <c r="D37" s="60" t="e">
        <f t="shared" ref="D37:I37" si="42">D36/D$21</f>
        <v>#DIV/0!</v>
      </c>
      <c r="E37" s="60">
        <f t="shared" si="42"/>
        <v>0.3011887795308596</v>
      </c>
      <c r="F37" s="60">
        <f t="shared" si="42"/>
        <v>0.22048085139439128</v>
      </c>
      <c r="G37" s="60">
        <f t="shared" si="42"/>
        <v>0.21475297443357327</v>
      </c>
      <c r="H37" s="60">
        <f t="shared" si="42"/>
        <v>0.16019519993928355</v>
      </c>
      <c r="I37" s="61">
        <f t="shared" si="42"/>
        <v>0.10095890517584291</v>
      </c>
    </row>
    <row r="38" spans="1:12" s="1" customFormat="1" x14ac:dyDescent="0.25">
      <c r="A38" s="59" t="s">
        <v>56</v>
      </c>
      <c r="B38" s="64"/>
      <c r="C38" s="65" t="e">
        <f>-C35/C34</f>
        <v>#DIV/0!</v>
      </c>
      <c r="D38" s="65" t="e">
        <f>-D35/D34</f>
        <v>#DIV/0!</v>
      </c>
      <c r="E38" s="65">
        <f>-E35/E34</f>
        <v>0</v>
      </c>
      <c r="F38" s="65">
        <f>-F35/F34</f>
        <v>0</v>
      </c>
      <c r="G38" s="65"/>
      <c r="H38" s="65">
        <f>-H35/H34</f>
        <v>0.16061691279925483</v>
      </c>
      <c r="I38" s="66">
        <f>-I35/I34</f>
        <v>0.2842334558022685</v>
      </c>
      <c r="K38" s="57"/>
      <c r="L38" s="58"/>
    </row>
    <row r="39" spans="1:12" x14ac:dyDescent="0.25">
      <c r="A39" s="34" t="s">
        <v>49</v>
      </c>
      <c r="B39" s="32"/>
      <c r="C39" s="32"/>
      <c r="D39" s="32"/>
      <c r="E39" s="32"/>
      <c r="F39" s="32"/>
      <c r="G39" s="32"/>
      <c r="H39" s="32"/>
      <c r="I39" s="35"/>
    </row>
    <row r="40" spans="1:12" x14ac:dyDescent="0.25">
      <c r="A40" s="7" t="s">
        <v>50</v>
      </c>
      <c r="B40" s="8"/>
      <c r="C40" s="8"/>
      <c r="D40" s="8"/>
      <c r="E40" s="8"/>
      <c r="F40" s="8"/>
      <c r="G40" s="8"/>
      <c r="H40" s="44">
        <v>706.87900000000002</v>
      </c>
      <c r="I40" s="45">
        <v>427.46699999999998</v>
      </c>
    </row>
    <row r="41" spans="1:12" s="1" customFormat="1" x14ac:dyDescent="0.25">
      <c r="A41" s="38" t="s">
        <v>83</v>
      </c>
      <c r="B41" s="8"/>
      <c r="C41" s="8"/>
      <c r="D41" s="8"/>
      <c r="E41" s="8"/>
      <c r="F41" s="8"/>
      <c r="G41" s="8"/>
      <c r="H41" s="46">
        <v>744.59100000000001</v>
      </c>
      <c r="I41" s="47">
        <v>445.22</v>
      </c>
    </row>
    <row r="42" spans="1:12" s="1" customFormat="1" x14ac:dyDescent="0.25">
      <c r="A42" s="38" t="s">
        <v>47</v>
      </c>
      <c r="B42" s="2"/>
      <c r="C42" s="2"/>
      <c r="D42" s="2"/>
      <c r="E42" s="2"/>
      <c r="F42" s="2"/>
      <c r="G42" s="2"/>
      <c r="H42" s="46">
        <v>-361.13299999999998</v>
      </c>
      <c r="I42" s="47">
        <v>-80.33</v>
      </c>
    </row>
    <row r="43" spans="1:12" s="1" customFormat="1" x14ac:dyDescent="0.25">
      <c r="A43" s="38" t="s">
        <v>84</v>
      </c>
      <c r="B43" s="2"/>
      <c r="C43" s="2">
        <f t="shared" ref="C43:F43" si="43">C41+C42-C40</f>
        <v>0</v>
      </c>
      <c r="D43" s="2">
        <f t="shared" si="43"/>
        <v>0</v>
      </c>
      <c r="E43" s="2">
        <f t="shared" si="43"/>
        <v>0</v>
      </c>
      <c r="F43" s="2">
        <f t="shared" si="43"/>
        <v>0</v>
      </c>
      <c r="G43" s="2"/>
      <c r="H43" s="2">
        <f>H41+H42-H40</f>
        <v>-323.42099999999999</v>
      </c>
      <c r="I43" s="3">
        <f t="shared" ref="I43" si="44">I41+I42-I40</f>
        <v>-62.576999999999941</v>
      </c>
    </row>
    <row r="44" spans="1:12" x14ac:dyDescent="0.25">
      <c r="A44" s="7" t="s">
        <v>51</v>
      </c>
      <c r="B44" s="8"/>
      <c r="C44" s="8"/>
      <c r="D44" s="8"/>
      <c r="E44" s="8"/>
      <c r="F44" s="44">
        <v>-12.606</v>
      </c>
      <c r="G44" s="44">
        <v>-14.07</v>
      </c>
      <c r="H44" s="44">
        <v>6.899</v>
      </c>
      <c r="I44" s="45">
        <v>-27.425000000000001</v>
      </c>
    </row>
    <row r="45" spans="1:12" x14ac:dyDescent="0.25">
      <c r="A45" s="7" t="s">
        <v>52</v>
      </c>
      <c r="B45" s="8"/>
      <c r="C45" s="8"/>
      <c r="D45" s="8"/>
      <c r="E45" s="8"/>
      <c r="F45" s="8"/>
      <c r="G45" s="8"/>
      <c r="H45" s="44">
        <v>-577.52200000000005</v>
      </c>
      <c r="I45" s="45">
        <v>-563.928</v>
      </c>
      <c r="J45" s="50" t="s">
        <v>71</v>
      </c>
    </row>
    <row r="46" spans="1:12" x14ac:dyDescent="0.25">
      <c r="A46" s="7" t="s">
        <v>69</v>
      </c>
      <c r="B46" s="8"/>
      <c r="C46" s="8">
        <f t="shared" ref="C46:H46" si="45">C40+C44+C45</f>
        <v>0</v>
      </c>
      <c r="D46" s="8">
        <f t="shared" si="45"/>
        <v>0</v>
      </c>
      <c r="E46" s="8">
        <f t="shared" si="45"/>
        <v>0</v>
      </c>
      <c r="F46" s="8">
        <f t="shared" si="45"/>
        <v>-12.606</v>
      </c>
      <c r="G46" s="8">
        <f t="shared" si="45"/>
        <v>-14.07</v>
      </c>
      <c r="H46" s="8">
        <f t="shared" si="45"/>
        <v>136.25599999999997</v>
      </c>
      <c r="I46" s="9">
        <f>I40+I44+I45</f>
        <v>-163.88600000000002</v>
      </c>
      <c r="J46" s="50"/>
    </row>
    <row r="47" spans="1:12" x14ac:dyDescent="0.25">
      <c r="A47" s="34" t="s">
        <v>39</v>
      </c>
      <c r="B47" s="32"/>
      <c r="C47" s="32"/>
      <c r="D47" s="32"/>
      <c r="E47" s="32"/>
      <c r="F47" s="32"/>
      <c r="G47" s="32"/>
      <c r="H47" s="32"/>
      <c r="I47" s="35"/>
      <c r="J47" s="50"/>
    </row>
    <row r="48" spans="1:12" x14ac:dyDescent="0.25">
      <c r="A48" s="7" t="s">
        <v>6</v>
      </c>
      <c r="B48" s="8"/>
      <c r="C48" s="44"/>
      <c r="D48" s="44"/>
      <c r="E48" s="44"/>
      <c r="F48" s="44"/>
      <c r="G48" s="44"/>
      <c r="H48" s="44">
        <v>1619.2360000000001</v>
      </c>
      <c r="I48" s="45">
        <v>1762.413</v>
      </c>
      <c r="J48" s="50"/>
    </row>
    <row r="49" spans="1:10" x14ac:dyDescent="0.25">
      <c r="A49" s="7" t="s">
        <v>7</v>
      </c>
      <c r="B49" s="8"/>
      <c r="C49" s="8">
        <f t="shared" ref="C49:D49" si="46">C50+C51</f>
        <v>0</v>
      </c>
      <c r="D49" s="8">
        <f t="shared" si="46"/>
        <v>0</v>
      </c>
      <c r="E49" s="44"/>
      <c r="F49" s="44">
        <v>310.99400000000003</v>
      </c>
      <c r="G49" s="44">
        <v>454.67</v>
      </c>
      <c r="H49" s="8">
        <f>H50+H51</f>
        <v>284.96300000000002</v>
      </c>
      <c r="I49" s="9">
        <f t="shared" ref="I49" si="47">I50+I51</f>
        <v>352.61700000000002</v>
      </c>
      <c r="J49" s="50"/>
    </row>
    <row r="50" spans="1:10" s="1" customFormat="1" x14ac:dyDescent="0.25">
      <c r="A50" s="38" t="s">
        <v>77</v>
      </c>
      <c r="B50" s="2"/>
      <c r="C50" s="46"/>
      <c r="D50" s="46"/>
      <c r="E50" s="46"/>
      <c r="F50" s="46"/>
      <c r="G50" s="46"/>
      <c r="H50" s="46">
        <f>0</f>
        <v>0</v>
      </c>
      <c r="I50" s="47">
        <f>0</f>
        <v>0</v>
      </c>
      <c r="J50" s="50"/>
    </row>
    <row r="51" spans="1:10" s="1" customFormat="1" x14ac:dyDescent="0.25">
      <c r="A51" s="38" t="s">
        <v>78</v>
      </c>
      <c r="B51" s="2"/>
      <c r="C51" s="46"/>
      <c r="D51" s="46"/>
      <c r="E51" s="46"/>
      <c r="F51" s="46"/>
      <c r="G51" s="46"/>
      <c r="H51" s="46">
        <v>284.96300000000002</v>
      </c>
      <c r="I51" s="47">
        <v>352.61700000000002</v>
      </c>
      <c r="J51" s="50" t="s">
        <v>76</v>
      </c>
    </row>
    <row r="52" spans="1:10" x14ac:dyDescent="0.25">
      <c r="A52" s="7" t="s">
        <v>11</v>
      </c>
      <c r="B52" s="8"/>
      <c r="C52" s="44"/>
      <c r="D52" s="44"/>
      <c r="E52" s="44"/>
      <c r="F52" s="44"/>
      <c r="G52" s="44"/>
      <c r="H52" s="44">
        <v>347.25299999999999</v>
      </c>
      <c r="I52" s="45">
        <v>310.41500000000002</v>
      </c>
    </row>
    <row r="53" spans="1:10" x14ac:dyDescent="0.25">
      <c r="A53" s="7" t="s">
        <v>12</v>
      </c>
      <c r="B53" s="8"/>
      <c r="C53" s="44"/>
      <c r="D53" s="44"/>
      <c r="E53" s="44"/>
      <c r="F53" s="44"/>
      <c r="G53" s="44"/>
      <c r="H53" s="44">
        <v>1196.079</v>
      </c>
      <c r="I53" s="45">
        <v>748.69100000000003</v>
      </c>
    </row>
    <row r="54" spans="1:10" x14ac:dyDescent="0.25">
      <c r="A54" s="7" t="s">
        <v>8</v>
      </c>
      <c r="B54" s="8"/>
      <c r="C54" s="44"/>
      <c r="D54" s="44"/>
      <c r="E54" s="44"/>
      <c r="F54" s="44"/>
      <c r="G54" s="44"/>
      <c r="H54" s="44">
        <v>485.745</v>
      </c>
      <c r="I54" s="45">
        <v>427.74799999999999</v>
      </c>
    </row>
    <row r="55" spans="1:10" x14ac:dyDescent="0.25">
      <c r="A55" s="7" t="s">
        <v>9</v>
      </c>
      <c r="B55" s="8"/>
      <c r="C55" s="44"/>
      <c r="D55" s="44"/>
      <c r="E55" s="44"/>
      <c r="F55" s="44"/>
      <c r="G55" s="44"/>
      <c r="H55" s="44">
        <v>698.16</v>
      </c>
      <c r="I55" s="45">
        <v>666.95299999999997</v>
      </c>
    </row>
    <row r="56" spans="1:10" s="1" customFormat="1" x14ac:dyDescent="0.25">
      <c r="A56" s="7" t="s">
        <v>75</v>
      </c>
      <c r="B56" s="8"/>
      <c r="C56" s="44"/>
      <c r="D56" s="44"/>
      <c r="E56" s="44"/>
      <c r="F56" s="44"/>
      <c r="G56" s="44"/>
      <c r="H56" s="44">
        <v>196.06299999999999</v>
      </c>
      <c r="I56" s="45">
        <v>22.091000000000001</v>
      </c>
    </row>
    <row r="57" spans="1:10" x14ac:dyDescent="0.25">
      <c r="A57" s="7" t="s">
        <v>10</v>
      </c>
      <c r="B57" s="8"/>
      <c r="C57" s="44"/>
      <c r="D57" s="44"/>
      <c r="E57" s="44"/>
      <c r="F57" s="44"/>
      <c r="G57" s="44"/>
      <c r="H57" s="44">
        <v>1637.43</v>
      </c>
      <c r="I57" s="45">
        <v>1369.222</v>
      </c>
    </row>
    <row r="58" spans="1:10" x14ac:dyDescent="0.25">
      <c r="A58" s="7" t="s">
        <v>13</v>
      </c>
      <c r="B58" s="8"/>
      <c r="C58" s="44"/>
      <c r="D58" s="44"/>
      <c r="E58" s="44"/>
      <c r="F58" s="44"/>
      <c r="G58" s="44"/>
      <c r="H58" s="44">
        <f>(312.164+1.747+0.593)</f>
        <v>314.50400000000002</v>
      </c>
      <c r="I58" s="45">
        <f>(270.508+3.433+3.835)</f>
        <v>277.77599999999995</v>
      </c>
    </row>
    <row r="59" spans="1:10" x14ac:dyDescent="0.25">
      <c r="A59" s="7" t="s">
        <v>14</v>
      </c>
      <c r="B59" s="8"/>
      <c r="C59" s="44"/>
      <c r="D59" s="44"/>
      <c r="E59" s="44"/>
      <c r="F59" s="44">
        <v>1701.162</v>
      </c>
      <c r="G59" s="44">
        <v>2064.799</v>
      </c>
      <c r="H59" s="44">
        <v>2856.4380000000001</v>
      </c>
      <c r="I59" s="45">
        <v>2555.3789999999999</v>
      </c>
    </row>
    <row r="60" spans="1:10" s="1" customFormat="1" x14ac:dyDescent="0.25">
      <c r="A60" s="34" t="s">
        <v>64</v>
      </c>
      <c r="B60" s="8"/>
      <c r="C60" s="8"/>
      <c r="D60" s="8"/>
      <c r="E60" s="8"/>
      <c r="F60" s="8"/>
      <c r="G60" s="8"/>
      <c r="H60" s="8"/>
      <c r="I60" s="9"/>
    </row>
    <row r="61" spans="1:10" s="1" customFormat="1" x14ac:dyDescent="0.25">
      <c r="A61" s="7" t="s">
        <v>63</v>
      </c>
      <c r="B61" s="8"/>
      <c r="C61" s="8"/>
      <c r="D61" s="8"/>
      <c r="E61" s="8"/>
      <c r="F61" s="8"/>
      <c r="G61" s="8"/>
      <c r="H61" s="8">
        <f>28019300/10^6</f>
        <v>28.019300000000001</v>
      </c>
      <c r="I61" s="9">
        <f t="shared" ref="I61" si="48">28019300/10^6</f>
        <v>28.019300000000001</v>
      </c>
    </row>
    <row r="62" spans="1:10" s="1" customFormat="1" x14ac:dyDescent="0.25">
      <c r="A62" s="7" t="s">
        <v>61</v>
      </c>
      <c r="B62" s="8"/>
      <c r="C62" s="8" t="e">
        <f t="shared" ref="C62:I62" si="49">C14/C$61</f>
        <v>#DIV/0!</v>
      </c>
      <c r="D62" s="8" t="e">
        <f t="shared" si="49"/>
        <v>#DIV/0!</v>
      </c>
      <c r="E62" s="8" t="e">
        <f t="shared" si="49"/>
        <v>#DIV/0!</v>
      </c>
      <c r="F62" s="8" t="e">
        <f t="shared" si="49"/>
        <v>#DIV/0!</v>
      </c>
      <c r="G62" s="8" t="e">
        <f t="shared" si="49"/>
        <v>#DIV/0!</v>
      </c>
      <c r="H62" s="8">
        <f t="shared" si="49"/>
        <v>32.179497703368739</v>
      </c>
      <c r="I62" s="9">
        <f t="shared" si="49"/>
        <v>9.8060622499491359</v>
      </c>
    </row>
    <row r="63" spans="1:10" s="1" customFormat="1" x14ac:dyDescent="0.25">
      <c r="A63" s="7" t="s">
        <v>65</v>
      </c>
      <c r="B63" s="8"/>
      <c r="C63" s="8" t="e">
        <f t="shared" ref="C63:I63" si="50">C36/C$61</f>
        <v>#DIV/0!</v>
      </c>
      <c r="D63" s="8" t="e">
        <f t="shared" si="50"/>
        <v>#DIV/0!</v>
      </c>
      <c r="E63" s="8" t="e">
        <f t="shared" si="50"/>
        <v>#DIV/0!</v>
      </c>
      <c r="F63" s="8" t="e">
        <f t="shared" si="50"/>
        <v>#DIV/0!</v>
      </c>
      <c r="G63" s="8" t="e">
        <f t="shared" si="50"/>
        <v>#DIV/0!</v>
      </c>
      <c r="H63" s="8">
        <f t="shared" si="50"/>
        <v>13.860981537725777</v>
      </c>
      <c r="I63" s="9">
        <f t="shared" si="50"/>
        <v>8.7954374306281675</v>
      </c>
    </row>
    <row r="64" spans="1:10" s="1" customFormat="1" x14ac:dyDescent="0.25">
      <c r="A64" s="7" t="s">
        <v>74</v>
      </c>
      <c r="B64" s="8"/>
      <c r="C64" s="8"/>
      <c r="D64" s="8"/>
      <c r="E64" s="8"/>
      <c r="F64" s="8"/>
      <c r="G64" s="8"/>
      <c r="H64" s="8">
        <f>5+10+1</f>
        <v>16</v>
      </c>
      <c r="I64" s="45">
        <v>0</v>
      </c>
    </row>
    <row r="65" spans="1:10" s="1" customFormat="1" x14ac:dyDescent="0.25">
      <c r="A65" s="7" t="s">
        <v>62</v>
      </c>
      <c r="B65" s="8"/>
      <c r="C65" s="8" t="e">
        <f t="shared" ref="C65:I65" si="51">C48/C$61</f>
        <v>#DIV/0!</v>
      </c>
      <c r="D65" s="8" t="e">
        <f t="shared" si="51"/>
        <v>#DIV/0!</v>
      </c>
      <c r="E65" s="8" t="e">
        <f t="shared" si="51"/>
        <v>#DIV/0!</v>
      </c>
      <c r="F65" s="8" t="e">
        <f t="shared" si="51"/>
        <v>#DIV/0!</v>
      </c>
      <c r="G65" s="8" t="e">
        <f t="shared" si="51"/>
        <v>#DIV/0!</v>
      </c>
      <c r="H65" s="8">
        <f t="shared" si="51"/>
        <v>57.790023305364521</v>
      </c>
      <c r="I65" s="9">
        <f t="shared" si="51"/>
        <v>62.899965381005231</v>
      </c>
    </row>
    <row r="66" spans="1:10" s="1" customFormat="1" x14ac:dyDescent="0.25">
      <c r="A66" s="7" t="s">
        <v>66</v>
      </c>
      <c r="B66" s="8"/>
      <c r="C66" s="8" t="e">
        <f t="shared" ref="C66:I66" si="52">C56/C$61</f>
        <v>#DIV/0!</v>
      </c>
      <c r="D66" s="8" t="e">
        <f t="shared" si="52"/>
        <v>#DIV/0!</v>
      </c>
      <c r="E66" s="8" t="e">
        <f t="shared" si="52"/>
        <v>#DIV/0!</v>
      </c>
      <c r="F66" s="8" t="e">
        <f t="shared" si="52"/>
        <v>#DIV/0!</v>
      </c>
      <c r="G66" s="8" t="e">
        <f t="shared" si="52"/>
        <v>#DIV/0!</v>
      </c>
      <c r="H66" s="8">
        <f t="shared" si="52"/>
        <v>6.9974267736881357</v>
      </c>
      <c r="I66" s="9">
        <f t="shared" si="52"/>
        <v>0.788420838493467</v>
      </c>
    </row>
    <row r="67" spans="1:10" s="1" customFormat="1" x14ac:dyDescent="0.25">
      <c r="A67" s="7" t="s">
        <v>85</v>
      </c>
      <c r="B67" s="8"/>
      <c r="C67" s="37" t="e">
        <f>C40/C$61</f>
        <v>#DIV/0!</v>
      </c>
      <c r="D67" s="8" t="e">
        <f t="shared" ref="D67:I67" si="53">D40/D$61</f>
        <v>#DIV/0!</v>
      </c>
      <c r="E67" s="8" t="e">
        <f t="shared" si="53"/>
        <v>#DIV/0!</v>
      </c>
      <c r="F67" s="8" t="e">
        <f t="shared" si="53"/>
        <v>#DIV/0!</v>
      </c>
      <c r="G67" s="8" t="e">
        <f t="shared" si="53"/>
        <v>#DIV/0!</v>
      </c>
      <c r="H67" s="8">
        <f t="shared" si="53"/>
        <v>25.228289072175251</v>
      </c>
      <c r="I67" s="9">
        <f t="shared" si="53"/>
        <v>15.256162716413328</v>
      </c>
    </row>
    <row r="68" spans="1:10" x14ac:dyDescent="0.25">
      <c r="A68" s="31" t="s">
        <v>103</v>
      </c>
      <c r="B68" s="30"/>
      <c r="C68" s="30"/>
      <c r="D68" s="30"/>
      <c r="E68" s="30"/>
      <c r="F68" s="30"/>
      <c r="G68" s="30"/>
      <c r="H68" s="30"/>
      <c r="I68" s="36"/>
    </row>
    <row r="69" spans="1:10" x14ac:dyDescent="0.25">
      <c r="A69" s="7" t="s">
        <v>16</v>
      </c>
      <c r="B69" s="11"/>
      <c r="C69" s="37" t="e">
        <f t="shared" ref="C69:I69" si="54">C21/AVERAGE(B54:C54)</f>
        <v>#DIV/0!</v>
      </c>
      <c r="D69" s="11" t="e">
        <f t="shared" si="54"/>
        <v>#DIV/0!</v>
      </c>
      <c r="E69" s="11" t="e">
        <f t="shared" si="54"/>
        <v>#DIV/0!</v>
      </c>
      <c r="F69" s="11" t="e">
        <f t="shared" si="54"/>
        <v>#DIV/0!</v>
      </c>
      <c r="G69" s="11" t="e">
        <f t="shared" si="54"/>
        <v>#DIV/0!</v>
      </c>
      <c r="H69" s="11">
        <f t="shared" si="54"/>
        <v>4.991067329565924</v>
      </c>
      <c r="I69" s="12">
        <f t="shared" si="54"/>
        <v>5.344349655662386</v>
      </c>
    </row>
    <row r="70" spans="1:10" x14ac:dyDescent="0.25">
      <c r="A70" s="7" t="s">
        <v>17</v>
      </c>
      <c r="B70" s="13"/>
      <c r="C70" s="8" t="e">
        <f>-365/C69</f>
        <v>#DIV/0!</v>
      </c>
      <c r="D70" s="8" t="e">
        <f>366/D69</f>
        <v>#DIV/0!</v>
      </c>
      <c r="E70" s="8" t="e">
        <f t="shared" ref="E70:I70" si="55">365/E69</f>
        <v>#DIV/0!</v>
      </c>
      <c r="F70" s="8" t="e">
        <f t="shared" si="55"/>
        <v>#DIV/0!</v>
      </c>
      <c r="G70" s="8" t="e">
        <f t="shared" si="55"/>
        <v>#DIV/0!</v>
      </c>
      <c r="H70" s="8">
        <f>366/H69</f>
        <v>73.331008346030714</v>
      </c>
      <c r="I70" s="9">
        <f t="shared" si="55"/>
        <v>68.29642959705663</v>
      </c>
    </row>
    <row r="71" spans="1:10" x14ac:dyDescent="0.25">
      <c r="A71" s="7" t="s">
        <v>18</v>
      </c>
      <c r="B71" s="13"/>
      <c r="C71" s="11" t="e">
        <f t="shared" ref="C71:I71" si="56">C21/AVERAGE(B55:C55)</f>
        <v>#DIV/0!</v>
      </c>
      <c r="D71" s="11" t="e">
        <f t="shared" si="56"/>
        <v>#DIV/0!</v>
      </c>
      <c r="E71" s="11" t="e">
        <f t="shared" si="56"/>
        <v>#DIV/0!</v>
      </c>
      <c r="F71" s="11" t="e">
        <f t="shared" si="56"/>
        <v>#DIV/0!</v>
      </c>
      <c r="G71" s="11" t="e">
        <f t="shared" si="56"/>
        <v>#DIV/0!</v>
      </c>
      <c r="H71" s="11">
        <f t="shared" si="56"/>
        <v>3.4725363813452503</v>
      </c>
      <c r="I71" s="12">
        <f t="shared" si="56"/>
        <v>3.5762797658508858</v>
      </c>
    </row>
    <row r="72" spans="1:10" x14ac:dyDescent="0.25">
      <c r="A72" s="7" t="s">
        <v>102</v>
      </c>
      <c r="B72" s="11"/>
      <c r="C72" s="8" t="e">
        <f t="shared" ref="C72" si="57">365/C71</f>
        <v>#DIV/0!</v>
      </c>
      <c r="D72" s="8" t="e">
        <f>366/D71</f>
        <v>#DIV/0!</v>
      </c>
      <c r="E72" s="8" t="e">
        <f t="shared" ref="E72:G72" si="58">365/E71</f>
        <v>#DIV/0!</v>
      </c>
      <c r="F72" s="8" t="e">
        <f t="shared" si="58"/>
        <v>#DIV/0!</v>
      </c>
      <c r="G72" s="8" t="e">
        <f t="shared" si="58"/>
        <v>#DIV/0!</v>
      </c>
      <c r="H72" s="8">
        <f>366/H71</f>
        <v>105.39846377598286</v>
      </c>
      <c r="I72" s="9">
        <f t="shared" ref="I72" si="59">365/I71</f>
        <v>102.06136653102625</v>
      </c>
    </row>
    <row r="73" spans="1:10" x14ac:dyDescent="0.25">
      <c r="A73" s="7" t="s">
        <v>19</v>
      </c>
      <c r="B73" s="13"/>
      <c r="C73" s="37" t="e">
        <f t="shared" ref="C73:I73" si="60">C21/AVERAGE(B52:C52)</f>
        <v>#DIV/0!</v>
      </c>
      <c r="D73" s="11" t="e">
        <f t="shared" si="60"/>
        <v>#DIV/0!</v>
      </c>
      <c r="E73" s="11" t="e">
        <f t="shared" si="60"/>
        <v>#DIV/0!</v>
      </c>
      <c r="F73" s="11" t="e">
        <f t="shared" si="60"/>
        <v>#DIV/0!</v>
      </c>
      <c r="G73" s="11" t="e">
        <f t="shared" si="60"/>
        <v>#DIV/0!</v>
      </c>
      <c r="H73" s="11">
        <f t="shared" si="60"/>
        <v>6.9816128298387632</v>
      </c>
      <c r="I73" s="12">
        <f t="shared" si="60"/>
        <v>7.4232378646976889</v>
      </c>
    </row>
    <row r="74" spans="1:10" x14ac:dyDescent="0.25">
      <c r="A74" s="7" t="s">
        <v>20</v>
      </c>
      <c r="B74" s="13"/>
      <c r="C74" s="8" t="e">
        <f t="shared" ref="C74" si="61">365/C73</f>
        <v>#DIV/0!</v>
      </c>
      <c r="D74" s="8" t="e">
        <f>366/D73</f>
        <v>#DIV/0!</v>
      </c>
      <c r="E74" s="8" t="e">
        <f t="shared" ref="E74:G74" si="62">365/E73</f>
        <v>#DIV/0!</v>
      </c>
      <c r="F74" s="8" t="e">
        <f t="shared" si="62"/>
        <v>#DIV/0!</v>
      </c>
      <c r="G74" s="8" t="e">
        <f t="shared" si="62"/>
        <v>#DIV/0!</v>
      </c>
      <c r="H74" s="8">
        <f>366/H73</f>
        <v>52.423416898134207</v>
      </c>
      <c r="I74" s="9">
        <f t="shared" ref="I74" si="63">365/I73</f>
        <v>49.169918390438724</v>
      </c>
    </row>
    <row r="75" spans="1:10" s="1" customFormat="1" x14ac:dyDescent="0.25">
      <c r="A75" s="7" t="s">
        <v>35</v>
      </c>
      <c r="B75" s="33"/>
      <c r="C75" s="33">
        <f t="shared" ref="C75:I75" si="64">C57-C53-C56</f>
        <v>0</v>
      </c>
      <c r="D75" s="33">
        <f t="shared" si="64"/>
        <v>0</v>
      </c>
      <c r="E75" s="33">
        <f t="shared" si="64"/>
        <v>0</v>
      </c>
      <c r="F75" s="33">
        <f t="shared" si="64"/>
        <v>0</v>
      </c>
      <c r="G75" s="33">
        <f t="shared" si="64"/>
        <v>0</v>
      </c>
      <c r="H75" s="33">
        <f t="shared" si="64"/>
        <v>245.28800000000012</v>
      </c>
      <c r="I75" s="9">
        <f t="shared" si="64"/>
        <v>598.43999999999994</v>
      </c>
      <c r="J75" s="39"/>
    </row>
    <row r="76" spans="1:10" x14ac:dyDescent="0.25">
      <c r="A76" s="7" t="s">
        <v>21</v>
      </c>
      <c r="B76" s="13"/>
      <c r="C76" s="11" t="e">
        <f>C$21/AVERAGE(B75:C75)</f>
        <v>#DIV/0!</v>
      </c>
      <c r="D76" s="11" t="e">
        <f t="shared" ref="D76:I76" si="65">D$21/AVERAGE(C75:D75)</f>
        <v>#DIV/0!</v>
      </c>
      <c r="E76" s="11" t="e">
        <f t="shared" si="65"/>
        <v>#DIV/0!</v>
      </c>
      <c r="F76" s="11" t="e">
        <f t="shared" si="65"/>
        <v>#DIV/0!</v>
      </c>
      <c r="G76" s="11" t="e">
        <f t="shared" si="65"/>
        <v>#DIV/0!</v>
      </c>
      <c r="H76" s="11">
        <f t="shared" si="65"/>
        <v>19.767669025798234</v>
      </c>
      <c r="I76" s="12">
        <f t="shared" si="65"/>
        <v>5.7862557601501896</v>
      </c>
    </row>
    <row r="77" spans="1:10" s="1" customFormat="1" x14ac:dyDescent="0.25">
      <c r="A77" s="7" t="s">
        <v>68</v>
      </c>
      <c r="B77" s="13"/>
      <c r="C77" s="11" t="e">
        <f t="shared" ref="C77:H77" si="66">(C72+C70)-C74</f>
        <v>#DIV/0!</v>
      </c>
      <c r="D77" s="11" t="e">
        <f t="shared" si="66"/>
        <v>#DIV/0!</v>
      </c>
      <c r="E77" s="11" t="e">
        <f t="shared" si="66"/>
        <v>#DIV/0!</v>
      </c>
      <c r="F77" s="11" t="e">
        <f t="shared" si="66"/>
        <v>#DIV/0!</v>
      </c>
      <c r="G77" s="11" t="e">
        <f t="shared" si="66"/>
        <v>#DIV/0!</v>
      </c>
      <c r="H77" s="11">
        <f t="shared" si="66"/>
        <v>126.30605522387938</v>
      </c>
      <c r="I77" s="12">
        <f>(I72+I70)-I74</f>
        <v>121.18787773764417</v>
      </c>
    </row>
    <row r="78" spans="1:10" s="1" customFormat="1" x14ac:dyDescent="0.25">
      <c r="A78" s="7" t="s">
        <v>67</v>
      </c>
      <c r="B78" s="13"/>
      <c r="C78" s="37" t="e">
        <f t="shared" ref="C78:I78" si="67">(C57-C56)/C53</f>
        <v>#DIV/0!</v>
      </c>
      <c r="D78" s="11" t="e">
        <f t="shared" si="67"/>
        <v>#DIV/0!</v>
      </c>
      <c r="E78" s="11" t="e">
        <f t="shared" si="67"/>
        <v>#DIV/0!</v>
      </c>
      <c r="F78" s="11" t="e">
        <f t="shared" si="67"/>
        <v>#DIV/0!</v>
      </c>
      <c r="G78" s="11" t="e">
        <f t="shared" si="67"/>
        <v>#DIV/0!</v>
      </c>
      <c r="H78" s="11">
        <f t="shared" si="67"/>
        <v>1.2050767549635102</v>
      </c>
      <c r="I78" s="12">
        <f t="shared" si="67"/>
        <v>1.7993150712376669</v>
      </c>
    </row>
    <row r="79" spans="1:10" x14ac:dyDescent="0.25">
      <c r="A79" s="7" t="s">
        <v>24</v>
      </c>
      <c r="B79" s="11"/>
      <c r="C79" s="11" t="e">
        <f t="shared" ref="C79:I79" si="68">C57/C53</f>
        <v>#DIV/0!</v>
      </c>
      <c r="D79" s="11" t="e">
        <f t="shared" si="68"/>
        <v>#DIV/0!</v>
      </c>
      <c r="E79" s="11" t="e">
        <f t="shared" si="68"/>
        <v>#DIV/0!</v>
      </c>
      <c r="F79" s="11" t="e">
        <f t="shared" si="68"/>
        <v>#DIV/0!</v>
      </c>
      <c r="G79" s="11" t="e">
        <f t="shared" si="68"/>
        <v>#DIV/0!</v>
      </c>
      <c r="H79" s="11">
        <f t="shared" si="68"/>
        <v>1.3689982016238058</v>
      </c>
      <c r="I79" s="12">
        <f t="shared" si="68"/>
        <v>1.8288212359972271</v>
      </c>
    </row>
    <row r="80" spans="1:10" x14ac:dyDescent="0.25">
      <c r="A80" s="7" t="s">
        <v>22</v>
      </c>
      <c r="B80" s="13"/>
      <c r="C80" s="11" t="e">
        <f>C$21/AVERAGE(C58:C58)</f>
        <v>#DIV/0!</v>
      </c>
      <c r="D80" s="11" t="e">
        <f t="shared" ref="D80:I81" si="69">D$21/AVERAGE(C58:D58)</f>
        <v>#DIV/0!</v>
      </c>
      <c r="E80" s="11" t="e">
        <f t="shared" si="69"/>
        <v>#DIV/0!</v>
      </c>
      <c r="F80" s="11" t="e">
        <f t="shared" si="69"/>
        <v>#DIV/0!</v>
      </c>
      <c r="G80" s="11" t="e">
        <f t="shared" si="69"/>
        <v>#DIV/0!</v>
      </c>
      <c r="H80" s="11">
        <f t="shared" si="69"/>
        <v>7.7086014804263217</v>
      </c>
      <c r="I80" s="12">
        <f t="shared" si="69"/>
        <v>8.242766934557979</v>
      </c>
    </row>
    <row r="81" spans="1:9" x14ac:dyDescent="0.25">
      <c r="A81" s="7" t="s">
        <v>23</v>
      </c>
      <c r="B81" s="13"/>
      <c r="C81" s="11" t="e">
        <f>C$21/AVERAGE(C59:C59)</f>
        <v>#DIV/0!</v>
      </c>
      <c r="D81" s="11" t="e">
        <f t="shared" si="69"/>
        <v>#DIV/0!</v>
      </c>
      <c r="E81" s="11" t="e">
        <f t="shared" si="69"/>
        <v>#DIV/0!</v>
      </c>
      <c r="F81" s="11">
        <f t="shared" si="69"/>
        <v>1.3620924991270671</v>
      </c>
      <c r="G81" s="11">
        <f t="shared" si="69"/>
        <v>1.081363296114856</v>
      </c>
      <c r="H81" s="11">
        <f t="shared" si="69"/>
        <v>0.98527504365264262</v>
      </c>
      <c r="I81" s="12">
        <f t="shared" si="69"/>
        <v>0.9021047829222606</v>
      </c>
    </row>
    <row r="82" spans="1:9" x14ac:dyDescent="0.25">
      <c r="A82" s="31" t="s">
        <v>25</v>
      </c>
      <c r="B82" s="30"/>
      <c r="C82" s="30"/>
      <c r="D82" s="30"/>
      <c r="E82" s="30"/>
      <c r="F82" s="30"/>
      <c r="G82" s="30"/>
      <c r="H82" s="30"/>
      <c r="I82" s="36"/>
    </row>
    <row r="83" spans="1:9" x14ac:dyDescent="0.25">
      <c r="A83" s="7" t="s">
        <v>26</v>
      </c>
      <c r="B83" s="14"/>
      <c r="C83" s="14" t="e">
        <f t="shared" ref="C83:I83" si="70">C49/C59</f>
        <v>#DIV/0!</v>
      </c>
      <c r="D83" s="14" t="e">
        <f t="shared" si="70"/>
        <v>#DIV/0!</v>
      </c>
      <c r="E83" s="14" t="e">
        <f t="shared" si="70"/>
        <v>#DIV/0!</v>
      </c>
      <c r="F83" s="14">
        <f t="shared" si="70"/>
        <v>0.18281268920890545</v>
      </c>
      <c r="G83" s="14">
        <f t="shared" si="70"/>
        <v>0.22020061032575083</v>
      </c>
      <c r="H83" s="14">
        <f t="shared" si="70"/>
        <v>9.9761661201818494E-2</v>
      </c>
      <c r="I83" s="15">
        <f t="shared" si="70"/>
        <v>0.13799009853332911</v>
      </c>
    </row>
    <row r="84" spans="1:9" x14ac:dyDescent="0.25">
      <c r="A84" s="7" t="s">
        <v>27</v>
      </c>
      <c r="B84" s="14"/>
      <c r="C84" s="14" t="e">
        <f t="shared" ref="C84:I84" si="71">C49/(C48+C49)</f>
        <v>#DIV/0!</v>
      </c>
      <c r="D84" s="14" t="e">
        <f t="shared" si="71"/>
        <v>#DIV/0!</v>
      </c>
      <c r="E84" s="14" t="e">
        <f t="shared" si="71"/>
        <v>#DIV/0!</v>
      </c>
      <c r="F84" s="14">
        <f t="shared" si="71"/>
        <v>1</v>
      </c>
      <c r="G84" s="14">
        <f t="shared" si="71"/>
        <v>1</v>
      </c>
      <c r="H84" s="14">
        <f t="shared" si="71"/>
        <v>0.14964980025722102</v>
      </c>
      <c r="I84" s="15">
        <f t="shared" si="71"/>
        <v>0.16671962099828372</v>
      </c>
    </row>
    <row r="85" spans="1:9" x14ac:dyDescent="0.25">
      <c r="A85" s="7" t="s">
        <v>28</v>
      </c>
      <c r="B85" s="14"/>
      <c r="C85" s="14" t="e">
        <f t="shared" ref="C85:I85" si="72">C49/C48</f>
        <v>#DIV/0!</v>
      </c>
      <c r="D85" s="14" t="e">
        <f t="shared" si="72"/>
        <v>#DIV/0!</v>
      </c>
      <c r="E85" s="14" t="e">
        <f t="shared" si="72"/>
        <v>#DIV/0!</v>
      </c>
      <c r="F85" s="14" t="e">
        <f t="shared" si="72"/>
        <v>#DIV/0!</v>
      </c>
      <c r="G85" s="14" t="e">
        <f t="shared" si="72"/>
        <v>#DIV/0!</v>
      </c>
      <c r="H85" s="14">
        <f t="shared" si="72"/>
        <v>0.17598608232524474</v>
      </c>
      <c r="I85" s="15">
        <f t="shared" si="72"/>
        <v>0.2000762590834271</v>
      </c>
    </row>
    <row r="86" spans="1:9" x14ac:dyDescent="0.25">
      <c r="A86" s="31" t="s">
        <v>88</v>
      </c>
      <c r="B86" s="30"/>
      <c r="C86" s="30"/>
      <c r="D86" s="30"/>
      <c r="E86" s="30"/>
      <c r="F86" s="30"/>
      <c r="G86" s="30"/>
      <c r="H86" s="30"/>
      <c r="I86" s="36"/>
    </row>
    <row r="87" spans="1:9" x14ac:dyDescent="0.25">
      <c r="A87" s="31" t="s">
        <v>57</v>
      </c>
      <c r="B87" s="16"/>
      <c r="C87" s="16" t="e">
        <f>C36/AVERAGE(C48:C48)</f>
        <v>#DIV/0!</v>
      </c>
      <c r="D87" s="16" t="e">
        <f t="shared" ref="D87:I87" si="73">D36/AVERAGE(C48:D48)</f>
        <v>#DIV/0!</v>
      </c>
      <c r="E87" s="16" t="e">
        <f t="shared" si="73"/>
        <v>#DIV/0!</v>
      </c>
      <c r="F87" s="16" t="e">
        <f t="shared" si="73"/>
        <v>#DIV/0!</v>
      </c>
      <c r="G87" s="16" t="e">
        <f t="shared" si="73"/>
        <v>#DIV/0!</v>
      </c>
      <c r="H87" s="16">
        <f t="shared" si="73"/>
        <v>0.23985076912815664</v>
      </c>
      <c r="I87" s="17">
        <f t="shared" si="73"/>
        <v>0.14575256036330195</v>
      </c>
    </row>
    <row r="88" spans="1:9" s="1" customFormat="1" x14ac:dyDescent="0.25">
      <c r="A88" s="24" t="s">
        <v>32</v>
      </c>
      <c r="B88" s="25"/>
      <c r="C88" s="16" t="e">
        <f t="shared" ref="C88:I88" si="74">C37</f>
        <v>#DIV/0!</v>
      </c>
      <c r="D88" s="16" t="e">
        <f t="shared" si="74"/>
        <v>#DIV/0!</v>
      </c>
      <c r="E88" s="16">
        <f t="shared" si="74"/>
        <v>0.3011887795308596</v>
      </c>
      <c r="F88" s="16">
        <f t="shared" si="74"/>
        <v>0.22048085139439128</v>
      </c>
      <c r="G88" s="16">
        <f t="shared" si="74"/>
        <v>0.21475297443357327</v>
      </c>
      <c r="H88" s="16">
        <f t="shared" si="74"/>
        <v>0.16019519993928355</v>
      </c>
      <c r="I88" s="17">
        <f t="shared" si="74"/>
        <v>0.10095890517584291</v>
      </c>
    </row>
    <row r="89" spans="1:9" s="1" customFormat="1" x14ac:dyDescent="0.25">
      <c r="A89" s="24" t="s">
        <v>33</v>
      </c>
      <c r="B89" s="18"/>
      <c r="C89" s="18" t="e">
        <f t="shared" ref="C89:I89" si="75">C81</f>
        <v>#DIV/0!</v>
      </c>
      <c r="D89" s="18" t="e">
        <f t="shared" si="75"/>
        <v>#DIV/0!</v>
      </c>
      <c r="E89" s="18" t="e">
        <f t="shared" si="75"/>
        <v>#DIV/0!</v>
      </c>
      <c r="F89" s="18">
        <f t="shared" si="75"/>
        <v>1.3620924991270671</v>
      </c>
      <c r="G89" s="18">
        <f t="shared" si="75"/>
        <v>1.081363296114856</v>
      </c>
      <c r="H89" s="18">
        <f t="shared" si="75"/>
        <v>0.98527504365264262</v>
      </c>
      <c r="I89" s="19">
        <f t="shared" si="75"/>
        <v>0.9021047829222606</v>
      </c>
    </row>
    <row r="90" spans="1:9" s="1" customFormat="1" x14ac:dyDescent="0.25">
      <c r="A90" s="26" t="s">
        <v>29</v>
      </c>
      <c r="B90" s="18"/>
      <c r="C90" s="18" t="e">
        <f t="shared" ref="C90:I90" si="76">AVERAGE(B59:C59)/AVERAGE(B48:C48)</f>
        <v>#DIV/0!</v>
      </c>
      <c r="D90" s="18" t="e">
        <f t="shared" si="76"/>
        <v>#DIV/0!</v>
      </c>
      <c r="E90" s="18" t="e">
        <f t="shared" si="76"/>
        <v>#DIV/0!</v>
      </c>
      <c r="F90" s="18" t="e">
        <f t="shared" si="76"/>
        <v>#DIV/0!</v>
      </c>
      <c r="G90" s="18" t="e">
        <f t="shared" si="76"/>
        <v>#DIV/0!</v>
      </c>
      <c r="H90" s="18">
        <f t="shared" si="76"/>
        <v>1.5196169675081335</v>
      </c>
      <c r="I90" s="19">
        <f t="shared" si="76"/>
        <v>1.6003485281884664</v>
      </c>
    </row>
    <row r="91" spans="1:9" s="1" customFormat="1" x14ac:dyDescent="0.25">
      <c r="A91" s="27" t="s">
        <v>54</v>
      </c>
      <c r="B91" s="18"/>
      <c r="C91" s="53" t="e">
        <f t="shared" ref="C91:I91" si="77">C32/(AVERAGE(B48,C48,B49,C49))</f>
        <v>#DIV/0!</v>
      </c>
      <c r="D91" s="53" t="e">
        <f t="shared" si="77"/>
        <v>#DIV/0!</v>
      </c>
      <c r="E91" s="53" t="e">
        <f t="shared" si="77"/>
        <v>#DIV/0!</v>
      </c>
      <c r="F91" s="53">
        <f t="shared" si="77"/>
        <v>1.6427487347022762</v>
      </c>
      <c r="G91" s="53">
        <f t="shared" si="77"/>
        <v>1.1422164291386296</v>
      </c>
      <c r="H91" s="53">
        <f t="shared" si="77"/>
        <v>0.73200758499094265</v>
      </c>
      <c r="I91" s="54">
        <f t="shared" si="77"/>
        <v>0.3844747338357678</v>
      </c>
    </row>
    <row r="92" spans="1:9" s="1" customFormat="1" ht="15.75" thickBot="1" x14ac:dyDescent="0.3">
      <c r="A92" s="28" t="s">
        <v>55</v>
      </c>
      <c r="B92" s="29"/>
      <c r="C92" s="52" t="e">
        <f t="shared" ref="C92:I92" si="78">(C36-C33*(1-C38))/AVERAGE(B59,C59)</f>
        <v>#DIV/0!</v>
      </c>
      <c r="D92" s="55" t="e">
        <f t="shared" si="78"/>
        <v>#DIV/0!</v>
      </c>
      <c r="E92" s="55" t="e">
        <f t="shared" si="78"/>
        <v>#DIV/0!</v>
      </c>
      <c r="F92" s="55">
        <f t="shared" si="78"/>
        <v>0.30031531388544991</v>
      </c>
      <c r="G92" s="55">
        <f t="shared" si="78"/>
        <v>0.23222598428395821</v>
      </c>
      <c r="H92" s="55">
        <f t="shared" si="78"/>
        <v>0.19634239257330333</v>
      </c>
      <c r="I92" s="56">
        <f t="shared" si="78"/>
        <v>0.10219010681776569</v>
      </c>
    </row>
    <row r="93" spans="1:9" x14ac:dyDescent="0.25">
      <c r="A93" s="22" t="s">
        <v>34</v>
      </c>
      <c r="B93" s="23">
        <f t="shared" ref="B93:I93" si="79">B88*B89*B90-B87</f>
        <v>0</v>
      </c>
      <c r="C93" s="23" t="e">
        <f t="shared" si="79"/>
        <v>#DIV/0!</v>
      </c>
      <c r="D93" s="23" t="e">
        <f t="shared" si="79"/>
        <v>#DIV/0!</v>
      </c>
      <c r="E93" s="23" t="e">
        <f t="shared" si="79"/>
        <v>#DIV/0!</v>
      </c>
      <c r="F93" s="23" t="e">
        <f t="shared" si="79"/>
        <v>#DIV/0!</v>
      </c>
      <c r="G93" s="23" t="e">
        <f t="shared" si="79"/>
        <v>#DIV/0!</v>
      </c>
      <c r="H93" s="23">
        <f t="shared" si="79"/>
        <v>0</v>
      </c>
      <c r="I93" s="23">
        <f t="shared" si="79"/>
        <v>0</v>
      </c>
    </row>
    <row r="94" spans="1:9" x14ac:dyDescent="0.25">
      <c r="A94" s="10"/>
      <c r="B94" s="10"/>
      <c r="C94" s="10"/>
      <c r="D94" s="10"/>
      <c r="E94" s="10"/>
      <c r="F94" s="10"/>
      <c r="G94" s="10"/>
      <c r="H94" s="10"/>
      <c r="I94" s="10"/>
    </row>
    <row r="95" spans="1:9" x14ac:dyDescent="0.25">
      <c r="A95" s="10"/>
      <c r="B95" s="20"/>
      <c r="C95" s="20"/>
      <c r="D95" s="20"/>
      <c r="E95" s="20"/>
      <c r="F95" s="20"/>
      <c r="G95" s="20"/>
      <c r="H95" s="20"/>
      <c r="I95" s="20"/>
    </row>
  </sheetData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97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H2" sqref="H2"/>
    </sheetView>
  </sheetViews>
  <sheetFormatPr defaultRowHeight="15" x14ac:dyDescent="0.25"/>
  <cols>
    <col min="1" max="1" width="35.42578125" style="1" bestFit="1" customWidth="1"/>
    <col min="2" max="8" width="9.140625" style="1"/>
    <col min="9" max="9" width="11" style="1" bestFit="1" customWidth="1"/>
    <col min="10" max="11" width="9.140625" style="1"/>
    <col min="12" max="12" width="11" style="1" bestFit="1" customWidth="1"/>
    <col min="13" max="16384" width="9.140625" style="1"/>
  </cols>
  <sheetData>
    <row r="1" spans="1:11" x14ac:dyDescent="0.25">
      <c r="A1" s="4" t="s">
        <v>53</v>
      </c>
      <c r="B1" s="5"/>
      <c r="C1" s="5" t="s">
        <v>100</v>
      </c>
      <c r="D1" s="5" t="s">
        <v>99</v>
      </c>
      <c r="E1" s="5" t="s">
        <v>98</v>
      </c>
      <c r="F1" s="5" t="s">
        <v>94</v>
      </c>
      <c r="G1" s="5" t="s">
        <v>95</v>
      </c>
      <c r="H1" s="5" t="s">
        <v>96</v>
      </c>
      <c r="I1" s="5" t="s">
        <v>97</v>
      </c>
      <c r="J1" s="6" t="s">
        <v>93</v>
      </c>
      <c r="K1" s="40" t="s">
        <v>70</v>
      </c>
    </row>
    <row r="2" spans="1:11" x14ac:dyDescent="0.25">
      <c r="A2" s="34" t="s">
        <v>38</v>
      </c>
      <c r="B2" s="32"/>
      <c r="C2" s="32"/>
      <c r="D2" s="32"/>
      <c r="E2" s="32"/>
      <c r="F2" s="32"/>
      <c r="G2" s="32"/>
      <c r="H2" s="32"/>
      <c r="I2" s="32"/>
      <c r="J2" s="35"/>
    </row>
    <row r="3" spans="1:11" x14ac:dyDescent="0.25">
      <c r="A3" s="7" t="s">
        <v>58</v>
      </c>
      <c r="B3" s="8"/>
      <c r="C3" s="44"/>
      <c r="D3" s="44"/>
      <c r="E3" s="44"/>
      <c r="F3" s="44">
        <v>864.072</v>
      </c>
      <c r="G3" s="44"/>
      <c r="H3" s="44"/>
      <c r="I3" s="44">
        <v>900.05399999999997</v>
      </c>
      <c r="J3" s="45">
        <v>681.18799999999999</v>
      </c>
    </row>
    <row r="4" spans="1:11" x14ac:dyDescent="0.25">
      <c r="A4" s="7" t="s">
        <v>5</v>
      </c>
      <c r="B4" s="8"/>
      <c r="C4" s="44"/>
      <c r="D4" s="44"/>
      <c r="E4" s="44"/>
      <c r="F4" s="44">
        <v>-270.23200000000003</v>
      </c>
      <c r="G4" s="44"/>
      <c r="H4" s="44"/>
      <c r="I4" s="44">
        <v>-370.95499999999998</v>
      </c>
      <c r="J4" s="45">
        <v>-266.80700000000002</v>
      </c>
    </row>
    <row r="5" spans="1:11" x14ac:dyDescent="0.25">
      <c r="A5" s="7" t="s">
        <v>40</v>
      </c>
      <c r="B5" s="8"/>
      <c r="C5" s="8">
        <f t="shared" ref="C5:H5" si="0">C3+C4</f>
        <v>0</v>
      </c>
      <c r="D5" s="8"/>
      <c r="E5" s="8">
        <f t="shared" si="0"/>
        <v>0</v>
      </c>
      <c r="F5" s="8">
        <f>F3+F4</f>
        <v>593.83999999999992</v>
      </c>
      <c r="G5" s="8">
        <f t="shared" si="0"/>
        <v>0</v>
      </c>
      <c r="H5" s="8">
        <f t="shared" si="0"/>
        <v>0</v>
      </c>
      <c r="I5" s="8">
        <f>I3+I4</f>
        <v>529.09899999999993</v>
      </c>
      <c r="J5" s="9">
        <f>J3+J4</f>
        <v>414.38099999999997</v>
      </c>
    </row>
    <row r="6" spans="1:11" x14ac:dyDescent="0.25">
      <c r="A6" s="7" t="s">
        <v>41</v>
      </c>
      <c r="B6" s="8"/>
      <c r="C6" s="44"/>
      <c r="D6" s="44"/>
      <c r="E6" s="44"/>
      <c r="F6" s="44">
        <f>(-812.778-F4-F8)</f>
        <v>-505.96800000000007</v>
      </c>
      <c r="G6" s="44"/>
      <c r="H6" s="44"/>
      <c r="I6" s="44">
        <f>(-849.715-I4-I8)</f>
        <v>-449.67100000000005</v>
      </c>
      <c r="J6" s="45">
        <f>(-637.847-J4-J8)</f>
        <v>-334.46199999999999</v>
      </c>
    </row>
    <row r="7" spans="1:11" x14ac:dyDescent="0.25">
      <c r="A7" s="7" t="s">
        <v>42</v>
      </c>
      <c r="B7" s="8"/>
      <c r="C7" s="8">
        <f t="shared" ref="C7:J7" si="1">C5+C6</f>
        <v>0</v>
      </c>
      <c r="D7" s="8"/>
      <c r="E7" s="8">
        <f t="shared" si="1"/>
        <v>0</v>
      </c>
      <c r="F7" s="8">
        <f t="shared" si="1"/>
        <v>87.871999999999844</v>
      </c>
      <c r="G7" s="8">
        <f t="shared" si="1"/>
        <v>0</v>
      </c>
      <c r="H7" s="8">
        <f t="shared" si="1"/>
        <v>0</v>
      </c>
      <c r="I7" s="8">
        <f t="shared" si="1"/>
        <v>79.427999999999884</v>
      </c>
      <c r="J7" s="9">
        <f t="shared" si="1"/>
        <v>79.918999999999983</v>
      </c>
    </row>
    <row r="8" spans="1:11" x14ac:dyDescent="0.25">
      <c r="A8" s="7" t="s">
        <v>43</v>
      </c>
      <c r="B8" s="8"/>
      <c r="C8" s="44"/>
      <c r="D8" s="44"/>
      <c r="E8" s="44"/>
      <c r="F8" s="44">
        <v>-36.578000000000003</v>
      </c>
      <c r="G8" s="44"/>
      <c r="H8" s="44"/>
      <c r="I8" s="44">
        <v>-29.088999999999999</v>
      </c>
      <c r="J8" s="45">
        <v>-36.578000000000003</v>
      </c>
    </row>
    <row r="9" spans="1:11" x14ac:dyDescent="0.25">
      <c r="A9" s="7" t="s">
        <v>44</v>
      </c>
      <c r="B9" s="8"/>
      <c r="C9" s="8">
        <f>C7+C8</f>
        <v>0</v>
      </c>
      <c r="D9" s="8"/>
      <c r="E9" s="8">
        <f t="shared" ref="E9:J9" si="2">E7+E8</f>
        <v>0</v>
      </c>
      <c r="F9" s="8">
        <f t="shared" si="2"/>
        <v>51.293999999999841</v>
      </c>
      <c r="G9" s="8">
        <f t="shared" si="2"/>
        <v>0</v>
      </c>
      <c r="H9" s="8">
        <f t="shared" si="2"/>
        <v>0</v>
      </c>
      <c r="I9" s="8">
        <f t="shared" si="2"/>
        <v>50.338999999999885</v>
      </c>
      <c r="J9" s="9">
        <f t="shared" si="2"/>
        <v>43.34099999999998</v>
      </c>
    </row>
    <row r="10" spans="1:11" x14ac:dyDescent="0.25">
      <c r="A10" s="7" t="s">
        <v>45</v>
      </c>
      <c r="B10" s="8"/>
      <c r="C10" s="44"/>
      <c r="D10" s="44"/>
      <c r="E10" s="44"/>
      <c r="F10" s="44">
        <v>-12.875</v>
      </c>
      <c r="G10" s="44"/>
      <c r="H10" s="44"/>
      <c r="I10" s="44">
        <v>-17.661000000000001</v>
      </c>
      <c r="J10" s="45">
        <v>-16.957000000000001</v>
      </c>
    </row>
    <row r="11" spans="1:11" x14ac:dyDescent="0.25">
      <c r="A11" s="7" t="s">
        <v>101</v>
      </c>
      <c r="B11" s="8"/>
      <c r="C11" s="44"/>
      <c r="D11" s="44"/>
      <c r="E11" s="44"/>
      <c r="F11" s="44">
        <v>4.032</v>
      </c>
      <c r="G11" s="44"/>
      <c r="H11" s="44"/>
      <c r="I11" s="44">
        <v>2.8359999999999999</v>
      </c>
      <c r="J11" s="45">
        <v>1.3779999999999999</v>
      </c>
    </row>
    <row r="12" spans="1:11" x14ac:dyDescent="0.25">
      <c r="A12" s="7" t="s">
        <v>46</v>
      </c>
      <c r="B12" s="8"/>
      <c r="C12" s="8">
        <f>C9+C10+C11</f>
        <v>0</v>
      </c>
      <c r="D12" s="8"/>
      <c r="E12" s="8">
        <f t="shared" ref="E12:J12" si="3">E9+E10+E11</f>
        <v>0</v>
      </c>
      <c r="F12" s="8">
        <f t="shared" si="3"/>
        <v>42.450999999999837</v>
      </c>
      <c r="G12" s="8">
        <f t="shared" si="3"/>
        <v>0</v>
      </c>
      <c r="H12" s="8">
        <f t="shared" si="3"/>
        <v>0</v>
      </c>
      <c r="I12" s="8">
        <f t="shared" si="3"/>
        <v>35.513999999999882</v>
      </c>
      <c r="J12" s="9">
        <f t="shared" si="3"/>
        <v>27.761999999999979</v>
      </c>
    </row>
    <row r="13" spans="1:11" x14ac:dyDescent="0.25">
      <c r="A13" s="7" t="s">
        <v>47</v>
      </c>
      <c r="B13" s="8"/>
      <c r="C13" s="44"/>
      <c r="D13" s="44"/>
      <c r="E13" s="44"/>
      <c r="F13" s="44">
        <v>-18.03</v>
      </c>
      <c r="G13" s="44"/>
      <c r="H13" s="44"/>
      <c r="I13" s="44">
        <v>-14.772</v>
      </c>
      <c r="J13" s="45">
        <v>-19.332999999999998</v>
      </c>
    </row>
    <row r="14" spans="1:11" x14ac:dyDescent="0.25">
      <c r="A14" s="7" t="s">
        <v>48</v>
      </c>
      <c r="B14" s="8"/>
      <c r="C14" s="8">
        <f>C12+C13</f>
        <v>0</v>
      </c>
      <c r="D14" s="8"/>
      <c r="E14" s="8">
        <f t="shared" ref="E14:I14" si="4">E12+E13</f>
        <v>0</v>
      </c>
      <c r="F14" s="8">
        <f t="shared" si="4"/>
        <v>24.420999999999836</v>
      </c>
      <c r="G14" s="8">
        <f t="shared" si="4"/>
        <v>0</v>
      </c>
      <c r="H14" s="8"/>
      <c r="I14" s="8">
        <f t="shared" si="4"/>
        <v>20.741999999999884</v>
      </c>
      <c r="J14" s="9">
        <f>J12+J13</f>
        <v>8.4289999999999807</v>
      </c>
    </row>
    <row r="15" spans="1:11" x14ac:dyDescent="0.25">
      <c r="A15" s="68" t="s">
        <v>92</v>
      </c>
      <c r="B15" s="62"/>
      <c r="C15" s="71"/>
      <c r="D15" s="71"/>
      <c r="E15" s="71"/>
      <c r="F15" s="71"/>
      <c r="G15" s="71"/>
      <c r="H15" s="71"/>
      <c r="I15" s="71">
        <v>1.1564000000000001</v>
      </c>
      <c r="J15" s="70">
        <v>1.8009999999999999</v>
      </c>
    </row>
    <row r="16" spans="1:11" x14ac:dyDescent="0.25">
      <c r="A16" s="59" t="s">
        <v>56</v>
      </c>
      <c r="B16" s="64"/>
      <c r="C16" s="65" t="e">
        <f>-C13/C12</f>
        <v>#DIV/0!</v>
      </c>
      <c r="D16" s="65"/>
      <c r="E16" s="65" t="e">
        <f t="shared" ref="E16:J16" si="5">-E13/E12</f>
        <v>#DIV/0!</v>
      </c>
      <c r="F16" s="65">
        <f t="shared" si="5"/>
        <v>0.42472497703234485</v>
      </c>
      <c r="G16" s="65" t="e">
        <f t="shared" si="5"/>
        <v>#DIV/0!</v>
      </c>
      <c r="H16" s="65" t="e">
        <f t="shared" si="5"/>
        <v>#DIV/0!</v>
      </c>
      <c r="I16" s="65">
        <f t="shared" si="5"/>
        <v>0.41594863997296977</v>
      </c>
      <c r="J16" s="66">
        <f t="shared" si="5"/>
        <v>0.6963835458540456</v>
      </c>
    </row>
    <row r="17" spans="1:10" x14ac:dyDescent="0.25">
      <c r="A17" s="59" t="s">
        <v>72</v>
      </c>
      <c r="B17" s="64"/>
      <c r="C17" s="64">
        <f t="shared" ref="C17:H17" si="6">(C66*C62)</f>
        <v>0</v>
      </c>
      <c r="D17" s="64"/>
      <c r="E17" s="64">
        <f t="shared" si="6"/>
        <v>0</v>
      </c>
      <c r="F17" s="64">
        <f t="shared" si="6"/>
        <v>0</v>
      </c>
      <c r="G17" s="64">
        <f t="shared" si="6"/>
        <v>0</v>
      </c>
      <c r="H17" s="64">
        <f t="shared" si="6"/>
        <v>0</v>
      </c>
      <c r="I17" s="64">
        <f>(I66*I62)</f>
        <v>0</v>
      </c>
      <c r="J17" s="72">
        <f>(J66*J62)</f>
        <v>0</v>
      </c>
    </row>
    <row r="18" spans="1:10" x14ac:dyDescent="0.25">
      <c r="A18" s="59" t="s">
        <v>73</v>
      </c>
      <c r="B18" s="64"/>
      <c r="C18" s="65" t="e">
        <f t="shared" ref="C18:H18" si="7">C17/C14</f>
        <v>#DIV/0!</v>
      </c>
      <c r="D18" s="65"/>
      <c r="E18" s="65" t="e">
        <f t="shared" si="7"/>
        <v>#DIV/0!</v>
      </c>
      <c r="F18" s="65">
        <f t="shared" si="7"/>
        <v>0</v>
      </c>
      <c r="G18" s="65" t="e">
        <f t="shared" si="7"/>
        <v>#DIV/0!</v>
      </c>
      <c r="H18" s="65" t="e">
        <f t="shared" si="7"/>
        <v>#DIV/0!</v>
      </c>
      <c r="I18" s="65">
        <f>I17/I14</f>
        <v>0</v>
      </c>
      <c r="J18" s="66">
        <f>J17/J14</f>
        <v>0</v>
      </c>
    </row>
    <row r="19" spans="1:10" x14ac:dyDescent="0.25">
      <c r="A19" s="34" t="s">
        <v>60</v>
      </c>
      <c r="B19" s="32"/>
      <c r="C19" s="32"/>
      <c r="D19" s="32"/>
      <c r="E19" s="32"/>
      <c r="F19" s="32"/>
      <c r="G19" s="32"/>
      <c r="H19" s="32"/>
      <c r="I19" s="32"/>
      <c r="J19" s="35"/>
    </row>
    <row r="20" spans="1:10" x14ac:dyDescent="0.25">
      <c r="A20" s="41" t="s">
        <v>86</v>
      </c>
      <c r="B20" s="42"/>
      <c r="C20" s="44"/>
      <c r="D20" s="44"/>
      <c r="E20" s="44"/>
      <c r="F20" s="44"/>
      <c r="G20" s="44"/>
      <c r="H20" s="44"/>
      <c r="I20" s="44"/>
      <c r="J20" s="45"/>
    </row>
    <row r="21" spans="1:10" x14ac:dyDescent="0.25">
      <c r="A21" s="7" t="s">
        <v>58</v>
      </c>
      <c r="B21" s="8"/>
      <c r="C21" s="8">
        <f t="shared" ref="C21:J21" si="8">C3</f>
        <v>0</v>
      </c>
      <c r="D21" s="8">
        <f t="shared" si="8"/>
        <v>0</v>
      </c>
      <c r="E21" s="8">
        <f t="shared" si="8"/>
        <v>0</v>
      </c>
      <c r="F21" s="8">
        <f t="shared" si="8"/>
        <v>864.072</v>
      </c>
      <c r="G21" s="8">
        <f t="shared" si="8"/>
        <v>0</v>
      </c>
      <c r="H21" s="8">
        <f t="shared" si="8"/>
        <v>0</v>
      </c>
      <c r="I21" s="8">
        <f t="shared" si="8"/>
        <v>900.05399999999997</v>
      </c>
      <c r="J21" s="9">
        <f t="shared" si="8"/>
        <v>681.18799999999999</v>
      </c>
    </row>
    <row r="22" spans="1:10" x14ac:dyDescent="0.25">
      <c r="A22" s="38" t="s">
        <v>89</v>
      </c>
      <c r="B22" s="8"/>
      <c r="C22" s="67"/>
      <c r="D22" s="67"/>
      <c r="E22" s="67"/>
      <c r="F22" s="67"/>
      <c r="G22" s="67"/>
      <c r="H22" s="67"/>
      <c r="I22" s="67"/>
      <c r="J22" s="51"/>
    </row>
    <row r="23" spans="1:10" x14ac:dyDescent="0.25">
      <c r="A23" s="38" t="s">
        <v>90</v>
      </c>
      <c r="B23" s="8"/>
      <c r="C23" s="63">
        <f t="shared" ref="C23:H23" si="9">1-C22</f>
        <v>1</v>
      </c>
      <c r="D23" s="63">
        <f t="shared" si="9"/>
        <v>1</v>
      </c>
      <c r="E23" s="63">
        <f t="shared" si="9"/>
        <v>1</v>
      </c>
      <c r="F23" s="63">
        <f t="shared" si="9"/>
        <v>1</v>
      </c>
      <c r="G23" s="63">
        <f t="shared" si="9"/>
        <v>1</v>
      </c>
      <c r="H23" s="63">
        <f t="shared" si="9"/>
        <v>1</v>
      </c>
      <c r="I23" s="63">
        <f>1-I22</f>
        <v>1</v>
      </c>
      <c r="J23" s="43">
        <f>1-J22</f>
        <v>1</v>
      </c>
    </row>
    <row r="24" spans="1:10" x14ac:dyDescent="0.25">
      <c r="A24" s="7" t="s">
        <v>5</v>
      </c>
      <c r="B24" s="8"/>
      <c r="C24" s="8">
        <f t="shared" ref="C24:J24" si="10">C4</f>
        <v>0</v>
      </c>
      <c r="D24" s="8">
        <f t="shared" si="10"/>
        <v>0</v>
      </c>
      <c r="E24" s="8">
        <f t="shared" si="10"/>
        <v>0</v>
      </c>
      <c r="F24" s="8">
        <f t="shared" si="10"/>
        <v>-270.23200000000003</v>
      </c>
      <c r="G24" s="8">
        <f t="shared" si="10"/>
        <v>0</v>
      </c>
      <c r="H24" s="8">
        <f t="shared" si="10"/>
        <v>0</v>
      </c>
      <c r="I24" s="8">
        <f t="shared" si="10"/>
        <v>-370.95499999999998</v>
      </c>
      <c r="J24" s="9">
        <f t="shared" si="10"/>
        <v>-266.80700000000002</v>
      </c>
    </row>
    <row r="25" spans="1:10" x14ac:dyDescent="0.25">
      <c r="A25" s="7" t="s">
        <v>40</v>
      </c>
      <c r="B25" s="8"/>
      <c r="C25" s="8">
        <f t="shared" ref="C25:H25" si="11">C21+C24</f>
        <v>0</v>
      </c>
      <c r="D25" s="8">
        <f t="shared" si="11"/>
        <v>0</v>
      </c>
      <c r="E25" s="8">
        <f t="shared" si="11"/>
        <v>0</v>
      </c>
      <c r="F25" s="8">
        <f t="shared" si="11"/>
        <v>593.83999999999992</v>
      </c>
      <c r="G25" s="8">
        <f t="shared" si="11"/>
        <v>0</v>
      </c>
      <c r="H25" s="8">
        <f t="shared" si="11"/>
        <v>0</v>
      </c>
      <c r="I25" s="8">
        <f t="shared" ref="I25:J25" si="12">I21+I24</f>
        <v>529.09899999999993</v>
      </c>
      <c r="J25" s="9">
        <f t="shared" si="12"/>
        <v>414.38099999999997</v>
      </c>
    </row>
    <row r="26" spans="1:10" x14ac:dyDescent="0.25">
      <c r="A26" s="59" t="s">
        <v>30</v>
      </c>
      <c r="B26" s="60"/>
      <c r="C26" s="60" t="e">
        <f t="shared" ref="C26" si="13">C25/C21</f>
        <v>#DIV/0!</v>
      </c>
      <c r="D26" s="60" t="e">
        <f t="shared" ref="D26" si="14">D25/D21</f>
        <v>#DIV/0!</v>
      </c>
      <c r="E26" s="60" t="e">
        <f t="shared" ref="E26" si="15">E25/E21</f>
        <v>#DIV/0!</v>
      </c>
      <c r="F26" s="60">
        <f t="shared" ref="F26" si="16">F25/F21</f>
        <v>0.68725754335286859</v>
      </c>
      <c r="G26" s="60" t="e">
        <f t="shared" ref="G26" si="17">G25/G21</f>
        <v>#DIV/0!</v>
      </c>
      <c r="H26" s="60" t="e">
        <f t="shared" ref="H26" si="18">H25/H21</f>
        <v>#DIV/0!</v>
      </c>
      <c r="I26" s="60">
        <f t="shared" ref="I26:J26" si="19">I25/I21</f>
        <v>0.58785250662738009</v>
      </c>
      <c r="J26" s="61">
        <f t="shared" si="19"/>
        <v>0.6083210508699507</v>
      </c>
    </row>
    <row r="27" spans="1:10" x14ac:dyDescent="0.25">
      <c r="A27" s="7" t="s">
        <v>41</v>
      </c>
      <c r="B27" s="8"/>
      <c r="C27" s="8">
        <f t="shared" ref="C27:J27" si="20">C6</f>
        <v>0</v>
      </c>
      <c r="D27" s="8">
        <f t="shared" si="20"/>
        <v>0</v>
      </c>
      <c r="E27" s="8">
        <f t="shared" si="20"/>
        <v>0</v>
      </c>
      <c r="F27" s="8">
        <f t="shared" si="20"/>
        <v>-505.96800000000007</v>
      </c>
      <c r="G27" s="8">
        <f t="shared" si="20"/>
        <v>0</v>
      </c>
      <c r="H27" s="8">
        <f t="shared" si="20"/>
        <v>0</v>
      </c>
      <c r="I27" s="8">
        <f t="shared" si="20"/>
        <v>-449.67100000000005</v>
      </c>
      <c r="J27" s="9">
        <f t="shared" si="20"/>
        <v>-334.46199999999999</v>
      </c>
    </row>
    <row r="28" spans="1:10" x14ac:dyDescent="0.25">
      <c r="A28" s="7" t="s">
        <v>42</v>
      </c>
      <c r="B28" s="8"/>
      <c r="C28" s="8">
        <f t="shared" ref="C28:H28" si="21">C25+C27</f>
        <v>0</v>
      </c>
      <c r="D28" s="8">
        <f t="shared" si="21"/>
        <v>0</v>
      </c>
      <c r="E28" s="8">
        <f t="shared" si="21"/>
        <v>0</v>
      </c>
      <c r="F28" s="8">
        <f t="shared" si="21"/>
        <v>87.871999999999844</v>
      </c>
      <c r="G28" s="8">
        <f t="shared" si="21"/>
        <v>0</v>
      </c>
      <c r="H28" s="8">
        <f t="shared" si="21"/>
        <v>0</v>
      </c>
      <c r="I28" s="8">
        <f>I25+I27</f>
        <v>79.427999999999884</v>
      </c>
      <c r="J28" s="9">
        <f>J25+J27</f>
        <v>79.918999999999983</v>
      </c>
    </row>
    <row r="29" spans="1:10" x14ac:dyDescent="0.25">
      <c r="A29" s="59" t="s">
        <v>105</v>
      </c>
      <c r="B29" s="60"/>
      <c r="C29" s="60" t="e">
        <f>C28/C21</f>
        <v>#DIV/0!</v>
      </c>
      <c r="D29" s="60" t="e">
        <f t="shared" ref="D29:J29" si="22">D28/D21</f>
        <v>#DIV/0!</v>
      </c>
      <c r="E29" s="60" t="e">
        <f t="shared" si="22"/>
        <v>#DIV/0!</v>
      </c>
      <c r="F29" s="60">
        <f t="shared" si="22"/>
        <v>0.10169522910127841</v>
      </c>
      <c r="G29" s="60" t="e">
        <f t="shared" si="22"/>
        <v>#DIV/0!</v>
      </c>
      <c r="H29" s="60" t="e">
        <f t="shared" si="22"/>
        <v>#DIV/0!</v>
      </c>
      <c r="I29" s="60">
        <f t="shared" si="22"/>
        <v>8.8248038451026148E-2</v>
      </c>
      <c r="J29" s="61">
        <f t="shared" si="22"/>
        <v>0.11732297104470422</v>
      </c>
    </row>
    <row r="30" spans="1:10" x14ac:dyDescent="0.25">
      <c r="A30" s="59" t="s">
        <v>106</v>
      </c>
      <c r="B30" s="8"/>
      <c r="C30" s="74" t="e">
        <f t="shared" ref="C30:H30" si="23">C25/C28</f>
        <v>#DIV/0!</v>
      </c>
      <c r="D30" s="74" t="e">
        <f t="shared" si="23"/>
        <v>#DIV/0!</v>
      </c>
      <c r="E30" s="74" t="e">
        <f t="shared" si="23"/>
        <v>#DIV/0!</v>
      </c>
      <c r="F30" s="74">
        <f t="shared" si="23"/>
        <v>6.7580116533139218</v>
      </c>
      <c r="G30" s="74" t="e">
        <f t="shared" si="23"/>
        <v>#DIV/0!</v>
      </c>
      <c r="H30" s="74" t="e">
        <f t="shared" si="23"/>
        <v>#DIV/0!</v>
      </c>
      <c r="I30" s="74">
        <f>I25/I28</f>
        <v>6.6613662688220865</v>
      </c>
      <c r="J30" s="73">
        <f>J25/J28</f>
        <v>5.1850123249790423</v>
      </c>
    </row>
    <row r="31" spans="1:10" x14ac:dyDescent="0.25">
      <c r="A31" s="7" t="s">
        <v>43</v>
      </c>
      <c r="B31" s="8"/>
      <c r="C31" s="8">
        <f t="shared" ref="C31:H31" si="24">C8</f>
        <v>0</v>
      </c>
      <c r="D31" s="8">
        <f t="shared" si="24"/>
        <v>0</v>
      </c>
      <c r="E31" s="8">
        <f t="shared" si="24"/>
        <v>0</v>
      </c>
      <c r="F31" s="8">
        <f t="shared" si="24"/>
        <v>-36.578000000000003</v>
      </c>
      <c r="G31" s="8">
        <f t="shared" si="24"/>
        <v>0</v>
      </c>
      <c r="H31" s="8">
        <f t="shared" si="24"/>
        <v>0</v>
      </c>
      <c r="I31" s="8">
        <f>I8</f>
        <v>-29.088999999999999</v>
      </c>
      <c r="J31" s="9">
        <f>J8</f>
        <v>-36.578000000000003</v>
      </c>
    </row>
    <row r="32" spans="1:10" x14ac:dyDescent="0.25">
      <c r="A32" s="7" t="s">
        <v>44</v>
      </c>
      <c r="B32" s="8"/>
      <c r="C32" s="8">
        <f t="shared" ref="C32:H32" si="25">C28+C31</f>
        <v>0</v>
      </c>
      <c r="D32" s="8">
        <f t="shared" si="25"/>
        <v>0</v>
      </c>
      <c r="E32" s="8">
        <f t="shared" si="25"/>
        <v>0</v>
      </c>
      <c r="F32" s="8">
        <f t="shared" si="25"/>
        <v>51.293999999999841</v>
      </c>
      <c r="G32" s="8">
        <f t="shared" si="25"/>
        <v>0</v>
      </c>
      <c r="H32" s="8">
        <f t="shared" si="25"/>
        <v>0</v>
      </c>
      <c r="I32" s="8">
        <f t="shared" ref="I32:J32" si="26">I28+I31</f>
        <v>50.338999999999885</v>
      </c>
      <c r="J32" s="9">
        <f t="shared" si="26"/>
        <v>43.34099999999998</v>
      </c>
    </row>
    <row r="33" spans="1:11" x14ac:dyDescent="0.25">
      <c r="A33" s="7" t="s">
        <v>45</v>
      </c>
      <c r="B33" s="8"/>
      <c r="C33" s="8">
        <f t="shared" ref="C33:J33" si="27">C10</f>
        <v>0</v>
      </c>
      <c r="D33" s="8">
        <f t="shared" si="27"/>
        <v>0</v>
      </c>
      <c r="E33" s="8">
        <f t="shared" si="27"/>
        <v>0</v>
      </c>
      <c r="F33" s="8">
        <f t="shared" si="27"/>
        <v>-12.875</v>
      </c>
      <c r="G33" s="8">
        <f t="shared" si="27"/>
        <v>0</v>
      </c>
      <c r="H33" s="8">
        <f t="shared" si="27"/>
        <v>0</v>
      </c>
      <c r="I33" s="8">
        <f t="shared" si="27"/>
        <v>-17.661000000000001</v>
      </c>
      <c r="J33" s="9">
        <f t="shared" si="27"/>
        <v>-16.957000000000001</v>
      </c>
    </row>
    <row r="34" spans="1:11" x14ac:dyDescent="0.25">
      <c r="A34" s="7" t="s">
        <v>46</v>
      </c>
      <c r="B34" s="8"/>
      <c r="C34" s="8">
        <f t="shared" ref="C34:J34" si="28">C32+C33</f>
        <v>0</v>
      </c>
      <c r="D34" s="8">
        <f t="shared" si="28"/>
        <v>0</v>
      </c>
      <c r="E34" s="8">
        <f t="shared" si="28"/>
        <v>0</v>
      </c>
      <c r="F34" s="8">
        <f t="shared" si="28"/>
        <v>38.418999999999841</v>
      </c>
      <c r="G34" s="8">
        <f t="shared" si="28"/>
        <v>0</v>
      </c>
      <c r="H34" s="8">
        <f t="shared" si="28"/>
        <v>0</v>
      </c>
      <c r="I34" s="8">
        <f t="shared" si="28"/>
        <v>32.677999999999884</v>
      </c>
      <c r="J34" s="9">
        <f t="shared" si="28"/>
        <v>26.383999999999979</v>
      </c>
    </row>
    <row r="35" spans="1:11" x14ac:dyDescent="0.25">
      <c r="A35" s="7" t="s">
        <v>47</v>
      </c>
      <c r="B35" s="8"/>
      <c r="C35" s="8">
        <f t="shared" ref="C35:J35" si="29">C13</f>
        <v>0</v>
      </c>
      <c r="D35" s="8">
        <f t="shared" si="29"/>
        <v>0</v>
      </c>
      <c r="E35" s="8">
        <f t="shared" si="29"/>
        <v>0</v>
      </c>
      <c r="F35" s="8">
        <f t="shared" si="29"/>
        <v>-18.03</v>
      </c>
      <c r="G35" s="8">
        <f t="shared" si="29"/>
        <v>0</v>
      </c>
      <c r="H35" s="8">
        <f t="shared" si="29"/>
        <v>0</v>
      </c>
      <c r="I35" s="8">
        <f t="shared" si="29"/>
        <v>-14.772</v>
      </c>
      <c r="J35" s="9">
        <f t="shared" si="29"/>
        <v>-19.332999999999998</v>
      </c>
    </row>
    <row r="36" spans="1:11" x14ac:dyDescent="0.25">
      <c r="A36" s="7" t="s">
        <v>48</v>
      </c>
      <c r="B36" s="8"/>
      <c r="C36" s="8">
        <f t="shared" ref="C36:H36" si="30">C34+C35</f>
        <v>0</v>
      </c>
      <c r="D36" s="8">
        <f t="shared" si="30"/>
        <v>0</v>
      </c>
      <c r="E36" s="8">
        <f t="shared" si="30"/>
        <v>0</v>
      </c>
      <c r="F36" s="8">
        <f t="shared" si="30"/>
        <v>20.388999999999839</v>
      </c>
      <c r="G36" s="8">
        <f t="shared" si="30"/>
        <v>0</v>
      </c>
      <c r="H36" s="8">
        <f t="shared" si="30"/>
        <v>0</v>
      </c>
      <c r="I36" s="8">
        <f t="shared" ref="I36" si="31">I34+I35</f>
        <v>17.905999999999885</v>
      </c>
      <c r="J36" s="9">
        <f>J34+J35</f>
        <v>7.0509999999999806</v>
      </c>
    </row>
    <row r="37" spans="1:11" x14ac:dyDescent="0.25">
      <c r="A37" s="59" t="s">
        <v>87</v>
      </c>
      <c r="B37" s="60"/>
      <c r="C37" s="60" t="e">
        <f t="shared" ref="C37:J37" si="32">C36/C21</f>
        <v>#DIV/0!</v>
      </c>
      <c r="D37" s="60" t="e">
        <f t="shared" si="32"/>
        <v>#DIV/0!</v>
      </c>
      <c r="E37" s="60" t="e">
        <f t="shared" si="32"/>
        <v>#DIV/0!</v>
      </c>
      <c r="F37" s="60">
        <f t="shared" si="32"/>
        <v>2.3596413261857623E-2</v>
      </c>
      <c r="G37" s="60" t="e">
        <f t="shared" si="32"/>
        <v>#DIV/0!</v>
      </c>
      <c r="H37" s="60" t="e">
        <f t="shared" si="32"/>
        <v>#DIV/0!</v>
      </c>
      <c r="I37" s="60">
        <f t="shared" si="32"/>
        <v>1.9894361893841798E-2</v>
      </c>
      <c r="J37" s="61">
        <f t="shared" si="32"/>
        <v>1.0351033782157027E-2</v>
      </c>
    </row>
    <row r="38" spans="1:11" x14ac:dyDescent="0.25">
      <c r="A38" s="59" t="s">
        <v>56</v>
      </c>
      <c r="B38" s="64"/>
      <c r="C38" s="65" t="e">
        <f t="shared" ref="C38:H38" si="33">-C35/C34</f>
        <v>#DIV/0!</v>
      </c>
      <c r="D38" s="65" t="e">
        <f t="shared" si="33"/>
        <v>#DIV/0!</v>
      </c>
      <c r="E38" s="65" t="e">
        <f t="shared" si="33"/>
        <v>#DIV/0!</v>
      </c>
      <c r="F38" s="65">
        <f t="shared" si="33"/>
        <v>0.46929904474348827</v>
      </c>
      <c r="G38" s="65" t="e">
        <f t="shared" si="33"/>
        <v>#DIV/0!</v>
      </c>
      <c r="H38" s="65" t="e">
        <f t="shared" si="33"/>
        <v>#DIV/0!</v>
      </c>
      <c r="I38" s="65">
        <f>-I35/I34</f>
        <v>0.45204724891364384</v>
      </c>
      <c r="J38" s="66">
        <f>-J35/J34</f>
        <v>0.73275469981807206</v>
      </c>
    </row>
    <row r="39" spans="1:11" x14ac:dyDescent="0.25">
      <c r="A39" s="34" t="s">
        <v>49</v>
      </c>
      <c r="B39" s="32"/>
      <c r="C39" s="32"/>
      <c r="D39" s="32"/>
      <c r="E39" s="32"/>
      <c r="F39" s="32"/>
      <c r="G39" s="32"/>
      <c r="H39" s="32"/>
      <c r="I39" s="32"/>
      <c r="J39" s="35"/>
    </row>
    <row r="40" spans="1:11" x14ac:dyDescent="0.25">
      <c r="A40" s="7" t="s">
        <v>50</v>
      </c>
      <c r="B40" s="8"/>
      <c r="C40" s="44"/>
      <c r="D40" s="44"/>
      <c r="E40" s="44"/>
      <c r="F40" s="44"/>
      <c r="G40" s="44"/>
      <c r="H40" s="44"/>
      <c r="I40" s="44"/>
      <c r="J40" s="45"/>
    </row>
    <row r="41" spans="1:11" x14ac:dyDescent="0.25">
      <c r="A41" s="38" t="s">
        <v>83</v>
      </c>
      <c r="B41" s="2"/>
      <c r="C41" s="46"/>
      <c r="D41" s="46"/>
      <c r="E41" s="46"/>
      <c r="F41" s="46"/>
      <c r="G41" s="46"/>
      <c r="H41" s="46"/>
      <c r="I41" s="46"/>
      <c r="J41" s="47"/>
    </row>
    <row r="42" spans="1:11" x14ac:dyDescent="0.25">
      <c r="A42" s="38" t="s">
        <v>47</v>
      </c>
      <c r="B42" s="2"/>
      <c r="C42" s="46"/>
      <c r="D42" s="46"/>
      <c r="E42" s="46"/>
      <c r="F42" s="46"/>
      <c r="G42" s="46"/>
      <c r="H42" s="46"/>
      <c r="I42" s="46"/>
      <c r="J42" s="47"/>
    </row>
    <row r="43" spans="1:11" x14ac:dyDescent="0.25">
      <c r="A43" s="38" t="s">
        <v>84</v>
      </c>
      <c r="B43" s="2"/>
      <c r="C43" s="2">
        <f>C41+C42-C40</f>
        <v>0</v>
      </c>
      <c r="D43" s="2"/>
      <c r="E43" s="2">
        <f>E41+E42-E40</f>
        <v>0</v>
      </c>
      <c r="F43" s="2">
        <f>F41+F42-F40</f>
        <v>0</v>
      </c>
      <c r="G43" s="2">
        <f>G41+G42-G40</f>
        <v>0</v>
      </c>
      <c r="H43" s="2"/>
      <c r="I43" s="2"/>
      <c r="J43" s="3"/>
    </row>
    <row r="44" spans="1:11" x14ac:dyDescent="0.25">
      <c r="A44" s="7" t="s">
        <v>51</v>
      </c>
      <c r="B44" s="8"/>
      <c r="C44" s="44"/>
      <c r="D44" s="44"/>
      <c r="E44" s="44"/>
      <c r="F44" s="44"/>
      <c r="G44" s="44"/>
      <c r="H44" s="44"/>
      <c r="I44" s="44"/>
      <c r="J44" s="45"/>
    </row>
    <row r="45" spans="1:11" x14ac:dyDescent="0.25">
      <c r="A45" s="7" t="s">
        <v>52</v>
      </c>
      <c r="B45" s="8"/>
      <c r="C45" s="44"/>
      <c r="D45" s="44"/>
      <c r="E45" s="44"/>
      <c r="F45" s="44"/>
      <c r="G45" s="44"/>
      <c r="H45" s="44"/>
      <c r="I45" s="44"/>
      <c r="J45" s="45"/>
      <c r="K45" s="48"/>
    </row>
    <row r="46" spans="1:11" x14ac:dyDescent="0.25">
      <c r="A46" s="7" t="s">
        <v>69</v>
      </c>
      <c r="B46" s="8"/>
      <c r="C46" s="8">
        <f>C40+C44+C45</f>
        <v>0</v>
      </c>
      <c r="D46" s="8"/>
      <c r="E46" s="8">
        <f>E40+E44+E45</f>
        <v>0</v>
      </c>
      <c r="F46" s="8">
        <f>F40+F44+F45</f>
        <v>0</v>
      </c>
      <c r="G46" s="8">
        <f>G40+G44+G45</f>
        <v>0</v>
      </c>
      <c r="H46" s="8"/>
      <c r="I46" s="8">
        <f>I40+I44+I45</f>
        <v>0</v>
      </c>
      <c r="J46" s="9">
        <f>J40+J44+J45</f>
        <v>0</v>
      </c>
    </row>
    <row r="47" spans="1:11" x14ac:dyDescent="0.25">
      <c r="A47" s="34" t="s">
        <v>39</v>
      </c>
      <c r="B47" s="32"/>
      <c r="C47" s="32"/>
      <c r="D47" s="32"/>
      <c r="E47" s="32"/>
      <c r="F47" s="32"/>
      <c r="G47" s="32"/>
      <c r="H47" s="32"/>
      <c r="I47" s="32"/>
      <c r="J47" s="35"/>
    </row>
    <row r="48" spans="1:11" x14ac:dyDescent="0.25">
      <c r="A48" s="7" t="s">
        <v>91</v>
      </c>
      <c r="B48" s="8"/>
      <c r="C48" s="44"/>
      <c r="D48" s="44"/>
      <c r="E48" s="44"/>
      <c r="F48" s="44"/>
      <c r="G48" s="44"/>
      <c r="H48" s="44"/>
      <c r="I48" s="44"/>
      <c r="J48" s="45"/>
    </row>
    <row r="49" spans="1:11" x14ac:dyDescent="0.25">
      <c r="A49" s="68" t="s">
        <v>92</v>
      </c>
      <c r="B49" s="8"/>
      <c r="C49" s="67"/>
      <c r="D49" s="67"/>
      <c r="E49" s="67"/>
      <c r="F49" s="67"/>
      <c r="G49" s="67"/>
      <c r="H49" s="67"/>
      <c r="I49" s="67"/>
      <c r="J49" s="51"/>
    </row>
    <row r="50" spans="1:11" x14ac:dyDescent="0.25">
      <c r="A50" s="7" t="s">
        <v>7</v>
      </c>
      <c r="B50" s="8"/>
      <c r="C50" s="8">
        <f t="shared" ref="C50:G50" si="34">C51+C52</f>
        <v>0</v>
      </c>
      <c r="D50" s="8"/>
      <c r="E50" s="8">
        <f t="shared" si="34"/>
        <v>0</v>
      </c>
      <c r="F50" s="8">
        <f t="shared" si="34"/>
        <v>0</v>
      </c>
      <c r="G50" s="8">
        <f t="shared" si="34"/>
        <v>0</v>
      </c>
      <c r="H50" s="8"/>
      <c r="I50" s="8">
        <f>I51+I52</f>
        <v>0</v>
      </c>
      <c r="J50" s="9">
        <f t="shared" ref="J50" si="35">J51+J52</f>
        <v>0</v>
      </c>
      <c r="K50" s="48"/>
    </row>
    <row r="51" spans="1:11" x14ac:dyDescent="0.25">
      <c r="A51" s="38" t="s">
        <v>77</v>
      </c>
      <c r="B51" s="2"/>
      <c r="C51" s="46"/>
      <c r="D51" s="46"/>
      <c r="E51" s="46"/>
      <c r="F51" s="46"/>
      <c r="G51" s="46"/>
      <c r="H51" s="46"/>
      <c r="I51" s="46"/>
      <c r="J51" s="47"/>
      <c r="K51" s="49" t="s">
        <v>79</v>
      </c>
    </row>
    <row r="52" spans="1:11" x14ac:dyDescent="0.25">
      <c r="A52" s="38" t="s">
        <v>78</v>
      </c>
      <c r="B52" s="2"/>
      <c r="C52" s="46"/>
      <c r="D52" s="46"/>
      <c r="E52" s="46"/>
      <c r="F52" s="46"/>
      <c r="G52" s="46"/>
      <c r="H52" s="46"/>
      <c r="I52" s="46"/>
      <c r="J52" s="47"/>
      <c r="K52" s="49" t="s">
        <v>80</v>
      </c>
    </row>
    <row r="53" spans="1:11" x14ac:dyDescent="0.25">
      <c r="A53" s="7" t="s">
        <v>11</v>
      </c>
      <c r="B53" s="8"/>
      <c r="C53" s="44"/>
      <c r="D53" s="44"/>
      <c r="E53" s="44"/>
      <c r="F53" s="44"/>
      <c r="G53" s="44"/>
      <c r="H53" s="44"/>
      <c r="I53" s="44"/>
      <c r="J53" s="45"/>
    </row>
    <row r="54" spans="1:11" x14ac:dyDescent="0.25">
      <c r="A54" s="7" t="s">
        <v>12</v>
      </c>
      <c r="B54" s="8"/>
      <c r="C54" s="44"/>
      <c r="D54" s="44"/>
      <c r="E54" s="44"/>
      <c r="F54" s="44"/>
      <c r="G54" s="44"/>
      <c r="H54" s="44"/>
      <c r="I54" s="44"/>
      <c r="J54" s="45"/>
    </row>
    <row r="55" spans="1:11" x14ac:dyDescent="0.25">
      <c r="A55" s="7" t="s">
        <v>8</v>
      </c>
      <c r="B55" s="8"/>
      <c r="C55" s="44"/>
      <c r="D55" s="44"/>
      <c r="E55" s="44"/>
      <c r="F55" s="44"/>
      <c r="G55" s="44"/>
      <c r="H55" s="44"/>
      <c r="I55" s="44"/>
      <c r="J55" s="45"/>
    </row>
    <row r="56" spans="1:11" x14ac:dyDescent="0.25">
      <c r="A56" s="7" t="s">
        <v>9</v>
      </c>
      <c r="B56" s="8"/>
      <c r="C56" s="44"/>
      <c r="D56" s="44"/>
      <c r="E56" s="44"/>
      <c r="F56" s="44"/>
      <c r="G56" s="44"/>
      <c r="H56" s="44"/>
      <c r="I56" s="44"/>
      <c r="J56" s="45"/>
    </row>
    <row r="57" spans="1:11" x14ac:dyDescent="0.25">
      <c r="A57" s="7" t="s">
        <v>75</v>
      </c>
      <c r="B57" s="8"/>
      <c r="C57" s="44"/>
      <c r="D57" s="44"/>
      <c r="E57" s="44"/>
      <c r="F57" s="44"/>
      <c r="G57" s="44"/>
      <c r="H57" s="44"/>
      <c r="I57" s="44"/>
      <c r="J57" s="45"/>
    </row>
    <row r="58" spans="1:11" x14ac:dyDescent="0.25">
      <c r="A58" s="7" t="s">
        <v>10</v>
      </c>
      <c r="B58" s="8"/>
      <c r="C58" s="44"/>
      <c r="D58" s="44"/>
      <c r="E58" s="44"/>
      <c r="F58" s="44"/>
      <c r="G58" s="44"/>
      <c r="H58" s="44"/>
      <c r="I58" s="44"/>
      <c r="J58" s="45"/>
    </row>
    <row r="59" spans="1:11" x14ac:dyDescent="0.25">
      <c r="A59" s="7" t="s">
        <v>13</v>
      </c>
      <c r="B59" s="8"/>
      <c r="C59" s="44"/>
      <c r="D59" s="44"/>
      <c r="E59" s="44"/>
      <c r="F59" s="44"/>
      <c r="G59" s="44"/>
      <c r="H59" s="44"/>
      <c r="I59" s="44"/>
      <c r="J59" s="45"/>
    </row>
    <row r="60" spans="1:11" x14ac:dyDescent="0.25">
      <c r="A60" s="7" t="s">
        <v>14</v>
      </c>
      <c r="B60" s="8"/>
      <c r="C60" s="44"/>
      <c r="D60" s="44"/>
      <c r="E60" s="44"/>
      <c r="F60" s="44"/>
      <c r="G60" s="44"/>
      <c r="H60" s="44"/>
      <c r="I60" s="44"/>
      <c r="J60" s="45"/>
    </row>
    <row r="61" spans="1:11" x14ac:dyDescent="0.25">
      <c r="A61" s="34" t="s">
        <v>64</v>
      </c>
      <c r="B61" s="8"/>
      <c r="C61" s="8"/>
      <c r="D61" s="8"/>
      <c r="E61" s="8"/>
      <c r="F61" s="8"/>
      <c r="G61" s="8"/>
      <c r="H61" s="8"/>
      <c r="I61" s="8"/>
      <c r="J61" s="9"/>
    </row>
    <row r="62" spans="1:11" x14ac:dyDescent="0.25">
      <c r="A62" s="7" t="s">
        <v>82</v>
      </c>
      <c r="B62" s="8"/>
      <c r="C62" s="8"/>
      <c r="D62" s="8"/>
      <c r="E62" s="8"/>
      <c r="F62" s="8">
        <f>(8136713+19882587)/10^6</f>
        <v>28.019300000000001</v>
      </c>
      <c r="G62" s="8">
        <f t="shared" ref="G62:H62" si="36">(8136713+19882587)/10^6</f>
        <v>28.019300000000001</v>
      </c>
      <c r="H62" s="8">
        <f t="shared" si="36"/>
        <v>28.019300000000001</v>
      </c>
      <c r="I62" s="8">
        <f>28019300/10^6</f>
        <v>28.019300000000001</v>
      </c>
      <c r="J62" s="9">
        <f t="shared" ref="J62" si="37">28019300/10^6</f>
        <v>28.019300000000001</v>
      </c>
    </row>
    <row r="63" spans="1:11" x14ac:dyDescent="0.25">
      <c r="A63" s="7" t="s">
        <v>81</v>
      </c>
      <c r="B63" s="8"/>
      <c r="C63" s="8"/>
      <c r="D63" s="8"/>
      <c r="E63" s="8"/>
      <c r="F63" s="8">
        <v>10</v>
      </c>
      <c r="G63" s="8">
        <v>10</v>
      </c>
      <c r="H63" s="8">
        <v>10</v>
      </c>
      <c r="I63" s="8">
        <v>10</v>
      </c>
      <c r="J63" s="9">
        <v>10</v>
      </c>
    </row>
    <row r="64" spans="1:11" x14ac:dyDescent="0.25">
      <c r="A64" s="7" t="s">
        <v>61</v>
      </c>
      <c r="B64" s="8"/>
      <c r="C64" s="14" t="e">
        <f t="shared" ref="C64:J64" si="38">C14/C$62</f>
        <v>#DIV/0!</v>
      </c>
      <c r="D64" s="14" t="e">
        <f t="shared" si="38"/>
        <v>#DIV/0!</v>
      </c>
      <c r="E64" s="14" t="e">
        <f t="shared" si="38"/>
        <v>#DIV/0!</v>
      </c>
      <c r="F64" s="14">
        <f t="shared" si="38"/>
        <v>0.87157780529848483</v>
      </c>
      <c r="G64" s="14">
        <f t="shared" si="38"/>
        <v>0</v>
      </c>
      <c r="H64" s="14">
        <f t="shared" si="38"/>
        <v>0</v>
      </c>
      <c r="I64" s="14">
        <f t="shared" si="38"/>
        <v>0.7402754529913268</v>
      </c>
      <c r="J64" s="15">
        <f t="shared" si="38"/>
        <v>0.30082835759637039</v>
      </c>
    </row>
    <row r="65" spans="1:11" x14ac:dyDescent="0.25">
      <c r="A65" s="7" t="s">
        <v>65</v>
      </c>
      <c r="B65" s="8"/>
      <c r="C65" s="14" t="e">
        <f t="shared" ref="C65:H65" si="39">C36/C$62</f>
        <v>#DIV/0!</v>
      </c>
      <c r="D65" s="14" t="e">
        <f t="shared" si="39"/>
        <v>#DIV/0!</v>
      </c>
      <c r="E65" s="14" t="e">
        <f t="shared" si="39"/>
        <v>#DIV/0!</v>
      </c>
      <c r="F65" s="14">
        <f t="shared" si="39"/>
        <v>0.72767699407193753</v>
      </c>
      <c r="G65" s="14">
        <f t="shared" si="39"/>
        <v>0</v>
      </c>
      <c r="H65" s="14">
        <f t="shared" si="39"/>
        <v>0</v>
      </c>
      <c r="I65" s="14">
        <f t="shared" ref="I65:J65" si="40">I36/I$62</f>
        <v>0.63905950541233669</v>
      </c>
      <c r="J65" s="15">
        <f t="shared" si="40"/>
        <v>0.25164797121983706</v>
      </c>
    </row>
    <row r="66" spans="1:11" x14ac:dyDescent="0.25">
      <c r="A66" s="7" t="s">
        <v>74</v>
      </c>
      <c r="B66" s="8"/>
      <c r="C66" s="8"/>
      <c r="D66" s="8"/>
      <c r="E66" s="8"/>
      <c r="F66" s="8"/>
      <c r="G66" s="8"/>
      <c r="H66" s="8"/>
      <c r="I66" s="8"/>
      <c r="J66" s="45"/>
    </row>
    <row r="67" spans="1:11" x14ac:dyDescent="0.25">
      <c r="A67" s="7" t="s">
        <v>62</v>
      </c>
      <c r="B67" s="8"/>
      <c r="C67" s="8" t="e">
        <f t="shared" ref="C67:J67" si="41">C48/C$62</f>
        <v>#DIV/0!</v>
      </c>
      <c r="D67" s="8"/>
      <c r="E67" s="8" t="e">
        <f t="shared" si="41"/>
        <v>#DIV/0!</v>
      </c>
      <c r="F67" s="8">
        <f t="shared" si="41"/>
        <v>0</v>
      </c>
      <c r="G67" s="8">
        <f t="shared" si="41"/>
        <v>0</v>
      </c>
      <c r="H67" s="8">
        <f t="shared" si="41"/>
        <v>0</v>
      </c>
      <c r="I67" s="8">
        <f t="shared" si="41"/>
        <v>0</v>
      </c>
      <c r="J67" s="9">
        <f t="shared" si="41"/>
        <v>0</v>
      </c>
    </row>
    <row r="68" spans="1:11" x14ac:dyDescent="0.25">
      <c r="A68" s="7" t="s">
        <v>66</v>
      </c>
      <c r="B68" s="8"/>
      <c r="C68" s="8" t="e">
        <f t="shared" ref="C68:J68" si="42">C57/C$62</f>
        <v>#DIV/0!</v>
      </c>
      <c r="D68" s="8"/>
      <c r="E68" s="8" t="e">
        <f t="shared" si="42"/>
        <v>#DIV/0!</v>
      </c>
      <c r="F68" s="8">
        <f t="shared" si="42"/>
        <v>0</v>
      </c>
      <c r="G68" s="8">
        <f t="shared" si="42"/>
        <v>0</v>
      </c>
      <c r="H68" s="8">
        <f t="shared" si="42"/>
        <v>0</v>
      </c>
      <c r="I68" s="8">
        <f t="shared" si="42"/>
        <v>0</v>
      </c>
      <c r="J68" s="9">
        <f t="shared" si="42"/>
        <v>0</v>
      </c>
    </row>
    <row r="69" spans="1:11" x14ac:dyDescent="0.25">
      <c r="A69" s="7" t="s">
        <v>85</v>
      </c>
      <c r="B69" s="8"/>
      <c r="C69" s="8" t="e">
        <f t="shared" ref="C69:J69" si="43">C40/C$62</f>
        <v>#DIV/0!</v>
      </c>
      <c r="D69" s="8"/>
      <c r="E69" s="8" t="e">
        <f t="shared" si="43"/>
        <v>#DIV/0!</v>
      </c>
      <c r="F69" s="8">
        <f t="shared" si="43"/>
        <v>0</v>
      </c>
      <c r="G69" s="8">
        <f t="shared" si="43"/>
        <v>0</v>
      </c>
      <c r="H69" s="8">
        <f t="shared" si="43"/>
        <v>0</v>
      </c>
      <c r="I69" s="8">
        <f t="shared" si="43"/>
        <v>0</v>
      </c>
      <c r="J69" s="9">
        <f t="shared" si="43"/>
        <v>0</v>
      </c>
    </row>
    <row r="70" spans="1:11" x14ac:dyDescent="0.25">
      <c r="A70" s="31" t="s">
        <v>15</v>
      </c>
      <c r="B70" s="30"/>
      <c r="C70" s="30"/>
      <c r="D70" s="30"/>
      <c r="E70" s="30"/>
      <c r="F70" s="30"/>
      <c r="G70" s="30"/>
      <c r="H70" s="30"/>
      <c r="I70" s="30"/>
      <c r="J70" s="36"/>
    </row>
    <row r="71" spans="1:11" x14ac:dyDescent="0.25">
      <c r="A71" s="7" t="s">
        <v>16</v>
      </c>
      <c r="B71" s="11"/>
      <c r="C71" s="37" t="e">
        <f>C21/AVERAGE(B55:C55)</f>
        <v>#DIV/0!</v>
      </c>
      <c r="D71" s="37"/>
      <c r="E71" s="11" t="e">
        <f>E21/AVERAGE(C55:E55)</f>
        <v>#DIV/0!</v>
      </c>
      <c r="F71" s="11" t="e">
        <f>F21/AVERAGE(E55:F55)</f>
        <v>#DIV/0!</v>
      </c>
      <c r="G71" s="11" t="e">
        <f>G21/AVERAGE(F55:G55)</f>
        <v>#DIV/0!</v>
      </c>
      <c r="H71" s="11" t="e">
        <f>H21/AVERAGE(G55:H55)</f>
        <v>#DIV/0!</v>
      </c>
      <c r="I71" s="11" t="e">
        <f>I21/AVERAGE(H55:I55)</f>
        <v>#DIV/0!</v>
      </c>
      <c r="J71" s="12" t="e">
        <f>J21/AVERAGE(I55:J55)</f>
        <v>#DIV/0!</v>
      </c>
    </row>
    <row r="72" spans="1:11" x14ac:dyDescent="0.25">
      <c r="A72" s="7" t="s">
        <v>17</v>
      </c>
      <c r="B72" s="13"/>
      <c r="C72" s="8" t="e">
        <f>-365/C71</f>
        <v>#DIV/0!</v>
      </c>
      <c r="D72" s="8"/>
      <c r="E72" s="8" t="e">
        <f>366/E71</f>
        <v>#DIV/0!</v>
      </c>
      <c r="F72" s="8" t="e">
        <f t="shared" ref="F72:J72" si="44">365/F71</f>
        <v>#DIV/0!</v>
      </c>
      <c r="G72" s="8" t="e">
        <f t="shared" si="44"/>
        <v>#DIV/0!</v>
      </c>
      <c r="H72" s="8" t="e">
        <f t="shared" si="44"/>
        <v>#DIV/0!</v>
      </c>
      <c r="I72" s="8" t="e">
        <f>366/I71</f>
        <v>#DIV/0!</v>
      </c>
      <c r="J72" s="9" t="e">
        <f t="shared" si="44"/>
        <v>#DIV/0!</v>
      </c>
    </row>
    <row r="73" spans="1:11" x14ac:dyDescent="0.25">
      <c r="A73" s="7" t="s">
        <v>18</v>
      </c>
      <c r="B73" s="13"/>
      <c r="C73" s="11" t="e">
        <f>C21/AVERAGE(B56:C56)</f>
        <v>#DIV/0!</v>
      </c>
      <c r="D73" s="11"/>
      <c r="E73" s="11" t="e">
        <f>E21/AVERAGE(C56:E56)</f>
        <v>#DIV/0!</v>
      </c>
      <c r="F73" s="11" t="e">
        <f>F21/AVERAGE(E56:F56)</f>
        <v>#DIV/0!</v>
      </c>
      <c r="G73" s="11" t="e">
        <f>G21/AVERAGE(F56:G56)</f>
        <v>#DIV/0!</v>
      </c>
      <c r="H73" s="11" t="e">
        <f>H21/AVERAGE(G56:H56)</f>
        <v>#DIV/0!</v>
      </c>
      <c r="I73" s="11" t="e">
        <f>I21/AVERAGE(H56:I56)</f>
        <v>#DIV/0!</v>
      </c>
      <c r="J73" s="12" t="e">
        <f>J21/AVERAGE(I56:J56)</f>
        <v>#DIV/0!</v>
      </c>
    </row>
    <row r="74" spans="1:11" x14ac:dyDescent="0.25">
      <c r="A74" s="7" t="s">
        <v>102</v>
      </c>
      <c r="B74" s="11"/>
      <c r="C74" s="8" t="e">
        <f t="shared" ref="C74" si="45">365/C73</f>
        <v>#DIV/0!</v>
      </c>
      <c r="D74" s="8"/>
      <c r="E74" s="8" t="e">
        <f>366/E73</f>
        <v>#DIV/0!</v>
      </c>
      <c r="F74" s="8" t="e">
        <f t="shared" ref="F74:H74" si="46">365/F73</f>
        <v>#DIV/0!</v>
      </c>
      <c r="G74" s="8" t="e">
        <f t="shared" si="46"/>
        <v>#DIV/0!</v>
      </c>
      <c r="H74" s="8" t="e">
        <f t="shared" si="46"/>
        <v>#DIV/0!</v>
      </c>
      <c r="I74" s="8" t="e">
        <f>366/I73</f>
        <v>#DIV/0!</v>
      </c>
      <c r="J74" s="9" t="e">
        <f t="shared" ref="J74" si="47">365/J73</f>
        <v>#DIV/0!</v>
      </c>
    </row>
    <row r="75" spans="1:11" x14ac:dyDescent="0.25">
      <c r="A75" s="7" t="s">
        <v>19</v>
      </c>
      <c r="B75" s="13"/>
      <c r="C75" s="37" t="e">
        <f>C21/AVERAGE(B53:C53)</f>
        <v>#DIV/0!</v>
      </c>
      <c r="D75" s="37"/>
      <c r="E75" s="11" t="e">
        <f>E21/AVERAGE(C53:E53)</f>
        <v>#DIV/0!</v>
      </c>
      <c r="F75" s="11" t="e">
        <f>F21/AVERAGE(E53:F53)</f>
        <v>#DIV/0!</v>
      </c>
      <c r="G75" s="11" t="e">
        <f>G21/AVERAGE(F53:G53)</f>
        <v>#DIV/0!</v>
      </c>
      <c r="H75" s="11" t="e">
        <f>H21/AVERAGE(G53:H53)</f>
        <v>#DIV/0!</v>
      </c>
      <c r="I75" s="11" t="e">
        <f>I21/AVERAGE(H53:I53)</f>
        <v>#DIV/0!</v>
      </c>
      <c r="J75" s="12" t="e">
        <f>J21/AVERAGE(I53:J53)</f>
        <v>#DIV/0!</v>
      </c>
    </row>
    <row r="76" spans="1:11" x14ac:dyDescent="0.25">
      <c r="A76" s="7" t="s">
        <v>20</v>
      </c>
      <c r="B76" s="13"/>
      <c r="C76" s="8" t="e">
        <f t="shared" ref="C76" si="48">365/C75</f>
        <v>#DIV/0!</v>
      </c>
      <c r="D76" s="8"/>
      <c r="E76" s="8" t="e">
        <f>366/E75</f>
        <v>#DIV/0!</v>
      </c>
      <c r="F76" s="8" t="e">
        <f t="shared" ref="F76:H76" si="49">365/F75</f>
        <v>#DIV/0!</v>
      </c>
      <c r="G76" s="8" t="e">
        <f t="shared" si="49"/>
        <v>#DIV/0!</v>
      </c>
      <c r="H76" s="8" t="e">
        <f t="shared" si="49"/>
        <v>#DIV/0!</v>
      </c>
      <c r="I76" s="8" t="e">
        <f>366/I75</f>
        <v>#DIV/0!</v>
      </c>
      <c r="J76" s="9" t="e">
        <f t="shared" ref="J76" si="50">365/J75</f>
        <v>#DIV/0!</v>
      </c>
    </row>
    <row r="77" spans="1:11" x14ac:dyDescent="0.25">
      <c r="A77" s="7" t="s">
        <v>35</v>
      </c>
      <c r="B77" s="33"/>
      <c r="C77" s="33">
        <f>C58-C54-C57</f>
        <v>0</v>
      </c>
      <c r="D77" s="33"/>
      <c r="E77" s="33">
        <f t="shared" ref="E77:J77" si="51">E58-E54-E57</f>
        <v>0</v>
      </c>
      <c r="F77" s="33">
        <f t="shared" si="51"/>
        <v>0</v>
      </c>
      <c r="G77" s="33">
        <f t="shared" si="51"/>
        <v>0</v>
      </c>
      <c r="H77" s="33">
        <f t="shared" si="51"/>
        <v>0</v>
      </c>
      <c r="I77" s="33">
        <f t="shared" si="51"/>
        <v>0</v>
      </c>
      <c r="J77" s="9">
        <f t="shared" si="51"/>
        <v>0</v>
      </c>
      <c r="K77" s="39">
        <f>((J58-J57)-(I58-I57))-(J54-I54)</f>
        <v>0</v>
      </c>
    </row>
    <row r="78" spans="1:11" x14ac:dyDescent="0.25">
      <c r="A78" s="7" t="s">
        <v>21</v>
      </c>
      <c r="B78" s="13"/>
      <c r="C78" s="11" t="e">
        <f>C$21/AVERAGE(B77:C77)</f>
        <v>#DIV/0!</v>
      </c>
      <c r="D78" s="11"/>
      <c r="E78" s="11" t="e">
        <f>E$21/AVERAGE(C77:E77)</f>
        <v>#DIV/0!</v>
      </c>
      <c r="F78" s="11" t="e">
        <f t="shared" ref="F78:J78" si="52">F$21/AVERAGE(E77:F77)</f>
        <v>#DIV/0!</v>
      </c>
      <c r="G78" s="11" t="e">
        <f t="shared" si="52"/>
        <v>#DIV/0!</v>
      </c>
      <c r="H78" s="11" t="e">
        <f t="shared" si="52"/>
        <v>#DIV/0!</v>
      </c>
      <c r="I78" s="11" t="e">
        <f t="shared" si="52"/>
        <v>#DIV/0!</v>
      </c>
      <c r="J78" s="12" t="e">
        <f t="shared" si="52"/>
        <v>#DIV/0!</v>
      </c>
    </row>
    <row r="79" spans="1:11" x14ac:dyDescent="0.25">
      <c r="A79" s="7" t="s">
        <v>68</v>
      </c>
      <c r="B79" s="13"/>
      <c r="C79" s="11" t="e">
        <f t="shared" ref="C79:I79" si="53">(C74+C72)-C76</f>
        <v>#DIV/0!</v>
      </c>
      <c r="D79" s="11"/>
      <c r="E79" s="11" t="e">
        <f t="shared" si="53"/>
        <v>#DIV/0!</v>
      </c>
      <c r="F79" s="11" t="e">
        <f t="shared" si="53"/>
        <v>#DIV/0!</v>
      </c>
      <c r="G79" s="11" t="e">
        <f t="shared" si="53"/>
        <v>#DIV/0!</v>
      </c>
      <c r="H79" s="11" t="e">
        <f t="shared" si="53"/>
        <v>#DIV/0!</v>
      </c>
      <c r="I79" s="11" t="e">
        <f t="shared" si="53"/>
        <v>#DIV/0!</v>
      </c>
      <c r="J79" s="12" t="e">
        <f>(J74+J72)-J76</f>
        <v>#DIV/0!</v>
      </c>
    </row>
    <row r="80" spans="1:11" x14ac:dyDescent="0.25">
      <c r="A80" s="7" t="s">
        <v>67</v>
      </c>
      <c r="B80" s="13"/>
      <c r="C80" s="37" t="e">
        <f>(C58-C57)/C54</f>
        <v>#DIV/0!</v>
      </c>
      <c r="D80" s="37"/>
      <c r="E80" s="11" t="e">
        <f t="shared" ref="E80:J80" si="54">(E58-E57)/E54</f>
        <v>#DIV/0!</v>
      </c>
      <c r="F80" s="11" t="e">
        <f t="shared" si="54"/>
        <v>#DIV/0!</v>
      </c>
      <c r="G80" s="11" t="e">
        <f t="shared" si="54"/>
        <v>#DIV/0!</v>
      </c>
      <c r="H80" s="11" t="e">
        <f t="shared" si="54"/>
        <v>#DIV/0!</v>
      </c>
      <c r="I80" s="11" t="e">
        <f t="shared" si="54"/>
        <v>#DIV/0!</v>
      </c>
      <c r="J80" s="12" t="e">
        <f t="shared" si="54"/>
        <v>#DIV/0!</v>
      </c>
    </row>
    <row r="81" spans="1:10" x14ac:dyDescent="0.25">
      <c r="A81" s="7" t="s">
        <v>24</v>
      </c>
      <c r="B81" s="11"/>
      <c r="C81" s="11" t="e">
        <f>C58/C54</f>
        <v>#DIV/0!</v>
      </c>
      <c r="D81" s="11"/>
      <c r="E81" s="11" t="e">
        <f t="shared" ref="E81:J81" si="55">E58/E54</f>
        <v>#DIV/0!</v>
      </c>
      <c r="F81" s="11" t="e">
        <f t="shared" si="55"/>
        <v>#DIV/0!</v>
      </c>
      <c r="G81" s="11" t="e">
        <f t="shared" si="55"/>
        <v>#DIV/0!</v>
      </c>
      <c r="H81" s="11" t="e">
        <f t="shared" si="55"/>
        <v>#DIV/0!</v>
      </c>
      <c r="I81" s="11" t="e">
        <f t="shared" si="55"/>
        <v>#DIV/0!</v>
      </c>
      <c r="J81" s="12" t="e">
        <f t="shared" si="55"/>
        <v>#DIV/0!</v>
      </c>
    </row>
    <row r="82" spans="1:10" x14ac:dyDescent="0.25">
      <c r="A82" s="7" t="s">
        <v>22</v>
      </c>
      <c r="B82" s="13"/>
      <c r="C82" s="11" t="e">
        <f>C$21/AVERAGE(C59:C59)</f>
        <v>#DIV/0!</v>
      </c>
      <c r="D82" s="11"/>
      <c r="E82" s="11" t="e">
        <f>E$21/AVERAGE(C59:E59)</f>
        <v>#DIV/0!</v>
      </c>
      <c r="F82" s="11" t="e">
        <f t="shared" ref="F82:J83" si="56">F$21/AVERAGE(E59:F59)</f>
        <v>#DIV/0!</v>
      </c>
      <c r="G82" s="11" t="e">
        <f t="shared" si="56"/>
        <v>#DIV/0!</v>
      </c>
      <c r="H82" s="11" t="e">
        <f t="shared" si="56"/>
        <v>#DIV/0!</v>
      </c>
      <c r="I82" s="11" t="e">
        <f t="shared" si="56"/>
        <v>#DIV/0!</v>
      </c>
      <c r="J82" s="12" t="e">
        <f t="shared" si="56"/>
        <v>#DIV/0!</v>
      </c>
    </row>
    <row r="83" spans="1:10" x14ac:dyDescent="0.25">
      <c r="A83" s="7" t="s">
        <v>23</v>
      </c>
      <c r="B83" s="13"/>
      <c r="C83" s="11" t="e">
        <f>C$21/AVERAGE(C60:C60)</f>
        <v>#DIV/0!</v>
      </c>
      <c r="D83" s="11"/>
      <c r="E83" s="11" t="e">
        <f>E$21/AVERAGE(C60:E60)</f>
        <v>#DIV/0!</v>
      </c>
      <c r="F83" s="11" t="e">
        <f t="shared" si="56"/>
        <v>#DIV/0!</v>
      </c>
      <c r="G83" s="11" t="e">
        <f t="shared" si="56"/>
        <v>#DIV/0!</v>
      </c>
      <c r="H83" s="11" t="e">
        <f t="shared" si="56"/>
        <v>#DIV/0!</v>
      </c>
      <c r="I83" s="11" t="e">
        <f t="shared" si="56"/>
        <v>#DIV/0!</v>
      </c>
      <c r="J83" s="12" t="e">
        <f t="shared" si="56"/>
        <v>#DIV/0!</v>
      </c>
    </row>
    <row r="84" spans="1:10" x14ac:dyDescent="0.25">
      <c r="A84" s="31" t="s">
        <v>25</v>
      </c>
      <c r="B84" s="30"/>
      <c r="C84" s="30"/>
      <c r="D84" s="30"/>
      <c r="E84" s="30"/>
      <c r="F84" s="30"/>
      <c r="G84" s="30"/>
      <c r="H84" s="30"/>
      <c r="I84" s="30"/>
      <c r="J84" s="36"/>
    </row>
    <row r="85" spans="1:10" x14ac:dyDescent="0.25">
      <c r="A85" s="7" t="s">
        <v>26</v>
      </c>
      <c r="B85" s="14"/>
      <c r="C85" s="14" t="e">
        <f>C50/C60</f>
        <v>#DIV/0!</v>
      </c>
      <c r="D85" s="14"/>
      <c r="E85" s="14" t="e">
        <f t="shared" ref="E85:J85" si="57">E50/E60</f>
        <v>#DIV/0!</v>
      </c>
      <c r="F85" s="14" t="e">
        <f t="shared" si="57"/>
        <v>#DIV/0!</v>
      </c>
      <c r="G85" s="14" t="e">
        <f t="shared" si="57"/>
        <v>#DIV/0!</v>
      </c>
      <c r="H85" s="14" t="e">
        <f t="shared" si="57"/>
        <v>#DIV/0!</v>
      </c>
      <c r="I85" s="14" t="e">
        <f t="shared" si="57"/>
        <v>#DIV/0!</v>
      </c>
      <c r="J85" s="15" t="e">
        <f t="shared" si="57"/>
        <v>#DIV/0!</v>
      </c>
    </row>
    <row r="86" spans="1:10" x14ac:dyDescent="0.25">
      <c r="A86" s="7" t="s">
        <v>27</v>
      </c>
      <c r="B86" s="14"/>
      <c r="C86" s="14" t="e">
        <f>C50/(C48+C50)</f>
        <v>#DIV/0!</v>
      </c>
      <c r="D86" s="14"/>
      <c r="E86" s="14" t="e">
        <f t="shared" ref="E86:J86" si="58">E50/(E48+E50)</f>
        <v>#DIV/0!</v>
      </c>
      <c r="F86" s="14" t="e">
        <f t="shared" si="58"/>
        <v>#DIV/0!</v>
      </c>
      <c r="G86" s="14" t="e">
        <f t="shared" si="58"/>
        <v>#DIV/0!</v>
      </c>
      <c r="H86" s="14" t="e">
        <f t="shared" si="58"/>
        <v>#DIV/0!</v>
      </c>
      <c r="I86" s="14" t="e">
        <f t="shared" si="58"/>
        <v>#DIV/0!</v>
      </c>
      <c r="J86" s="15" t="e">
        <f t="shared" si="58"/>
        <v>#DIV/0!</v>
      </c>
    </row>
    <row r="87" spans="1:10" x14ac:dyDescent="0.25">
      <c r="A87" s="7" t="s">
        <v>28</v>
      </c>
      <c r="B87" s="14"/>
      <c r="C87" s="14" t="e">
        <f>C50/C48</f>
        <v>#DIV/0!</v>
      </c>
      <c r="D87" s="14"/>
      <c r="E87" s="14" t="e">
        <f t="shared" ref="E87:J87" si="59">E50/E48</f>
        <v>#DIV/0!</v>
      </c>
      <c r="F87" s="14" t="e">
        <f t="shared" si="59"/>
        <v>#DIV/0!</v>
      </c>
      <c r="G87" s="14" t="e">
        <f t="shared" si="59"/>
        <v>#DIV/0!</v>
      </c>
      <c r="H87" s="14" t="e">
        <f t="shared" si="59"/>
        <v>#DIV/0!</v>
      </c>
      <c r="I87" s="14" t="e">
        <f t="shared" si="59"/>
        <v>#DIV/0!</v>
      </c>
      <c r="J87" s="15" t="e">
        <f t="shared" si="59"/>
        <v>#DIV/0!</v>
      </c>
    </row>
    <row r="88" spans="1:10" x14ac:dyDescent="0.25">
      <c r="A88" s="31" t="s">
        <v>88</v>
      </c>
      <c r="B88" s="30"/>
      <c r="C88" s="30"/>
      <c r="D88" s="30"/>
      <c r="E88" s="30"/>
      <c r="F88" s="30"/>
      <c r="G88" s="30"/>
      <c r="H88" s="30"/>
      <c r="I88" s="30"/>
      <c r="J88" s="36"/>
    </row>
    <row r="89" spans="1:10" x14ac:dyDescent="0.25">
      <c r="A89" s="31" t="s">
        <v>57</v>
      </c>
      <c r="B89" s="16"/>
      <c r="C89" s="16" t="e">
        <f>C36/AVERAGE(C48:C48)</f>
        <v>#DIV/0!</v>
      </c>
      <c r="D89" s="16"/>
      <c r="E89" s="16" t="e">
        <f>E36/AVERAGE(C48:E48)</f>
        <v>#DIV/0!</v>
      </c>
      <c r="F89" s="16" t="e">
        <f>F36/AVERAGE(E48:F48)</f>
        <v>#DIV/0!</v>
      </c>
      <c r="G89" s="16" t="e">
        <f>G36/AVERAGE(F48:G48)</f>
        <v>#DIV/0!</v>
      </c>
      <c r="H89" s="16" t="e">
        <f>H36/AVERAGE(G48:H48)</f>
        <v>#DIV/0!</v>
      </c>
      <c r="I89" s="16" t="e">
        <f>I36/AVERAGE(H48:I48)</f>
        <v>#DIV/0!</v>
      </c>
      <c r="J89" s="17" t="e">
        <f>J36/AVERAGE(I48:J48)</f>
        <v>#DIV/0!</v>
      </c>
    </row>
    <row r="90" spans="1:10" x14ac:dyDescent="0.25">
      <c r="A90" s="24" t="s">
        <v>32</v>
      </c>
      <c r="B90" s="25"/>
      <c r="C90" s="16" t="e">
        <f>C37</f>
        <v>#DIV/0!</v>
      </c>
      <c r="D90" s="16"/>
      <c r="E90" s="16" t="e">
        <f t="shared" ref="E90:J90" si="60">E37</f>
        <v>#DIV/0!</v>
      </c>
      <c r="F90" s="16">
        <f t="shared" si="60"/>
        <v>2.3596413261857623E-2</v>
      </c>
      <c r="G90" s="16" t="e">
        <f t="shared" si="60"/>
        <v>#DIV/0!</v>
      </c>
      <c r="H90" s="16" t="e">
        <f t="shared" si="60"/>
        <v>#DIV/0!</v>
      </c>
      <c r="I90" s="16">
        <f t="shared" si="60"/>
        <v>1.9894361893841798E-2</v>
      </c>
      <c r="J90" s="17">
        <f t="shared" si="60"/>
        <v>1.0351033782157027E-2</v>
      </c>
    </row>
    <row r="91" spans="1:10" x14ac:dyDescent="0.25">
      <c r="A91" s="24" t="s">
        <v>33</v>
      </c>
      <c r="B91" s="18"/>
      <c r="C91" s="18" t="e">
        <f>C83</f>
        <v>#DIV/0!</v>
      </c>
      <c r="D91" s="18"/>
      <c r="E91" s="18" t="e">
        <f t="shared" ref="E91:J91" si="61">E83</f>
        <v>#DIV/0!</v>
      </c>
      <c r="F91" s="18" t="e">
        <f t="shared" si="61"/>
        <v>#DIV/0!</v>
      </c>
      <c r="G91" s="18" t="e">
        <f t="shared" si="61"/>
        <v>#DIV/0!</v>
      </c>
      <c r="H91" s="18" t="e">
        <f t="shared" si="61"/>
        <v>#DIV/0!</v>
      </c>
      <c r="I91" s="18" t="e">
        <f t="shared" si="61"/>
        <v>#DIV/0!</v>
      </c>
      <c r="J91" s="19" t="e">
        <f t="shared" si="61"/>
        <v>#DIV/0!</v>
      </c>
    </row>
    <row r="92" spans="1:10" x14ac:dyDescent="0.25">
      <c r="A92" s="26" t="s">
        <v>29</v>
      </c>
      <c r="B92" s="18"/>
      <c r="C92" s="18" t="e">
        <f t="shared" ref="C92:J92" si="62">AVERAGE(C60:C60)/AVERAGE(C48:C48)</f>
        <v>#DIV/0!</v>
      </c>
      <c r="D92" s="18" t="e">
        <f t="shared" si="62"/>
        <v>#DIV/0!</v>
      </c>
      <c r="E92" s="18" t="e">
        <f t="shared" si="62"/>
        <v>#DIV/0!</v>
      </c>
      <c r="F92" s="18" t="e">
        <f t="shared" si="62"/>
        <v>#DIV/0!</v>
      </c>
      <c r="G92" s="18" t="e">
        <f t="shared" si="62"/>
        <v>#DIV/0!</v>
      </c>
      <c r="H92" s="18" t="e">
        <f t="shared" si="62"/>
        <v>#DIV/0!</v>
      </c>
      <c r="I92" s="18" t="e">
        <f t="shared" si="62"/>
        <v>#DIV/0!</v>
      </c>
      <c r="J92" s="19" t="e">
        <f t="shared" si="62"/>
        <v>#DIV/0!</v>
      </c>
    </row>
    <row r="93" spans="1:10" x14ac:dyDescent="0.25">
      <c r="A93" s="27" t="s">
        <v>54</v>
      </c>
      <c r="B93" s="18"/>
      <c r="C93" s="53" t="e">
        <f>C32/(AVERAGE(B48,C48,B50,C50))</f>
        <v>#DIV/0!</v>
      </c>
      <c r="D93" s="53"/>
      <c r="E93" s="53" t="e">
        <f>E32/(AVERAGE(C48,E48,C50,E50))</f>
        <v>#DIV/0!</v>
      </c>
      <c r="F93" s="53" t="e">
        <f>F32/(AVERAGE(E48,F48,E50,F50))</f>
        <v>#DIV/0!</v>
      </c>
      <c r="G93" s="53" t="e">
        <f>G32/(AVERAGE(F48,G48,F50,G50))</f>
        <v>#DIV/0!</v>
      </c>
      <c r="H93" s="53" t="e">
        <f>H32/(AVERAGE(G48,H48,G50,H50))</f>
        <v>#DIV/0!</v>
      </c>
      <c r="I93" s="53" t="e">
        <f>I32/(AVERAGE(H48,I48,H50,I50))</f>
        <v>#DIV/0!</v>
      </c>
      <c r="J93" s="54" t="e">
        <f>J32/(AVERAGE(I48,J48,I50,J50))</f>
        <v>#DIV/0!</v>
      </c>
    </row>
    <row r="94" spans="1:10" ht="15.75" thickBot="1" x14ac:dyDescent="0.3">
      <c r="A94" s="28" t="s">
        <v>55</v>
      </c>
      <c r="B94" s="29"/>
      <c r="C94" s="52" t="e">
        <f>(C36-C33*(1-C38))/AVERAGE(B60,C60)</f>
        <v>#DIV/0!</v>
      </c>
      <c r="D94" s="52"/>
      <c r="E94" s="55" t="e">
        <f>(E36-E33*(1-E38))/AVERAGE(C60,E60)</f>
        <v>#DIV/0!</v>
      </c>
      <c r="F94" s="55" t="e">
        <f>(F36-F33*(1-F38))/AVERAGE(E60,F60)</f>
        <v>#DIV/0!</v>
      </c>
      <c r="G94" s="55" t="e">
        <f>(G36-G33*(1-G38))/AVERAGE(F60,G60)</f>
        <v>#DIV/0!</v>
      </c>
      <c r="H94" s="55" t="e">
        <f>(H36-H33*(1-H38))/AVERAGE(G60,H60)</f>
        <v>#DIV/0!</v>
      </c>
      <c r="I94" s="55" t="e">
        <f>(I36-I33*(1-I38))/AVERAGE(H60,I60)</f>
        <v>#DIV/0!</v>
      </c>
      <c r="J94" s="56" t="e">
        <f>(J36-J33*(1-J38))/AVERAGE(I60,J60)</f>
        <v>#DIV/0!</v>
      </c>
    </row>
    <row r="95" spans="1:10" x14ac:dyDescent="0.25">
      <c r="A95" s="22" t="s">
        <v>34</v>
      </c>
      <c r="B95" s="23">
        <f t="shared" ref="B95:J95" si="63">B90*B91*B92-B89</f>
        <v>0</v>
      </c>
      <c r="C95" s="23" t="e">
        <f t="shared" si="63"/>
        <v>#DIV/0!</v>
      </c>
      <c r="D95" s="23"/>
      <c r="E95" s="23" t="e">
        <f t="shared" si="63"/>
        <v>#DIV/0!</v>
      </c>
      <c r="F95" s="23" t="e">
        <f t="shared" si="63"/>
        <v>#DIV/0!</v>
      </c>
      <c r="G95" s="23" t="e">
        <f t="shared" si="63"/>
        <v>#DIV/0!</v>
      </c>
      <c r="H95" s="23" t="e">
        <f t="shared" si="63"/>
        <v>#DIV/0!</v>
      </c>
      <c r="I95" s="23" t="e">
        <f t="shared" si="63"/>
        <v>#DIV/0!</v>
      </c>
      <c r="J95" s="23" t="e">
        <f t="shared" si="63"/>
        <v>#DIV/0!</v>
      </c>
    </row>
    <row r="96" spans="1:10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</row>
    <row r="97" spans="1:10" x14ac:dyDescent="0.25">
      <c r="A97" s="10"/>
      <c r="B97" s="20"/>
      <c r="C97" s="20"/>
      <c r="D97" s="20"/>
      <c r="E97" s="20"/>
      <c r="F97" s="20"/>
      <c r="G97" s="20"/>
      <c r="H97" s="20"/>
      <c r="I97" s="20"/>
      <c r="J97" s="20"/>
    </row>
  </sheetData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96"/>
  <sheetViews>
    <sheetView workbookViewId="0">
      <pane xSplit="1" ySplit="1" topLeftCell="B74" activePane="bottomRight" state="frozen"/>
      <selection pane="topRight" activeCell="B1" sqref="B1"/>
      <selection pane="bottomLeft" activeCell="A2" sqref="A2"/>
      <selection pane="bottomRight" activeCell="I92" sqref="I92"/>
    </sheetView>
  </sheetViews>
  <sheetFormatPr defaultRowHeight="15" x14ac:dyDescent="0.25"/>
  <cols>
    <col min="1" max="1" width="35.42578125" style="1" bestFit="1" customWidth="1"/>
    <col min="2" max="8" width="9.140625" style="1"/>
    <col min="9" max="9" width="11" style="1" bestFit="1" customWidth="1"/>
    <col min="10" max="11" width="9.140625" style="1"/>
    <col min="12" max="12" width="11" style="1" bestFit="1" customWidth="1"/>
    <col min="13" max="16384" width="9.140625" style="1"/>
  </cols>
  <sheetData>
    <row r="1" spans="1:11" x14ac:dyDescent="0.25">
      <c r="A1" s="4" t="s">
        <v>53</v>
      </c>
      <c r="B1" s="5"/>
      <c r="C1" s="5" t="s">
        <v>100</v>
      </c>
      <c r="D1" s="5" t="s">
        <v>99</v>
      </c>
      <c r="E1" s="5" t="s">
        <v>98</v>
      </c>
      <c r="F1" s="5" t="s">
        <v>94</v>
      </c>
      <c r="G1" s="5" t="s">
        <v>95</v>
      </c>
      <c r="H1" s="5" t="s">
        <v>96</v>
      </c>
      <c r="I1" s="5" t="s">
        <v>97</v>
      </c>
      <c r="J1" s="6" t="s">
        <v>93</v>
      </c>
      <c r="K1" s="40" t="s">
        <v>70</v>
      </c>
    </row>
    <row r="2" spans="1:11" x14ac:dyDescent="0.25">
      <c r="A2" s="34" t="s">
        <v>38</v>
      </c>
      <c r="B2" s="32"/>
      <c r="C2" s="32"/>
      <c r="D2" s="32"/>
      <c r="E2" s="32"/>
      <c r="F2" s="32"/>
      <c r="G2" s="32"/>
      <c r="H2" s="32"/>
      <c r="I2" s="32"/>
      <c r="J2" s="35"/>
    </row>
    <row r="3" spans="1:11" x14ac:dyDescent="0.25">
      <c r="A3" s="7" t="s">
        <v>58</v>
      </c>
      <c r="B3" s="8"/>
      <c r="C3" s="44"/>
      <c r="D3" s="44">
        <v>749.89400000000001</v>
      </c>
      <c r="E3" s="44">
        <v>667.25400000000002</v>
      </c>
      <c r="F3" s="44">
        <v>561.14200000000005</v>
      </c>
      <c r="G3" s="44">
        <v>636.30799999999999</v>
      </c>
      <c r="H3" s="44">
        <v>637.71699999999998</v>
      </c>
      <c r="I3" s="44">
        <v>605.86400000000003</v>
      </c>
      <c r="J3" s="45">
        <v>499.68799999999999</v>
      </c>
    </row>
    <row r="4" spans="1:11" x14ac:dyDescent="0.25">
      <c r="A4" s="7" t="s">
        <v>5</v>
      </c>
      <c r="B4" s="8"/>
      <c r="C4" s="44"/>
      <c r="D4" s="44">
        <v>-341.97899999999998</v>
      </c>
      <c r="E4" s="44">
        <v>-292.58</v>
      </c>
      <c r="F4" s="44">
        <v>-269.78100000000001</v>
      </c>
      <c r="G4" s="44">
        <v>-385.34800000000001</v>
      </c>
      <c r="H4" s="44">
        <v>-350.29199999999997</v>
      </c>
      <c r="I4" s="44">
        <v>-309.15600000000001</v>
      </c>
      <c r="J4" s="45">
        <v>-266.69799999999998</v>
      </c>
    </row>
    <row r="5" spans="1:11" x14ac:dyDescent="0.25">
      <c r="A5" s="7" t="s">
        <v>40</v>
      </c>
      <c r="B5" s="8"/>
      <c r="C5" s="8">
        <f t="shared" ref="C5:H5" si="0">C3+C4</f>
        <v>0</v>
      </c>
      <c r="D5" s="8">
        <f t="shared" ref="D5" si="1">D3+D4</f>
        <v>407.91500000000002</v>
      </c>
      <c r="E5" s="8">
        <f t="shared" si="0"/>
        <v>374.67400000000004</v>
      </c>
      <c r="F5" s="8">
        <f t="shared" si="0"/>
        <v>291.36100000000005</v>
      </c>
      <c r="G5" s="8">
        <f t="shared" si="0"/>
        <v>250.95999999999998</v>
      </c>
      <c r="H5" s="8">
        <f t="shared" si="0"/>
        <v>287.42500000000001</v>
      </c>
      <c r="I5" s="8">
        <f>I3+I4</f>
        <v>296.70800000000003</v>
      </c>
      <c r="J5" s="9">
        <f>J3+J4</f>
        <v>232.99</v>
      </c>
    </row>
    <row r="6" spans="1:11" x14ac:dyDescent="0.25">
      <c r="A6" s="7" t="s">
        <v>41</v>
      </c>
      <c r="B6" s="8"/>
      <c r="C6" s="44"/>
      <c r="D6" s="44">
        <f>(-600.819-D4-D8)</f>
        <v>-246.65499999999997</v>
      </c>
      <c r="E6" s="44">
        <f>(-544.704-E4-E8)</f>
        <v>-218.09499999999997</v>
      </c>
      <c r="F6" s="44">
        <f>(-476.52-F4-F8)</f>
        <v>-192.46199999999999</v>
      </c>
      <c r="G6" s="44">
        <f>(-516.572-G4-G8)</f>
        <v>-111.32299999999999</v>
      </c>
      <c r="H6" s="44">
        <f>(-503.118-H4-H8)</f>
        <v>-140.64200000000002</v>
      </c>
      <c r="I6" s="44">
        <f>(-545.219-I4-I8)</f>
        <v>-219.54600000000005</v>
      </c>
      <c r="J6" s="45">
        <f>(-437.999-J4-J8)</f>
        <v>-147.48600000000005</v>
      </c>
    </row>
    <row r="7" spans="1:11" x14ac:dyDescent="0.25">
      <c r="A7" s="7" t="s">
        <v>42</v>
      </c>
      <c r="B7" s="8"/>
      <c r="C7" s="8">
        <f t="shared" ref="C7:J7" si="2">C5+C6</f>
        <v>0</v>
      </c>
      <c r="D7" s="8">
        <f t="shared" ref="D7" si="3">D5+D6</f>
        <v>161.26000000000005</v>
      </c>
      <c r="E7" s="8">
        <f t="shared" si="2"/>
        <v>156.57900000000006</v>
      </c>
      <c r="F7" s="8">
        <f t="shared" si="2"/>
        <v>98.899000000000058</v>
      </c>
      <c r="G7" s="8">
        <f t="shared" si="2"/>
        <v>139.637</v>
      </c>
      <c r="H7" s="8">
        <f t="shared" si="2"/>
        <v>146.78299999999999</v>
      </c>
      <c r="I7" s="8">
        <f t="shared" si="2"/>
        <v>77.161999999999978</v>
      </c>
      <c r="J7" s="9">
        <f t="shared" si="2"/>
        <v>85.503999999999962</v>
      </c>
    </row>
    <row r="8" spans="1:11" x14ac:dyDescent="0.25">
      <c r="A8" s="7" t="s">
        <v>43</v>
      </c>
      <c r="B8" s="8"/>
      <c r="C8" s="44"/>
      <c r="D8" s="44">
        <v>-12.185</v>
      </c>
      <c r="E8" s="44">
        <v>-34.029000000000003</v>
      </c>
      <c r="F8" s="44">
        <v>-14.276999999999999</v>
      </c>
      <c r="G8" s="44">
        <v>-19.901</v>
      </c>
      <c r="H8" s="44">
        <v>-12.183999999999999</v>
      </c>
      <c r="I8" s="44">
        <v>-16.516999999999999</v>
      </c>
      <c r="J8" s="45">
        <v>-23.815000000000001</v>
      </c>
    </row>
    <row r="9" spans="1:11" x14ac:dyDescent="0.25">
      <c r="A9" s="7" t="s">
        <v>44</v>
      </c>
      <c r="B9" s="8"/>
      <c r="C9" s="8">
        <f t="shared" ref="C9:J9" si="4">C7+C8</f>
        <v>0</v>
      </c>
      <c r="D9" s="8">
        <f t="shared" ref="D9" si="5">D7+D8</f>
        <v>149.07500000000005</v>
      </c>
      <c r="E9" s="8">
        <f t="shared" si="4"/>
        <v>122.55000000000007</v>
      </c>
      <c r="F9" s="8">
        <f t="shared" si="4"/>
        <v>84.622000000000057</v>
      </c>
      <c r="G9" s="8">
        <f t="shared" si="4"/>
        <v>119.736</v>
      </c>
      <c r="H9" s="8">
        <f t="shared" si="4"/>
        <v>134.59899999999999</v>
      </c>
      <c r="I9" s="8">
        <f t="shared" si="4"/>
        <v>60.644999999999982</v>
      </c>
      <c r="J9" s="9">
        <f t="shared" si="4"/>
        <v>61.688999999999965</v>
      </c>
    </row>
    <row r="10" spans="1:11" x14ac:dyDescent="0.25">
      <c r="A10" s="7" t="s">
        <v>45</v>
      </c>
      <c r="B10" s="8"/>
      <c r="C10" s="44"/>
      <c r="D10" s="44">
        <v>-17.510000000000002</v>
      </c>
      <c r="E10" s="44">
        <v>-8.7590000000000003</v>
      </c>
      <c r="F10" s="44">
        <v>-7.1280000000000001</v>
      </c>
      <c r="G10" s="44">
        <v>-11.624000000000001</v>
      </c>
      <c r="H10" s="44">
        <v>-12.124000000000001</v>
      </c>
      <c r="I10" s="44">
        <v>-11.052</v>
      </c>
      <c r="J10" s="45">
        <v>-12.191000000000001</v>
      </c>
    </row>
    <row r="11" spans="1:11" x14ac:dyDescent="0.25">
      <c r="A11" s="7" t="s">
        <v>101</v>
      </c>
      <c r="B11" s="8"/>
      <c r="C11" s="44"/>
      <c r="D11" s="44">
        <v>7.9560000000000004</v>
      </c>
      <c r="E11" s="44">
        <f>10.626-1.2</f>
        <v>9.4260000000000002</v>
      </c>
      <c r="F11" s="44">
        <v>3.2519999999999998</v>
      </c>
      <c r="G11" s="44">
        <v>0.184</v>
      </c>
      <c r="H11" s="44">
        <v>7.0000000000000007E-2</v>
      </c>
      <c r="I11" s="44">
        <v>2.3450000000000002</v>
      </c>
      <c r="J11" s="45">
        <v>0.72699999999999998</v>
      </c>
    </row>
    <row r="12" spans="1:11" x14ac:dyDescent="0.25">
      <c r="A12" s="7" t="s">
        <v>46</v>
      </c>
      <c r="B12" s="8"/>
      <c r="C12" s="8">
        <f>C9+C10+C11</f>
        <v>0</v>
      </c>
      <c r="D12" s="8">
        <f>D9+D10+D11</f>
        <v>139.52100000000004</v>
      </c>
      <c r="E12" s="8">
        <f t="shared" ref="E12:J12" si="6">E9+E10+E11</f>
        <v>123.21700000000007</v>
      </c>
      <c r="F12" s="8">
        <f t="shared" si="6"/>
        <v>80.746000000000052</v>
      </c>
      <c r="G12" s="8">
        <f t="shared" si="6"/>
        <v>108.29600000000001</v>
      </c>
      <c r="H12" s="8">
        <f t="shared" si="6"/>
        <v>122.54499999999999</v>
      </c>
      <c r="I12" s="8">
        <f t="shared" si="6"/>
        <v>51.937999999999981</v>
      </c>
      <c r="J12" s="9">
        <f t="shared" si="6"/>
        <v>50.224999999999959</v>
      </c>
    </row>
    <row r="13" spans="1:11" x14ac:dyDescent="0.25">
      <c r="A13" s="7" t="s">
        <v>47</v>
      </c>
      <c r="B13" s="8"/>
      <c r="C13" s="44"/>
      <c r="D13" s="44">
        <v>15.667999999999999</v>
      </c>
      <c r="E13" s="44">
        <v>5.6689999999999996</v>
      </c>
      <c r="F13" s="44">
        <v>-15.539</v>
      </c>
      <c r="G13" s="44">
        <v>-28.562000000000001</v>
      </c>
      <c r="H13" s="44">
        <v>-34.331000000000003</v>
      </c>
      <c r="I13" s="44">
        <v>-10.227</v>
      </c>
      <c r="J13" s="45">
        <v>-17.398</v>
      </c>
    </row>
    <row r="14" spans="1:11" x14ac:dyDescent="0.25">
      <c r="A14" s="7" t="s">
        <v>48</v>
      </c>
      <c r="B14" s="8"/>
      <c r="C14" s="8">
        <f>C12+C13</f>
        <v>0</v>
      </c>
      <c r="D14" s="8">
        <f>D12+D13</f>
        <v>155.18900000000005</v>
      </c>
      <c r="E14" s="8">
        <f t="shared" ref="E14:I14" si="7">E12+E13</f>
        <v>128.88600000000008</v>
      </c>
      <c r="F14" s="8">
        <f t="shared" si="7"/>
        <v>65.20700000000005</v>
      </c>
      <c r="G14" s="8">
        <f t="shared" si="7"/>
        <v>79.734000000000009</v>
      </c>
      <c r="H14" s="8">
        <f t="shared" si="7"/>
        <v>88.213999999999984</v>
      </c>
      <c r="I14" s="8">
        <f t="shared" si="7"/>
        <v>41.710999999999984</v>
      </c>
      <c r="J14" s="9">
        <f>J12+J13</f>
        <v>32.826999999999956</v>
      </c>
    </row>
    <row r="15" spans="1:11" x14ac:dyDescent="0.25">
      <c r="A15" s="59" t="s">
        <v>56</v>
      </c>
      <c r="B15" s="64"/>
      <c r="C15" s="65" t="e">
        <f t="shared" ref="C15:J15" si="8">-C13/C12</f>
        <v>#DIV/0!</v>
      </c>
      <c r="D15" s="65">
        <f t="shared" si="8"/>
        <v>-0.11229850703478325</v>
      </c>
      <c r="E15" s="65">
        <f t="shared" si="8"/>
        <v>-4.6008261846985372E-2</v>
      </c>
      <c r="F15" s="65">
        <f t="shared" si="8"/>
        <v>0.19244296931117319</v>
      </c>
      <c r="G15" s="65">
        <f t="shared" si="8"/>
        <v>0.26374011967201005</v>
      </c>
      <c r="H15" s="65">
        <f t="shared" si="8"/>
        <v>0.28015014892488477</v>
      </c>
      <c r="I15" s="65">
        <f t="shared" si="8"/>
        <v>0.19690785166929808</v>
      </c>
      <c r="J15" s="66">
        <f t="shared" si="8"/>
        <v>0.34640119462419144</v>
      </c>
    </row>
    <row r="16" spans="1:11" x14ac:dyDescent="0.25">
      <c r="A16" s="59" t="s">
        <v>72</v>
      </c>
      <c r="B16" s="64"/>
      <c r="C16" s="64">
        <f t="shared" ref="C16:H16" si="9">(C65*C61)</f>
        <v>0</v>
      </c>
      <c r="D16" s="64">
        <f t="shared" ref="D16" si="10">(D65*D61)</f>
        <v>0</v>
      </c>
      <c r="E16" s="64">
        <f t="shared" si="9"/>
        <v>0</v>
      </c>
      <c r="F16" s="64">
        <f t="shared" si="9"/>
        <v>0</v>
      </c>
      <c r="G16" s="64">
        <f t="shared" si="9"/>
        <v>0</v>
      </c>
      <c r="H16" s="64">
        <f t="shared" si="9"/>
        <v>0</v>
      </c>
      <c r="I16" s="64">
        <f>(I65*I61)</f>
        <v>0</v>
      </c>
      <c r="J16" s="72">
        <f>(J65*J61)</f>
        <v>0</v>
      </c>
    </row>
    <row r="17" spans="1:10" x14ac:dyDescent="0.25">
      <c r="A17" s="59" t="s">
        <v>73</v>
      </c>
      <c r="B17" s="64"/>
      <c r="C17" s="65" t="e">
        <f t="shared" ref="C17:J17" si="11">C16/C14</f>
        <v>#DIV/0!</v>
      </c>
      <c r="D17" s="65">
        <f t="shared" si="11"/>
        <v>0</v>
      </c>
      <c r="E17" s="65">
        <f t="shared" si="11"/>
        <v>0</v>
      </c>
      <c r="F17" s="65">
        <f t="shared" si="11"/>
        <v>0</v>
      </c>
      <c r="G17" s="65">
        <f t="shared" si="11"/>
        <v>0</v>
      </c>
      <c r="H17" s="65">
        <f t="shared" si="11"/>
        <v>0</v>
      </c>
      <c r="I17" s="65">
        <f t="shared" si="11"/>
        <v>0</v>
      </c>
      <c r="J17" s="66">
        <f t="shared" si="11"/>
        <v>0</v>
      </c>
    </row>
    <row r="18" spans="1:10" x14ac:dyDescent="0.25">
      <c r="A18" s="34" t="s">
        <v>60</v>
      </c>
      <c r="B18" s="32"/>
      <c r="C18" s="32"/>
      <c r="D18" s="32"/>
      <c r="E18" s="32"/>
      <c r="F18" s="32"/>
      <c r="G18" s="32"/>
      <c r="H18" s="32"/>
      <c r="I18" s="32"/>
      <c r="J18" s="35"/>
    </row>
    <row r="19" spans="1:10" x14ac:dyDescent="0.25">
      <c r="A19" s="41" t="s">
        <v>86</v>
      </c>
      <c r="B19" s="42"/>
      <c r="C19" s="44"/>
      <c r="D19" s="44"/>
      <c r="E19" s="44"/>
      <c r="F19" s="44"/>
      <c r="G19" s="44"/>
      <c r="H19" s="44"/>
      <c r="I19" s="44"/>
      <c r="J19" s="45"/>
    </row>
    <row r="20" spans="1:10" x14ac:dyDescent="0.25">
      <c r="A20" s="7" t="s">
        <v>58</v>
      </c>
      <c r="B20" s="8"/>
      <c r="C20" s="8">
        <f>C3</f>
        <v>0</v>
      </c>
      <c r="D20" s="8">
        <f t="shared" ref="D20:J20" si="12">D3</f>
        <v>749.89400000000001</v>
      </c>
      <c r="E20" s="8">
        <f t="shared" si="12"/>
        <v>667.25400000000002</v>
      </c>
      <c r="F20" s="8">
        <f t="shared" si="12"/>
        <v>561.14200000000005</v>
      </c>
      <c r="G20" s="8">
        <f t="shared" si="12"/>
        <v>636.30799999999999</v>
      </c>
      <c r="H20" s="8">
        <f t="shared" si="12"/>
        <v>637.71699999999998</v>
      </c>
      <c r="I20" s="8">
        <f t="shared" si="12"/>
        <v>605.86400000000003</v>
      </c>
      <c r="J20" s="9">
        <f t="shared" si="12"/>
        <v>499.68799999999999</v>
      </c>
    </row>
    <row r="21" spans="1:10" x14ac:dyDescent="0.25">
      <c r="A21" s="38" t="s">
        <v>89</v>
      </c>
      <c r="B21" s="8"/>
      <c r="C21" s="67"/>
      <c r="D21" s="67"/>
      <c r="E21" s="67"/>
      <c r="F21" s="67"/>
      <c r="G21" s="67"/>
      <c r="H21" s="67"/>
      <c r="I21" s="67"/>
      <c r="J21" s="51"/>
    </row>
    <row r="22" spans="1:10" x14ac:dyDescent="0.25">
      <c r="A22" s="38" t="s">
        <v>90</v>
      </c>
      <c r="B22" s="8"/>
      <c r="C22" s="63">
        <f t="shared" ref="C22:H22" si="13">1-C21</f>
        <v>1</v>
      </c>
      <c r="D22" s="63">
        <f t="shared" si="13"/>
        <v>1</v>
      </c>
      <c r="E22" s="63">
        <f t="shared" si="13"/>
        <v>1</v>
      </c>
      <c r="F22" s="63">
        <f t="shared" si="13"/>
        <v>1</v>
      </c>
      <c r="G22" s="63">
        <f t="shared" si="13"/>
        <v>1</v>
      </c>
      <c r="H22" s="63">
        <f t="shared" si="13"/>
        <v>1</v>
      </c>
      <c r="I22" s="63">
        <f>1-I21</f>
        <v>1</v>
      </c>
      <c r="J22" s="43">
        <f>1-J21</f>
        <v>1</v>
      </c>
    </row>
    <row r="23" spans="1:10" x14ac:dyDescent="0.25">
      <c r="A23" s="7" t="s">
        <v>5</v>
      </c>
      <c r="B23" s="8"/>
      <c r="C23" s="8">
        <f t="shared" ref="C23:J23" si="14">C4</f>
        <v>0</v>
      </c>
      <c r="D23" s="8">
        <f t="shared" si="14"/>
        <v>-341.97899999999998</v>
      </c>
      <c r="E23" s="8">
        <f t="shared" si="14"/>
        <v>-292.58</v>
      </c>
      <c r="F23" s="8">
        <f t="shared" si="14"/>
        <v>-269.78100000000001</v>
      </c>
      <c r="G23" s="8">
        <f t="shared" si="14"/>
        <v>-385.34800000000001</v>
      </c>
      <c r="H23" s="8">
        <f t="shared" si="14"/>
        <v>-350.29199999999997</v>
      </c>
      <c r="I23" s="8">
        <f t="shared" si="14"/>
        <v>-309.15600000000001</v>
      </c>
      <c r="J23" s="9">
        <f t="shared" si="14"/>
        <v>-266.69799999999998</v>
      </c>
    </row>
    <row r="24" spans="1:10" x14ac:dyDescent="0.25">
      <c r="A24" s="7" t="s">
        <v>40</v>
      </c>
      <c r="B24" s="8"/>
      <c r="C24" s="8">
        <f t="shared" ref="C24:J24" si="15">C20+C23</f>
        <v>0</v>
      </c>
      <c r="D24" s="8">
        <f t="shared" si="15"/>
        <v>407.91500000000002</v>
      </c>
      <c r="E24" s="8">
        <f t="shared" si="15"/>
        <v>374.67400000000004</v>
      </c>
      <c r="F24" s="8">
        <f t="shared" si="15"/>
        <v>291.36100000000005</v>
      </c>
      <c r="G24" s="8">
        <f t="shared" si="15"/>
        <v>250.95999999999998</v>
      </c>
      <c r="H24" s="8">
        <f t="shared" si="15"/>
        <v>287.42500000000001</v>
      </c>
      <c r="I24" s="8">
        <f t="shared" si="15"/>
        <v>296.70800000000003</v>
      </c>
      <c r="J24" s="9">
        <f t="shared" si="15"/>
        <v>232.99</v>
      </c>
    </row>
    <row r="25" spans="1:10" x14ac:dyDescent="0.25">
      <c r="A25" s="59" t="s">
        <v>30</v>
      </c>
      <c r="B25" s="60"/>
      <c r="C25" s="60" t="e">
        <f t="shared" ref="C25:J25" si="16">C24/C20</f>
        <v>#DIV/0!</v>
      </c>
      <c r="D25" s="60">
        <f t="shared" si="16"/>
        <v>0.54396354684795456</v>
      </c>
      <c r="E25" s="60">
        <f t="shared" si="16"/>
        <v>0.56151630413605613</v>
      </c>
      <c r="F25" s="60">
        <f t="shared" si="16"/>
        <v>0.51922864444293959</v>
      </c>
      <c r="G25" s="60">
        <f t="shared" si="16"/>
        <v>0.39440019613143318</v>
      </c>
      <c r="H25" s="60">
        <f t="shared" si="16"/>
        <v>0.45070932717804296</v>
      </c>
      <c r="I25" s="60">
        <f t="shared" si="16"/>
        <v>0.48972706746068428</v>
      </c>
      <c r="J25" s="61">
        <f t="shared" si="16"/>
        <v>0.46627095307471866</v>
      </c>
    </row>
    <row r="26" spans="1:10" x14ac:dyDescent="0.25">
      <c r="A26" s="7" t="s">
        <v>41</v>
      </c>
      <c r="B26" s="8"/>
      <c r="C26" s="8">
        <f t="shared" ref="C26:J26" si="17">C6</f>
        <v>0</v>
      </c>
      <c r="D26" s="8">
        <f t="shared" si="17"/>
        <v>-246.65499999999997</v>
      </c>
      <c r="E26" s="8">
        <f t="shared" si="17"/>
        <v>-218.09499999999997</v>
      </c>
      <c r="F26" s="8">
        <f t="shared" si="17"/>
        <v>-192.46199999999999</v>
      </c>
      <c r="G26" s="8">
        <f t="shared" si="17"/>
        <v>-111.32299999999999</v>
      </c>
      <c r="H26" s="8">
        <f t="shared" si="17"/>
        <v>-140.64200000000002</v>
      </c>
      <c r="I26" s="8">
        <f t="shared" si="17"/>
        <v>-219.54600000000005</v>
      </c>
      <c r="J26" s="9">
        <f t="shared" si="17"/>
        <v>-147.48600000000005</v>
      </c>
    </row>
    <row r="27" spans="1:10" x14ac:dyDescent="0.25">
      <c r="A27" s="7" t="s">
        <v>42</v>
      </c>
      <c r="B27" s="8"/>
      <c r="C27" s="8">
        <f t="shared" ref="C27:H27" si="18">C24+C26</f>
        <v>0</v>
      </c>
      <c r="D27" s="8">
        <f t="shared" si="18"/>
        <v>161.26000000000005</v>
      </c>
      <c r="E27" s="8">
        <f t="shared" si="18"/>
        <v>156.57900000000006</v>
      </c>
      <c r="F27" s="8">
        <f t="shared" si="18"/>
        <v>98.899000000000058</v>
      </c>
      <c r="G27" s="8">
        <f t="shared" si="18"/>
        <v>139.637</v>
      </c>
      <c r="H27" s="8">
        <f t="shared" si="18"/>
        <v>146.78299999999999</v>
      </c>
      <c r="I27" s="8">
        <f>I24+I26</f>
        <v>77.161999999999978</v>
      </c>
      <c r="J27" s="9">
        <f>J24+J26</f>
        <v>85.503999999999962</v>
      </c>
    </row>
    <row r="28" spans="1:10" x14ac:dyDescent="0.25">
      <c r="A28" s="59" t="s">
        <v>105</v>
      </c>
      <c r="B28" s="60"/>
      <c r="C28" s="60" t="e">
        <f>C27/C20</f>
        <v>#DIV/0!</v>
      </c>
      <c r="D28" s="60">
        <f t="shared" ref="D28:J28" si="19">D27/D20</f>
        <v>0.21504372617996684</v>
      </c>
      <c r="E28" s="60">
        <f t="shared" si="19"/>
        <v>0.23466176298680871</v>
      </c>
      <c r="F28" s="60">
        <f t="shared" si="19"/>
        <v>0.17624594131253773</v>
      </c>
      <c r="G28" s="60">
        <f t="shared" si="19"/>
        <v>0.21944875751994317</v>
      </c>
      <c r="H28" s="60">
        <f t="shared" si="19"/>
        <v>0.23016949524632399</v>
      </c>
      <c r="I28" s="60">
        <f t="shared" si="19"/>
        <v>0.12735861513474966</v>
      </c>
      <c r="J28" s="61">
        <f t="shared" si="19"/>
        <v>0.17111477561998681</v>
      </c>
    </row>
    <row r="29" spans="1:10" x14ac:dyDescent="0.25">
      <c r="A29" s="59" t="s">
        <v>106</v>
      </c>
      <c r="B29" s="8"/>
      <c r="C29" s="74" t="e">
        <f t="shared" ref="C29:H29" si="20">C24/C27</f>
        <v>#DIV/0!</v>
      </c>
      <c r="D29" s="74">
        <f t="shared" si="20"/>
        <v>2.5295485551283634</v>
      </c>
      <c r="E29" s="74">
        <f t="shared" si="20"/>
        <v>2.3928751620587683</v>
      </c>
      <c r="F29" s="74">
        <f t="shared" si="20"/>
        <v>2.9460459660866123</v>
      </c>
      <c r="G29" s="74">
        <f t="shared" si="20"/>
        <v>1.7972313928256836</v>
      </c>
      <c r="H29" s="74">
        <f t="shared" si="20"/>
        <v>1.9581627300164191</v>
      </c>
      <c r="I29" s="74">
        <f>I24/I27</f>
        <v>3.8452606205126889</v>
      </c>
      <c r="J29" s="73">
        <f>J24/J27</f>
        <v>2.7249017589820372</v>
      </c>
    </row>
    <row r="30" spans="1:10" x14ac:dyDescent="0.25">
      <c r="A30" s="7" t="s">
        <v>43</v>
      </c>
      <c r="B30" s="8"/>
      <c r="C30" s="8">
        <f t="shared" ref="C30:J30" si="21">C8</f>
        <v>0</v>
      </c>
      <c r="D30" s="8">
        <f t="shared" si="21"/>
        <v>-12.185</v>
      </c>
      <c r="E30" s="8">
        <f t="shared" si="21"/>
        <v>-34.029000000000003</v>
      </c>
      <c r="F30" s="8">
        <f t="shared" si="21"/>
        <v>-14.276999999999999</v>
      </c>
      <c r="G30" s="8">
        <f t="shared" si="21"/>
        <v>-19.901</v>
      </c>
      <c r="H30" s="8">
        <f t="shared" si="21"/>
        <v>-12.183999999999999</v>
      </c>
      <c r="I30" s="8">
        <f t="shared" si="21"/>
        <v>-16.516999999999999</v>
      </c>
      <c r="J30" s="9">
        <f t="shared" si="21"/>
        <v>-23.815000000000001</v>
      </c>
    </row>
    <row r="31" spans="1:10" x14ac:dyDescent="0.25">
      <c r="A31" s="7" t="s">
        <v>44</v>
      </c>
      <c r="B31" s="8"/>
      <c r="C31" s="8">
        <f t="shared" ref="C31:J31" si="22">C27+C30</f>
        <v>0</v>
      </c>
      <c r="D31" s="8">
        <f t="shared" si="22"/>
        <v>149.07500000000005</v>
      </c>
      <c r="E31" s="8">
        <f t="shared" si="22"/>
        <v>122.55000000000007</v>
      </c>
      <c r="F31" s="8">
        <f t="shared" si="22"/>
        <v>84.622000000000057</v>
      </c>
      <c r="G31" s="8">
        <f t="shared" si="22"/>
        <v>119.736</v>
      </c>
      <c r="H31" s="8">
        <f t="shared" si="22"/>
        <v>134.59899999999999</v>
      </c>
      <c r="I31" s="8">
        <f t="shared" si="22"/>
        <v>60.644999999999982</v>
      </c>
      <c r="J31" s="9">
        <f t="shared" si="22"/>
        <v>61.688999999999965</v>
      </c>
    </row>
    <row r="32" spans="1:10" x14ac:dyDescent="0.25">
      <c r="A32" s="7" t="s">
        <v>45</v>
      </c>
      <c r="B32" s="8"/>
      <c r="C32" s="8">
        <f t="shared" ref="C32:J32" si="23">C10</f>
        <v>0</v>
      </c>
      <c r="D32" s="8">
        <f t="shared" si="23"/>
        <v>-17.510000000000002</v>
      </c>
      <c r="E32" s="8">
        <f t="shared" si="23"/>
        <v>-8.7590000000000003</v>
      </c>
      <c r="F32" s="8">
        <f t="shared" si="23"/>
        <v>-7.1280000000000001</v>
      </c>
      <c r="G32" s="8">
        <f t="shared" si="23"/>
        <v>-11.624000000000001</v>
      </c>
      <c r="H32" s="8">
        <f t="shared" si="23"/>
        <v>-12.124000000000001</v>
      </c>
      <c r="I32" s="8">
        <f t="shared" si="23"/>
        <v>-11.052</v>
      </c>
      <c r="J32" s="9">
        <f t="shared" si="23"/>
        <v>-12.191000000000001</v>
      </c>
    </row>
    <row r="33" spans="1:11" x14ac:dyDescent="0.25">
      <c r="A33" s="7" t="s">
        <v>46</v>
      </c>
      <c r="B33" s="8"/>
      <c r="C33" s="8">
        <f t="shared" ref="C33:J33" si="24">C31+C32</f>
        <v>0</v>
      </c>
      <c r="D33" s="8">
        <f t="shared" si="24"/>
        <v>131.56500000000005</v>
      </c>
      <c r="E33" s="8">
        <f t="shared" si="24"/>
        <v>113.79100000000007</v>
      </c>
      <c r="F33" s="8">
        <f t="shared" si="24"/>
        <v>77.494000000000057</v>
      </c>
      <c r="G33" s="8">
        <f t="shared" si="24"/>
        <v>108.11200000000001</v>
      </c>
      <c r="H33" s="8">
        <f t="shared" si="24"/>
        <v>122.47499999999999</v>
      </c>
      <c r="I33" s="8">
        <f t="shared" si="24"/>
        <v>49.592999999999982</v>
      </c>
      <c r="J33" s="9">
        <f t="shared" si="24"/>
        <v>49.497999999999962</v>
      </c>
    </row>
    <row r="34" spans="1:11" x14ac:dyDescent="0.25">
      <c r="A34" s="7" t="s">
        <v>47</v>
      </c>
      <c r="B34" s="8"/>
      <c r="C34" s="8">
        <f t="shared" ref="C34:J34" si="25">C13</f>
        <v>0</v>
      </c>
      <c r="D34" s="8">
        <f t="shared" si="25"/>
        <v>15.667999999999999</v>
      </c>
      <c r="E34" s="8">
        <f t="shared" si="25"/>
        <v>5.6689999999999996</v>
      </c>
      <c r="F34" s="8">
        <f t="shared" si="25"/>
        <v>-15.539</v>
      </c>
      <c r="G34" s="8">
        <f t="shared" si="25"/>
        <v>-28.562000000000001</v>
      </c>
      <c r="H34" s="8">
        <f t="shared" si="25"/>
        <v>-34.331000000000003</v>
      </c>
      <c r="I34" s="8">
        <f t="shared" si="25"/>
        <v>-10.227</v>
      </c>
      <c r="J34" s="9">
        <f t="shared" si="25"/>
        <v>-17.398</v>
      </c>
    </row>
    <row r="35" spans="1:11" x14ac:dyDescent="0.25">
      <c r="A35" s="7" t="s">
        <v>48</v>
      </c>
      <c r="B35" s="8"/>
      <c r="C35" s="8">
        <f t="shared" ref="C35:I35" si="26">C33+C34</f>
        <v>0</v>
      </c>
      <c r="D35" s="8">
        <f t="shared" si="26"/>
        <v>147.23300000000006</v>
      </c>
      <c r="E35" s="8">
        <f t="shared" si="26"/>
        <v>119.46000000000006</v>
      </c>
      <c r="F35" s="8">
        <f t="shared" si="26"/>
        <v>61.955000000000055</v>
      </c>
      <c r="G35" s="8">
        <f t="shared" si="26"/>
        <v>79.550000000000011</v>
      </c>
      <c r="H35" s="8">
        <f t="shared" si="26"/>
        <v>88.143999999999991</v>
      </c>
      <c r="I35" s="8">
        <f t="shared" si="26"/>
        <v>39.365999999999985</v>
      </c>
      <c r="J35" s="9">
        <f>J33+J34</f>
        <v>32.099999999999966</v>
      </c>
    </row>
    <row r="36" spans="1:11" x14ac:dyDescent="0.25">
      <c r="A36" s="59" t="s">
        <v>87</v>
      </c>
      <c r="B36" s="60"/>
      <c r="C36" s="60" t="e">
        <f t="shared" ref="C36:J36" si="27">C35/C20</f>
        <v>#DIV/0!</v>
      </c>
      <c r="D36" s="60">
        <f t="shared" si="27"/>
        <v>0.19633841582943731</v>
      </c>
      <c r="E36" s="60">
        <f t="shared" si="27"/>
        <v>0.1790322725678678</v>
      </c>
      <c r="F36" s="60">
        <f t="shared" si="27"/>
        <v>0.11040877353682321</v>
      </c>
      <c r="G36" s="60">
        <f t="shared" si="27"/>
        <v>0.12501807300866877</v>
      </c>
      <c r="H36" s="60">
        <f t="shared" si="27"/>
        <v>0.13821804969916121</v>
      </c>
      <c r="I36" s="60">
        <f t="shared" si="27"/>
        <v>6.4974977882825163E-2</v>
      </c>
      <c r="J36" s="61">
        <f t="shared" si="27"/>
        <v>6.4240085813547593E-2</v>
      </c>
    </row>
    <row r="37" spans="1:11" x14ac:dyDescent="0.25">
      <c r="A37" s="59" t="s">
        <v>56</v>
      </c>
      <c r="B37" s="64"/>
      <c r="C37" s="65" t="e">
        <f t="shared" ref="C37:H37" si="28">-C34/C33</f>
        <v>#DIV/0!</v>
      </c>
      <c r="D37" s="65">
        <f t="shared" si="28"/>
        <v>-0.11908942347888871</v>
      </c>
      <c r="E37" s="65">
        <f t="shared" si="28"/>
        <v>-4.9819405752651758E-2</v>
      </c>
      <c r="F37" s="65">
        <f t="shared" si="28"/>
        <v>0.20051874983869705</v>
      </c>
      <c r="G37" s="65">
        <f t="shared" si="28"/>
        <v>0.26418898919638895</v>
      </c>
      <c r="H37" s="65">
        <f t="shared" si="28"/>
        <v>0.28031026740151055</v>
      </c>
      <c r="I37" s="65">
        <f>-I34/I33</f>
        <v>0.20621861956324489</v>
      </c>
      <c r="J37" s="66">
        <f>-J34/J33</f>
        <v>0.35148894904844669</v>
      </c>
    </row>
    <row r="38" spans="1:11" x14ac:dyDescent="0.25">
      <c r="A38" s="34" t="s">
        <v>49</v>
      </c>
      <c r="B38" s="32"/>
      <c r="C38" s="32"/>
      <c r="D38" s="32"/>
      <c r="E38" s="32"/>
      <c r="F38" s="32"/>
      <c r="G38" s="32"/>
      <c r="H38" s="32"/>
      <c r="I38" s="32"/>
      <c r="J38" s="35"/>
    </row>
    <row r="39" spans="1:11" x14ac:dyDescent="0.25">
      <c r="A39" s="7" t="s">
        <v>50</v>
      </c>
      <c r="B39" s="8"/>
      <c r="C39" s="44"/>
      <c r="D39" s="44"/>
      <c r="E39" s="44"/>
      <c r="F39" s="44"/>
      <c r="G39" s="44"/>
      <c r="H39" s="44"/>
      <c r="I39" s="44"/>
      <c r="J39" s="45"/>
    </row>
    <row r="40" spans="1:11" x14ac:dyDescent="0.25">
      <c r="A40" s="38" t="s">
        <v>83</v>
      </c>
      <c r="B40" s="2"/>
      <c r="C40" s="46"/>
      <c r="D40" s="46"/>
      <c r="E40" s="46"/>
      <c r="F40" s="46"/>
      <c r="G40" s="46"/>
      <c r="H40" s="46"/>
      <c r="I40" s="46"/>
      <c r="J40" s="47"/>
    </row>
    <row r="41" spans="1:11" x14ac:dyDescent="0.25">
      <c r="A41" s="38" t="s">
        <v>47</v>
      </c>
      <c r="B41" s="2"/>
      <c r="C41" s="46"/>
      <c r="D41" s="46"/>
      <c r="E41" s="46"/>
      <c r="F41" s="46"/>
      <c r="G41" s="46"/>
      <c r="H41" s="46"/>
      <c r="I41" s="46"/>
      <c r="J41" s="47"/>
    </row>
    <row r="42" spans="1:11" x14ac:dyDescent="0.25">
      <c r="A42" s="38" t="s">
        <v>84</v>
      </c>
      <c r="B42" s="2"/>
      <c r="C42" s="2">
        <f>C40+C41-C39</f>
        <v>0</v>
      </c>
      <c r="D42" s="2"/>
      <c r="E42" s="2">
        <f>E40+E41-E39</f>
        <v>0</v>
      </c>
      <c r="F42" s="2">
        <f>F40+F41-F39</f>
        <v>0</v>
      </c>
      <c r="G42" s="2">
        <f>G40+G41-G39</f>
        <v>0</v>
      </c>
      <c r="H42" s="2"/>
      <c r="I42" s="2"/>
      <c r="J42" s="3"/>
    </row>
    <row r="43" spans="1:11" x14ac:dyDescent="0.25">
      <c r="A43" s="7" t="s">
        <v>51</v>
      </c>
      <c r="B43" s="8"/>
      <c r="C43" s="44"/>
      <c r="D43" s="44"/>
      <c r="E43" s="44"/>
      <c r="F43" s="44"/>
      <c r="G43" s="44"/>
      <c r="H43" s="44"/>
      <c r="I43" s="44"/>
      <c r="J43" s="45"/>
    </row>
    <row r="44" spans="1:11" x14ac:dyDescent="0.25">
      <c r="A44" s="7" t="s">
        <v>52</v>
      </c>
      <c r="B44" s="8"/>
      <c r="C44" s="44"/>
      <c r="D44" s="44"/>
      <c r="E44" s="44"/>
      <c r="F44" s="44"/>
      <c r="G44" s="44"/>
      <c r="H44" s="44"/>
      <c r="I44" s="44"/>
      <c r="J44" s="45"/>
      <c r="K44" s="48"/>
    </row>
    <row r="45" spans="1:11" x14ac:dyDescent="0.25">
      <c r="A45" s="7" t="s">
        <v>69</v>
      </c>
      <c r="B45" s="8"/>
      <c r="C45" s="8">
        <f>C39+C43+C44</f>
        <v>0</v>
      </c>
      <c r="D45" s="8"/>
      <c r="E45" s="8">
        <f>E39+E43+E44</f>
        <v>0</v>
      </c>
      <c r="F45" s="8">
        <f>F39+F43+F44</f>
        <v>0</v>
      </c>
      <c r="G45" s="8">
        <f>G39+G43+G44</f>
        <v>0</v>
      </c>
      <c r="H45" s="8"/>
      <c r="I45" s="8">
        <f>I39+I43+I44</f>
        <v>0</v>
      </c>
      <c r="J45" s="9">
        <f>J39+J43+J44</f>
        <v>0</v>
      </c>
    </row>
    <row r="46" spans="1:11" x14ac:dyDescent="0.25">
      <c r="A46" s="34" t="s">
        <v>39</v>
      </c>
      <c r="B46" s="32"/>
      <c r="C46" s="32"/>
      <c r="D46" s="32"/>
      <c r="E46" s="32"/>
      <c r="F46" s="32"/>
      <c r="G46" s="32"/>
      <c r="H46" s="32"/>
      <c r="I46" s="32"/>
      <c r="J46" s="35"/>
    </row>
    <row r="47" spans="1:11" x14ac:dyDescent="0.25">
      <c r="A47" s="7" t="s">
        <v>91</v>
      </c>
      <c r="B47" s="8"/>
      <c r="C47" s="44"/>
      <c r="D47" s="44">
        <v>1924.68</v>
      </c>
      <c r="E47" s="44">
        <v>1096.807</v>
      </c>
      <c r="F47" s="44">
        <v>1062.269</v>
      </c>
      <c r="G47" s="44">
        <v>976.93899999999996</v>
      </c>
      <c r="H47" s="44">
        <v>1084.5070000000001</v>
      </c>
      <c r="I47" s="44">
        <v>1025.848</v>
      </c>
      <c r="J47" s="45"/>
    </row>
    <row r="48" spans="1:11" x14ac:dyDescent="0.25">
      <c r="A48" s="68" t="s">
        <v>92</v>
      </c>
      <c r="B48" s="8"/>
      <c r="C48" s="67"/>
      <c r="D48" s="67"/>
      <c r="E48" s="67"/>
      <c r="F48" s="67"/>
      <c r="G48" s="67"/>
      <c r="H48" s="67"/>
      <c r="I48" s="67"/>
      <c r="J48" s="51"/>
    </row>
    <row r="49" spans="1:11" x14ac:dyDescent="0.25">
      <c r="A49" s="7" t="s">
        <v>7</v>
      </c>
      <c r="B49" s="8"/>
      <c r="C49" s="8">
        <f t="shared" ref="C49:G49" si="29">C50+C51</f>
        <v>0</v>
      </c>
      <c r="D49" s="8"/>
      <c r="E49" s="8">
        <f t="shared" si="29"/>
        <v>0</v>
      </c>
      <c r="F49" s="8">
        <f t="shared" si="29"/>
        <v>0</v>
      </c>
      <c r="G49" s="8">
        <f t="shared" si="29"/>
        <v>0</v>
      </c>
      <c r="H49" s="8"/>
      <c r="I49" s="8">
        <f>I50+I51</f>
        <v>0</v>
      </c>
      <c r="J49" s="9">
        <f t="shared" ref="J49" si="30">J50+J51</f>
        <v>0</v>
      </c>
      <c r="K49" s="48"/>
    </row>
    <row r="50" spans="1:11" x14ac:dyDescent="0.25">
      <c r="A50" s="38" t="s">
        <v>77</v>
      </c>
      <c r="B50" s="2"/>
      <c r="C50" s="46"/>
      <c r="D50" s="46"/>
      <c r="E50" s="46"/>
      <c r="F50" s="46"/>
      <c r="G50" s="46"/>
      <c r="H50" s="46"/>
      <c r="I50" s="46"/>
      <c r="J50" s="47"/>
      <c r="K50" s="49"/>
    </row>
    <row r="51" spans="1:11" x14ac:dyDescent="0.25">
      <c r="A51" s="38" t="s">
        <v>78</v>
      </c>
      <c r="B51" s="2"/>
      <c r="C51" s="46"/>
      <c r="D51" s="46"/>
      <c r="E51" s="46"/>
      <c r="F51" s="46"/>
      <c r="G51" s="46"/>
      <c r="H51" s="46"/>
      <c r="I51" s="46"/>
      <c r="J51" s="47"/>
      <c r="K51" s="49"/>
    </row>
    <row r="52" spans="1:11" x14ac:dyDescent="0.25">
      <c r="A52" s="7" t="s">
        <v>11</v>
      </c>
      <c r="B52" s="8"/>
      <c r="C52" s="44"/>
      <c r="D52" s="44"/>
      <c r="E52" s="44"/>
      <c r="F52" s="44"/>
      <c r="G52" s="44"/>
      <c r="H52" s="44"/>
      <c r="I52" s="44"/>
      <c r="J52" s="45"/>
    </row>
    <row r="53" spans="1:11" x14ac:dyDescent="0.25">
      <c r="A53" s="7" t="s">
        <v>12</v>
      </c>
      <c r="B53" s="8"/>
      <c r="C53" s="44"/>
      <c r="D53" s="44"/>
      <c r="E53" s="44"/>
      <c r="F53" s="44"/>
      <c r="G53" s="44"/>
      <c r="H53" s="44"/>
      <c r="I53" s="44"/>
      <c r="J53" s="45"/>
    </row>
    <row r="54" spans="1:11" x14ac:dyDescent="0.25">
      <c r="A54" s="7" t="s">
        <v>8</v>
      </c>
      <c r="B54" s="8"/>
      <c r="C54" s="44"/>
      <c r="D54" s="44"/>
      <c r="E54" s="44"/>
      <c r="F54" s="44"/>
      <c r="G54" s="44"/>
      <c r="H54" s="44"/>
      <c r="I54" s="44"/>
      <c r="J54" s="45"/>
    </row>
    <row r="55" spans="1:11" x14ac:dyDescent="0.25">
      <c r="A55" s="7" t="s">
        <v>9</v>
      </c>
      <c r="B55" s="8"/>
      <c r="C55" s="44"/>
      <c r="D55" s="44"/>
      <c r="E55" s="44"/>
      <c r="F55" s="44"/>
      <c r="G55" s="44"/>
      <c r="H55" s="44"/>
      <c r="I55" s="44"/>
      <c r="J55" s="45"/>
    </row>
    <row r="56" spans="1:11" x14ac:dyDescent="0.25">
      <c r="A56" s="7" t="s">
        <v>75</v>
      </c>
      <c r="B56" s="8"/>
      <c r="C56" s="44"/>
      <c r="D56" s="44"/>
      <c r="E56" s="44"/>
      <c r="F56" s="44"/>
      <c r="G56" s="44"/>
      <c r="H56" s="44"/>
      <c r="I56" s="44"/>
      <c r="J56" s="45"/>
    </row>
    <row r="57" spans="1:11" x14ac:dyDescent="0.25">
      <c r="A57" s="7" t="s">
        <v>10</v>
      </c>
      <c r="B57" s="8"/>
      <c r="C57" s="44"/>
      <c r="D57" s="44"/>
      <c r="E57" s="44"/>
      <c r="F57" s="44"/>
      <c r="G57" s="44"/>
      <c r="H57" s="44"/>
      <c r="I57" s="44"/>
      <c r="J57" s="45"/>
    </row>
    <row r="58" spans="1:11" x14ac:dyDescent="0.25">
      <c r="A58" s="7" t="s">
        <v>13</v>
      </c>
      <c r="B58" s="8"/>
      <c r="C58" s="44"/>
      <c r="D58" s="44"/>
      <c r="E58" s="44"/>
      <c r="F58" s="44"/>
      <c r="G58" s="44"/>
      <c r="H58" s="44"/>
      <c r="I58" s="44"/>
      <c r="J58" s="45"/>
    </row>
    <row r="59" spans="1:11" x14ac:dyDescent="0.25">
      <c r="A59" s="7" t="s">
        <v>14</v>
      </c>
      <c r="B59" s="8"/>
      <c r="C59" s="44"/>
      <c r="D59" s="44"/>
      <c r="E59" s="44"/>
      <c r="F59" s="44"/>
      <c r="G59" s="44"/>
      <c r="H59" s="44"/>
      <c r="I59" s="44"/>
      <c r="J59" s="45"/>
    </row>
    <row r="60" spans="1:11" x14ac:dyDescent="0.25">
      <c r="A60" s="34" t="s">
        <v>64</v>
      </c>
      <c r="B60" s="8"/>
      <c r="C60" s="8"/>
      <c r="D60" s="8"/>
      <c r="E60" s="8"/>
      <c r="F60" s="8"/>
      <c r="G60" s="8"/>
      <c r="H60" s="8"/>
      <c r="I60" s="8"/>
      <c r="J60" s="9"/>
    </row>
    <row r="61" spans="1:11" x14ac:dyDescent="0.25">
      <c r="A61" s="7" t="s">
        <v>82</v>
      </c>
      <c r="B61" s="8"/>
      <c r="C61" s="8"/>
      <c r="D61" s="8">
        <f t="shared" ref="D61:E61" si="31">(8136713+19882587)/10^6</f>
        <v>28.019300000000001</v>
      </c>
      <c r="E61" s="8">
        <f t="shared" si="31"/>
        <v>28.019300000000001</v>
      </c>
      <c r="F61" s="8">
        <f>(8136713+19882587)/10^6</f>
        <v>28.019300000000001</v>
      </c>
      <c r="G61" s="8">
        <f t="shared" ref="G61:H61" si="32">(8136713+19882587)/10^6</f>
        <v>28.019300000000001</v>
      </c>
      <c r="H61" s="8">
        <f t="shared" si="32"/>
        <v>28.019300000000001</v>
      </c>
      <c r="I61" s="8">
        <f>28019300/10^6</f>
        <v>28.019300000000001</v>
      </c>
      <c r="J61" s="9">
        <f t="shared" ref="J61" si="33">28019300/10^6</f>
        <v>28.019300000000001</v>
      </c>
    </row>
    <row r="62" spans="1:11" x14ac:dyDescent="0.25">
      <c r="A62" s="7" t="s">
        <v>81</v>
      </c>
      <c r="B62" s="8"/>
      <c r="C62" s="8"/>
      <c r="D62" s="8">
        <v>10</v>
      </c>
      <c r="E62" s="8">
        <v>10</v>
      </c>
      <c r="F62" s="8">
        <v>10</v>
      </c>
      <c r="G62" s="8">
        <v>10</v>
      </c>
      <c r="H62" s="8">
        <v>10</v>
      </c>
      <c r="I62" s="8">
        <v>10</v>
      </c>
      <c r="J62" s="9">
        <v>10</v>
      </c>
    </row>
    <row r="63" spans="1:11" x14ac:dyDescent="0.25">
      <c r="A63" s="7" t="s">
        <v>61</v>
      </c>
      <c r="B63" s="8"/>
      <c r="C63" s="14" t="e">
        <f t="shared" ref="C63:J63" si="34">C14/C$61</f>
        <v>#DIV/0!</v>
      </c>
      <c r="D63" s="14">
        <f t="shared" si="34"/>
        <v>5.5386465757531429</v>
      </c>
      <c r="E63" s="14">
        <f t="shared" si="34"/>
        <v>4.5999007826748022</v>
      </c>
      <c r="F63" s="14">
        <f t="shared" si="34"/>
        <v>2.3272173109249712</v>
      </c>
      <c r="G63" s="14">
        <f t="shared" si="34"/>
        <v>2.8456813696273642</v>
      </c>
      <c r="H63" s="14">
        <f t="shared" si="34"/>
        <v>3.1483299011752606</v>
      </c>
      <c r="I63" s="14">
        <f t="shared" si="34"/>
        <v>1.4886524645512194</v>
      </c>
      <c r="J63" s="15">
        <f t="shared" si="34"/>
        <v>1.171585300132407</v>
      </c>
    </row>
    <row r="64" spans="1:11" x14ac:dyDescent="0.25">
      <c r="A64" s="7" t="s">
        <v>65</v>
      </c>
      <c r="B64" s="8"/>
      <c r="C64" s="14" t="e">
        <f t="shared" ref="C64:J64" si="35">C35/C$61</f>
        <v>#DIV/0!</v>
      </c>
      <c r="D64" s="14">
        <f t="shared" si="35"/>
        <v>5.2546994393150452</v>
      </c>
      <c r="E64" s="14">
        <f t="shared" si="35"/>
        <v>4.2634898088103581</v>
      </c>
      <c r="F64" s="14">
        <f t="shared" si="35"/>
        <v>2.211154454251179</v>
      </c>
      <c r="G64" s="14">
        <f t="shared" si="35"/>
        <v>2.83911446752774</v>
      </c>
      <c r="H64" s="14">
        <f t="shared" si="35"/>
        <v>3.1458316232025778</v>
      </c>
      <c r="I64" s="14">
        <f t="shared" si="35"/>
        <v>1.4049601524663351</v>
      </c>
      <c r="J64" s="15">
        <f t="shared" si="35"/>
        <v>1.1456388989018271</v>
      </c>
    </row>
    <row r="65" spans="1:11" x14ac:dyDescent="0.25">
      <c r="A65" s="7" t="s">
        <v>74</v>
      </c>
      <c r="B65" s="8"/>
      <c r="C65" s="8"/>
      <c r="D65" s="8"/>
      <c r="E65" s="8"/>
      <c r="F65" s="8"/>
      <c r="G65" s="8"/>
      <c r="H65" s="8"/>
      <c r="I65" s="8"/>
      <c r="J65" s="45"/>
    </row>
    <row r="66" spans="1:11" x14ac:dyDescent="0.25">
      <c r="A66" s="7" t="s">
        <v>62</v>
      </c>
      <c r="B66" s="8"/>
      <c r="C66" s="8" t="e">
        <f t="shared" ref="C66:J66" si="36">C47/C$61</f>
        <v>#DIV/0!</v>
      </c>
      <c r="D66" s="8"/>
      <c r="E66" s="8">
        <f t="shared" si="36"/>
        <v>39.144696691209269</v>
      </c>
      <c r="F66" s="8">
        <f t="shared" si="36"/>
        <v>37.912046339487425</v>
      </c>
      <c r="G66" s="8">
        <f t="shared" si="36"/>
        <v>34.866645490786702</v>
      </c>
      <c r="H66" s="8">
        <f t="shared" si="36"/>
        <v>38.705713561723528</v>
      </c>
      <c r="I66" s="8">
        <f t="shared" si="36"/>
        <v>36.612192310300394</v>
      </c>
      <c r="J66" s="9">
        <f t="shared" si="36"/>
        <v>0</v>
      </c>
    </row>
    <row r="67" spans="1:11" x14ac:dyDescent="0.25">
      <c r="A67" s="7" t="s">
        <v>66</v>
      </c>
      <c r="B67" s="8"/>
      <c r="C67" s="8" t="e">
        <f t="shared" ref="C67:J67" si="37">C56/C$61</f>
        <v>#DIV/0!</v>
      </c>
      <c r="D67" s="8"/>
      <c r="E67" s="8">
        <f t="shared" si="37"/>
        <v>0</v>
      </c>
      <c r="F67" s="8">
        <f t="shared" si="37"/>
        <v>0</v>
      </c>
      <c r="G67" s="8">
        <f t="shared" si="37"/>
        <v>0</v>
      </c>
      <c r="H67" s="8">
        <f t="shared" si="37"/>
        <v>0</v>
      </c>
      <c r="I67" s="8">
        <f t="shared" si="37"/>
        <v>0</v>
      </c>
      <c r="J67" s="9">
        <f t="shared" si="37"/>
        <v>0</v>
      </c>
    </row>
    <row r="68" spans="1:11" x14ac:dyDescent="0.25">
      <c r="A68" s="7" t="s">
        <v>85</v>
      </c>
      <c r="B68" s="8"/>
      <c r="C68" s="8" t="e">
        <f t="shared" ref="C68:J68" si="38">C39/C$61</f>
        <v>#DIV/0!</v>
      </c>
      <c r="D68" s="8"/>
      <c r="E68" s="8">
        <f t="shared" si="38"/>
        <v>0</v>
      </c>
      <c r="F68" s="8">
        <f t="shared" si="38"/>
        <v>0</v>
      </c>
      <c r="G68" s="8">
        <f t="shared" si="38"/>
        <v>0</v>
      </c>
      <c r="H68" s="8">
        <f t="shared" si="38"/>
        <v>0</v>
      </c>
      <c r="I68" s="8">
        <f t="shared" si="38"/>
        <v>0</v>
      </c>
      <c r="J68" s="9">
        <f t="shared" si="38"/>
        <v>0</v>
      </c>
    </row>
    <row r="69" spans="1:11" x14ac:dyDescent="0.25">
      <c r="A69" s="31" t="s">
        <v>15</v>
      </c>
      <c r="B69" s="30"/>
      <c r="C69" s="30"/>
      <c r="D69" s="30"/>
      <c r="E69" s="30"/>
      <c r="F69" s="30"/>
      <c r="G69" s="30"/>
      <c r="H69" s="30"/>
      <c r="I69" s="30"/>
      <c r="J69" s="36"/>
    </row>
    <row r="70" spans="1:11" x14ac:dyDescent="0.25">
      <c r="A70" s="7" t="s">
        <v>16</v>
      </c>
      <c r="B70" s="11"/>
      <c r="C70" s="37" t="e">
        <f>C20/AVERAGE(B54:C54)</f>
        <v>#DIV/0!</v>
      </c>
      <c r="D70" s="37"/>
      <c r="E70" s="11" t="e">
        <f>E20/AVERAGE(C54:E54)</f>
        <v>#DIV/0!</v>
      </c>
      <c r="F70" s="11" t="e">
        <f>F20/AVERAGE(E54:F54)</f>
        <v>#DIV/0!</v>
      </c>
      <c r="G70" s="11" t="e">
        <f>G20/AVERAGE(F54:G54)</f>
        <v>#DIV/0!</v>
      </c>
      <c r="H70" s="11" t="e">
        <f>H20/AVERAGE(G54:H54)</f>
        <v>#DIV/0!</v>
      </c>
      <c r="I70" s="11" t="e">
        <f>I20/AVERAGE(H54:I54)</f>
        <v>#DIV/0!</v>
      </c>
      <c r="J70" s="12" t="e">
        <f>J20/AVERAGE(I54:J54)</f>
        <v>#DIV/0!</v>
      </c>
    </row>
    <row r="71" spans="1:11" x14ac:dyDescent="0.25">
      <c r="A71" s="7" t="s">
        <v>17</v>
      </c>
      <c r="B71" s="13"/>
      <c r="C71" s="8" t="e">
        <f>-365/C70</f>
        <v>#DIV/0!</v>
      </c>
      <c r="D71" s="8"/>
      <c r="E71" s="8" t="e">
        <f>366/E70</f>
        <v>#DIV/0!</v>
      </c>
      <c r="F71" s="8" t="e">
        <f t="shared" ref="F71:J71" si="39">365/F70</f>
        <v>#DIV/0!</v>
      </c>
      <c r="G71" s="8" t="e">
        <f t="shared" si="39"/>
        <v>#DIV/0!</v>
      </c>
      <c r="H71" s="8" t="e">
        <f t="shared" si="39"/>
        <v>#DIV/0!</v>
      </c>
      <c r="I71" s="8" t="e">
        <f>366/I70</f>
        <v>#DIV/0!</v>
      </c>
      <c r="J71" s="9" t="e">
        <f t="shared" si="39"/>
        <v>#DIV/0!</v>
      </c>
    </row>
    <row r="72" spans="1:11" x14ac:dyDescent="0.25">
      <c r="A72" s="7" t="s">
        <v>18</v>
      </c>
      <c r="B72" s="13"/>
      <c r="C72" s="11" t="e">
        <f>C20/AVERAGE(B55:C55)</f>
        <v>#DIV/0!</v>
      </c>
      <c r="D72" s="11"/>
      <c r="E72" s="11" t="e">
        <f>E20/AVERAGE(C55:E55)</f>
        <v>#DIV/0!</v>
      </c>
      <c r="F72" s="11" t="e">
        <f>F20/AVERAGE(E55:F55)</f>
        <v>#DIV/0!</v>
      </c>
      <c r="G72" s="11" t="e">
        <f>G20/AVERAGE(F55:G55)</f>
        <v>#DIV/0!</v>
      </c>
      <c r="H72" s="11" t="e">
        <f>H20/AVERAGE(G55:H55)</f>
        <v>#DIV/0!</v>
      </c>
      <c r="I72" s="11" t="e">
        <f>I20/AVERAGE(H55:I55)</f>
        <v>#DIV/0!</v>
      </c>
      <c r="J72" s="12" t="e">
        <f>J20/AVERAGE(I55:J55)</f>
        <v>#DIV/0!</v>
      </c>
    </row>
    <row r="73" spans="1:11" x14ac:dyDescent="0.25">
      <c r="A73" s="7" t="s">
        <v>102</v>
      </c>
      <c r="B73" s="11"/>
      <c r="C73" s="8" t="e">
        <f t="shared" ref="C73" si="40">365/C72</f>
        <v>#DIV/0!</v>
      </c>
      <c r="D73" s="8"/>
      <c r="E73" s="8" t="e">
        <f>366/E72</f>
        <v>#DIV/0!</v>
      </c>
      <c r="F73" s="8" t="e">
        <f t="shared" ref="F73:H73" si="41">365/F72</f>
        <v>#DIV/0!</v>
      </c>
      <c r="G73" s="8" t="e">
        <f t="shared" si="41"/>
        <v>#DIV/0!</v>
      </c>
      <c r="H73" s="8" t="e">
        <f t="shared" si="41"/>
        <v>#DIV/0!</v>
      </c>
      <c r="I73" s="8" t="e">
        <f>366/I72</f>
        <v>#DIV/0!</v>
      </c>
      <c r="J73" s="9" t="e">
        <f t="shared" ref="J73" si="42">365/J72</f>
        <v>#DIV/0!</v>
      </c>
    </row>
    <row r="74" spans="1:11" x14ac:dyDescent="0.25">
      <c r="A74" s="7" t="s">
        <v>19</v>
      </c>
      <c r="B74" s="13"/>
      <c r="C74" s="37" t="e">
        <f>C20/AVERAGE(B52:C52)</f>
        <v>#DIV/0!</v>
      </c>
      <c r="D74" s="37"/>
      <c r="E74" s="11" t="e">
        <f>E20/AVERAGE(C52:E52)</f>
        <v>#DIV/0!</v>
      </c>
      <c r="F74" s="11" t="e">
        <f>F20/AVERAGE(E52:F52)</f>
        <v>#DIV/0!</v>
      </c>
      <c r="G74" s="11" t="e">
        <f>G20/AVERAGE(F52:G52)</f>
        <v>#DIV/0!</v>
      </c>
      <c r="H74" s="11" t="e">
        <f>H20/AVERAGE(G52:H52)</f>
        <v>#DIV/0!</v>
      </c>
      <c r="I74" s="11" t="e">
        <f>I20/AVERAGE(H52:I52)</f>
        <v>#DIV/0!</v>
      </c>
      <c r="J74" s="12" t="e">
        <f>J20/AVERAGE(I52:J52)</f>
        <v>#DIV/0!</v>
      </c>
    </row>
    <row r="75" spans="1:11" x14ac:dyDescent="0.25">
      <c r="A75" s="7" t="s">
        <v>20</v>
      </c>
      <c r="B75" s="13"/>
      <c r="C75" s="8" t="e">
        <f t="shared" ref="C75" si="43">365/C74</f>
        <v>#DIV/0!</v>
      </c>
      <c r="D75" s="8"/>
      <c r="E75" s="8" t="e">
        <f>366/E74</f>
        <v>#DIV/0!</v>
      </c>
      <c r="F75" s="8" t="e">
        <f t="shared" ref="F75:H75" si="44">365/F74</f>
        <v>#DIV/0!</v>
      </c>
      <c r="G75" s="8" t="e">
        <f t="shared" si="44"/>
        <v>#DIV/0!</v>
      </c>
      <c r="H75" s="8" t="e">
        <f t="shared" si="44"/>
        <v>#DIV/0!</v>
      </c>
      <c r="I75" s="8" t="e">
        <f>366/I74</f>
        <v>#DIV/0!</v>
      </c>
      <c r="J75" s="9" t="e">
        <f t="shared" ref="J75" si="45">365/J74</f>
        <v>#DIV/0!</v>
      </c>
    </row>
    <row r="76" spans="1:11" x14ac:dyDescent="0.25">
      <c r="A76" s="7" t="s">
        <v>35</v>
      </c>
      <c r="B76" s="33"/>
      <c r="C76" s="33">
        <f>C57-C53-C56</f>
        <v>0</v>
      </c>
      <c r="D76" s="33"/>
      <c r="E76" s="33">
        <f t="shared" ref="E76:J76" si="46">E57-E53-E56</f>
        <v>0</v>
      </c>
      <c r="F76" s="33">
        <f t="shared" si="46"/>
        <v>0</v>
      </c>
      <c r="G76" s="33">
        <f t="shared" si="46"/>
        <v>0</v>
      </c>
      <c r="H76" s="33">
        <f t="shared" si="46"/>
        <v>0</v>
      </c>
      <c r="I76" s="33">
        <f t="shared" si="46"/>
        <v>0</v>
      </c>
      <c r="J76" s="9">
        <f t="shared" si="46"/>
        <v>0</v>
      </c>
      <c r="K76" s="39">
        <f>((J57-J56)-(I57-I56))-(J53-I53)</f>
        <v>0</v>
      </c>
    </row>
    <row r="77" spans="1:11" x14ac:dyDescent="0.25">
      <c r="A77" s="7" t="s">
        <v>21</v>
      </c>
      <c r="B77" s="13"/>
      <c r="C77" s="11" t="e">
        <f>C$20/AVERAGE(B76:C76)</f>
        <v>#DIV/0!</v>
      </c>
      <c r="D77" s="11"/>
      <c r="E77" s="11" t="e">
        <f>E$20/AVERAGE(C76:E76)</f>
        <v>#DIV/0!</v>
      </c>
      <c r="F77" s="11" t="e">
        <f t="shared" ref="F77:J77" si="47">F$20/AVERAGE(E76:F76)</f>
        <v>#DIV/0!</v>
      </c>
      <c r="G77" s="11" t="e">
        <f t="shared" si="47"/>
        <v>#DIV/0!</v>
      </c>
      <c r="H77" s="11" t="e">
        <f t="shared" si="47"/>
        <v>#DIV/0!</v>
      </c>
      <c r="I77" s="11" t="e">
        <f t="shared" si="47"/>
        <v>#DIV/0!</v>
      </c>
      <c r="J77" s="12" t="e">
        <f t="shared" si="47"/>
        <v>#DIV/0!</v>
      </c>
    </row>
    <row r="78" spans="1:11" x14ac:dyDescent="0.25">
      <c r="A78" s="7" t="s">
        <v>68</v>
      </c>
      <c r="B78" s="13"/>
      <c r="C78" s="11" t="e">
        <f t="shared" ref="C78:I78" si="48">(C73+C71)-C75</f>
        <v>#DIV/0!</v>
      </c>
      <c r="D78" s="11"/>
      <c r="E78" s="11" t="e">
        <f t="shared" si="48"/>
        <v>#DIV/0!</v>
      </c>
      <c r="F78" s="11" t="e">
        <f t="shared" si="48"/>
        <v>#DIV/0!</v>
      </c>
      <c r="G78" s="11" t="e">
        <f t="shared" si="48"/>
        <v>#DIV/0!</v>
      </c>
      <c r="H78" s="11" t="e">
        <f t="shared" si="48"/>
        <v>#DIV/0!</v>
      </c>
      <c r="I78" s="11" t="e">
        <f t="shared" si="48"/>
        <v>#DIV/0!</v>
      </c>
      <c r="J78" s="12" t="e">
        <f>(J73+J71)-J75</f>
        <v>#DIV/0!</v>
      </c>
    </row>
    <row r="79" spans="1:11" x14ac:dyDescent="0.25">
      <c r="A79" s="7" t="s">
        <v>67</v>
      </c>
      <c r="B79" s="13"/>
      <c r="C79" s="37" t="e">
        <f>(C57-C56)/C53</f>
        <v>#DIV/0!</v>
      </c>
      <c r="D79" s="37"/>
      <c r="E79" s="11" t="e">
        <f t="shared" ref="E79:J79" si="49">(E57-E56)/E53</f>
        <v>#DIV/0!</v>
      </c>
      <c r="F79" s="11" t="e">
        <f t="shared" si="49"/>
        <v>#DIV/0!</v>
      </c>
      <c r="G79" s="11" t="e">
        <f t="shared" si="49"/>
        <v>#DIV/0!</v>
      </c>
      <c r="H79" s="11" t="e">
        <f t="shared" si="49"/>
        <v>#DIV/0!</v>
      </c>
      <c r="I79" s="11" t="e">
        <f t="shared" si="49"/>
        <v>#DIV/0!</v>
      </c>
      <c r="J79" s="12" t="e">
        <f t="shared" si="49"/>
        <v>#DIV/0!</v>
      </c>
    </row>
    <row r="80" spans="1:11" x14ac:dyDescent="0.25">
      <c r="A80" s="7" t="s">
        <v>24</v>
      </c>
      <c r="B80" s="11"/>
      <c r="C80" s="11" t="e">
        <f>C57/C53</f>
        <v>#DIV/0!</v>
      </c>
      <c r="D80" s="11"/>
      <c r="E80" s="11" t="e">
        <f t="shared" ref="E80:J80" si="50">E57/E53</f>
        <v>#DIV/0!</v>
      </c>
      <c r="F80" s="11" t="e">
        <f t="shared" si="50"/>
        <v>#DIV/0!</v>
      </c>
      <c r="G80" s="11" t="e">
        <f t="shared" si="50"/>
        <v>#DIV/0!</v>
      </c>
      <c r="H80" s="11" t="e">
        <f t="shared" si="50"/>
        <v>#DIV/0!</v>
      </c>
      <c r="I80" s="11" t="e">
        <f t="shared" si="50"/>
        <v>#DIV/0!</v>
      </c>
      <c r="J80" s="12" t="e">
        <f t="shared" si="50"/>
        <v>#DIV/0!</v>
      </c>
    </row>
    <row r="81" spans="1:10" x14ac:dyDescent="0.25">
      <c r="A81" s="7" t="s">
        <v>22</v>
      </c>
      <c r="B81" s="13"/>
      <c r="C81" s="11" t="e">
        <f>C$20/AVERAGE(C58:C58)</f>
        <v>#DIV/0!</v>
      </c>
      <c r="D81" s="11"/>
      <c r="E81" s="11" t="e">
        <f>E$20/AVERAGE(C58:E58)</f>
        <v>#DIV/0!</v>
      </c>
      <c r="F81" s="11" t="e">
        <f t="shared" ref="F81:J82" si="51">F$20/AVERAGE(E58:F58)</f>
        <v>#DIV/0!</v>
      </c>
      <c r="G81" s="11" t="e">
        <f t="shared" si="51"/>
        <v>#DIV/0!</v>
      </c>
      <c r="H81" s="11" t="e">
        <f t="shared" si="51"/>
        <v>#DIV/0!</v>
      </c>
      <c r="I81" s="11" t="e">
        <f t="shared" si="51"/>
        <v>#DIV/0!</v>
      </c>
      <c r="J81" s="12" t="e">
        <f t="shared" si="51"/>
        <v>#DIV/0!</v>
      </c>
    </row>
    <row r="82" spans="1:10" x14ac:dyDescent="0.25">
      <c r="A82" s="7" t="s">
        <v>23</v>
      </c>
      <c r="B82" s="13"/>
      <c r="C82" s="11" t="e">
        <f>C$20/AVERAGE(C59:C59)</f>
        <v>#DIV/0!</v>
      </c>
      <c r="D82" s="11"/>
      <c r="E82" s="11" t="e">
        <f>E$20/AVERAGE(C59:E59)</f>
        <v>#DIV/0!</v>
      </c>
      <c r="F82" s="11" t="e">
        <f t="shared" si="51"/>
        <v>#DIV/0!</v>
      </c>
      <c r="G82" s="11" t="e">
        <f t="shared" si="51"/>
        <v>#DIV/0!</v>
      </c>
      <c r="H82" s="11" t="e">
        <f t="shared" si="51"/>
        <v>#DIV/0!</v>
      </c>
      <c r="I82" s="11" t="e">
        <f t="shared" si="51"/>
        <v>#DIV/0!</v>
      </c>
      <c r="J82" s="12" t="e">
        <f t="shared" si="51"/>
        <v>#DIV/0!</v>
      </c>
    </row>
    <row r="83" spans="1:10" x14ac:dyDescent="0.25">
      <c r="A83" s="31" t="s">
        <v>25</v>
      </c>
      <c r="B83" s="30"/>
      <c r="C83" s="30"/>
      <c r="D83" s="30"/>
      <c r="E83" s="30"/>
      <c r="F83" s="30"/>
      <c r="G83" s="30"/>
      <c r="H83" s="30"/>
      <c r="I83" s="30"/>
      <c r="J83" s="36"/>
    </row>
    <row r="84" spans="1:10" x14ac:dyDescent="0.25">
      <c r="A84" s="7" t="s">
        <v>26</v>
      </c>
      <c r="B84" s="14"/>
      <c r="C84" s="14" t="e">
        <f>C49/C59</f>
        <v>#DIV/0!</v>
      </c>
      <c r="D84" s="14"/>
      <c r="E84" s="14" t="e">
        <f t="shared" ref="E84:J84" si="52">E49/E59</f>
        <v>#DIV/0!</v>
      </c>
      <c r="F84" s="14" t="e">
        <f t="shared" si="52"/>
        <v>#DIV/0!</v>
      </c>
      <c r="G84" s="14" t="e">
        <f t="shared" si="52"/>
        <v>#DIV/0!</v>
      </c>
      <c r="H84" s="14" t="e">
        <f t="shared" si="52"/>
        <v>#DIV/0!</v>
      </c>
      <c r="I84" s="14" t="e">
        <f t="shared" si="52"/>
        <v>#DIV/0!</v>
      </c>
      <c r="J84" s="15" t="e">
        <f t="shared" si="52"/>
        <v>#DIV/0!</v>
      </c>
    </row>
    <row r="85" spans="1:10" x14ac:dyDescent="0.25">
      <c r="A85" s="7" t="s">
        <v>27</v>
      </c>
      <c r="B85" s="14"/>
      <c r="C85" s="14" t="e">
        <f>C49/(C47+C49)</f>
        <v>#DIV/0!</v>
      </c>
      <c r="D85" s="14"/>
      <c r="E85" s="14">
        <f t="shared" ref="E85:J85" si="53">E49/(E47+E49)</f>
        <v>0</v>
      </c>
      <c r="F85" s="14">
        <f t="shared" si="53"/>
        <v>0</v>
      </c>
      <c r="G85" s="14">
        <f t="shared" si="53"/>
        <v>0</v>
      </c>
      <c r="H85" s="14">
        <f t="shared" si="53"/>
        <v>0</v>
      </c>
      <c r="I85" s="14">
        <f t="shared" si="53"/>
        <v>0</v>
      </c>
      <c r="J85" s="15" t="e">
        <f t="shared" si="53"/>
        <v>#DIV/0!</v>
      </c>
    </row>
    <row r="86" spans="1:10" x14ac:dyDescent="0.25">
      <c r="A86" s="7" t="s">
        <v>28</v>
      </c>
      <c r="B86" s="14"/>
      <c r="C86" s="14" t="e">
        <f>C49/C47</f>
        <v>#DIV/0!</v>
      </c>
      <c r="D86" s="14"/>
      <c r="E86" s="14">
        <f t="shared" ref="E86:J86" si="54">E49/E47</f>
        <v>0</v>
      </c>
      <c r="F86" s="14">
        <f t="shared" si="54"/>
        <v>0</v>
      </c>
      <c r="G86" s="14">
        <f t="shared" si="54"/>
        <v>0</v>
      </c>
      <c r="H86" s="14">
        <f t="shared" si="54"/>
        <v>0</v>
      </c>
      <c r="I86" s="14">
        <f t="shared" si="54"/>
        <v>0</v>
      </c>
      <c r="J86" s="15" t="e">
        <f t="shared" si="54"/>
        <v>#DIV/0!</v>
      </c>
    </row>
    <row r="87" spans="1:10" x14ac:dyDescent="0.25">
      <c r="A87" s="31" t="s">
        <v>88</v>
      </c>
      <c r="B87" s="30"/>
      <c r="C87" s="30"/>
      <c r="D87" s="30"/>
      <c r="E87" s="30"/>
      <c r="F87" s="30"/>
      <c r="G87" s="30"/>
      <c r="H87" s="30"/>
      <c r="I87" s="30"/>
      <c r="J87" s="36"/>
    </row>
    <row r="88" spans="1:10" x14ac:dyDescent="0.25">
      <c r="A88" s="31" t="s">
        <v>57</v>
      </c>
      <c r="B88" s="16"/>
      <c r="C88" s="16" t="e">
        <f>C35/AVERAGE(C47:C47)</f>
        <v>#DIV/0!</v>
      </c>
      <c r="D88" s="16"/>
      <c r="E88" s="16">
        <f>E35/AVERAGE(C47:E47)</f>
        <v>7.907364817389588E-2</v>
      </c>
      <c r="F88" s="16">
        <f>F35/AVERAGE(E47:F47)</f>
        <v>5.739029103190444E-2</v>
      </c>
      <c r="G88" s="16">
        <f>G35/AVERAGE(F47:G47)</f>
        <v>7.8020486384910229E-2</v>
      </c>
      <c r="H88" s="16">
        <f>H35/AVERAGE(G47:H47)</f>
        <v>8.5516671307422062E-2</v>
      </c>
      <c r="I88" s="16">
        <f>I35/AVERAGE(H47:I47)</f>
        <v>3.7307467227077895E-2</v>
      </c>
      <c r="J88" s="17">
        <f>J35/AVERAGE(I47:J47)</f>
        <v>3.1291185438778422E-2</v>
      </c>
    </row>
    <row r="89" spans="1:10" x14ac:dyDescent="0.25">
      <c r="A89" s="24" t="s">
        <v>32</v>
      </c>
      <c r="B89" s="25"/>
      <c r="C89" s="16" t="e">
        <f>C36</f>
        <v>#DIV/0!</v>
      </c>
      <c r="D89" s="16"/>
      <c r="E89" s="16">
        <f t="shared" ref="E89:J89" si="55">E36</f>
        <v>0.1790322725678678</v>
      </c>
      <c r="F89" s="16">
        <f t="shared" si="55"/>
        <v>0.11040877353682321</v>
      </c>
      <c r="G89" s="16">
        <f t="shared" si="55"/>
        <v>0.12501807300866877</v>
      </c>
      <c r="H89" s="16">
        <f t="shared" si="55"/>
        <v>0.13821804969916121</v>
      </c>
      <c r="I89" s="16">
        <f t="shared" si="55"/>
        <v>6.4974977882825163E-2</v>
      </c>
      <c r="J89" s="17">
        <f t="shared" si="55"/>
        <v>6.4240085813547593E-2</v>
      </c>
    </row>
    <row r="90" spans="1:10" x14ac:dyDescent="0.25">
      <c r="A90" s="24" t="s">
        <v>33</v>
      </c>
      <c r="B90" s="18"/>
      <c r="C90" s="18" t="e">
        <f>C82</f>
        <v>#DIV/0!</v>
      </c>
      <c r="D90" s="18"/>
      <c r="E90" s="18" t="e">
        <f t="shared" ref="E90:J90" si="56">E82</f>
        <v>#DIV/0!</v>
      </c>
      <c r="F90" s="18" t="e">
        <f t="shared" si="56"/>
        <v>#DIV/0!</v>
      </c>
      <c r="G90" s="18" t="e">
        <f t="shared" si="56"/>
        <v>#DIV/0!</v>
      </c>
      <c r="H90" s="18" t="e">
        <f t="shared" si="56"/>
        <v>#DIV/0!</v>
      </c>
      <c r="I90" s="18" t="e">
        <f t="shared" si="56"/>
        <v>#DIV/0!</v>
      </c>
      <c r="J90" s="19" t="e">
        <f t="shared" si="56"/>
        <v>#DIV/0!</v>
      </c>
    </row>
    <row r="91" spans="1:10" x14ac:dyDescent="0.25">
      <c r="A91" s="26" t="s">
        <v>29</v>
      </c>
      <c r="B91" s="18"/>
      <c r="C91" s="18" t="e">
        <f t="shared" ref="C91:J91" si="57">AVERAGE(A59:C59)/AVERAGE(A47:C47)</f>
        <v>#DIV/0!</v>
      </c>
      <c r="D91" s="18" t="e">
        <f t="shared" si="57"/>
        <v>#DIV/0!</v>
      </c>
      <c r="E91" s="18" t="e">
        <f t="shared" si="57"/>
        <v>#DIV/0!</v>
      </c>
      <c r="F91" s="18" t="e">
        <f t="shared" si="57"/>
        <v>#DIV/0!</v>
      </c>
      <c r="G91" s="18" t="e">
        <f t="shared" si="57"/>
        <v>#DIV/0!</v>
      </c>
      <c r="H91" s="18" t="e">
        <f t="shared" si="57"/>
        <v>#DIV/0!</v>
      </c>
      <c r="I91" s="18" t="e">
        <f t="shared" si="57"/>
        <v>#DIV/0!</v>
      </c>
      <c r="J91" s="19" t="e">
        <f t="shared" si="57"/>
        <v>#DIV/0!</v>
      </c>
    </row>
    <row r="92" spans="1:10" x14ac:dyDescent="0.25">
      <c r="A92" s="27" t="s">
        <v>54</v>
      </c>
      <c r="B92" s="18"/>
      <c r="C92" s="53" t="e">
        <f>C31/(AVERAGE(B47,C47,B49,C49))</f>
        <v>#DIV/0!</v>
      </c>
      <c r="D92" s="53"/>
      <c r="E92" s="53">
        <f>E31/(AVERAGE(C47,E47,C49,E49))</f>
        <v>0.33520026768611089</v>
      </c>
      <c r="F92" s="53">
        <f>F31/(AVERAGE(E47,F47,E49,F49))</f>
        <v>0.1567744720426702</v>
      </c>
      <c r="G92" s="53">
        <f>G31/(AVERAGE(F47,G47,F49,G49))</f>
        <v>0.23486765450115926</v>
      </c>
      <c r="H92" s="53">
        <f>H31/(AVERAGE(G47,H47,G49,H49))</f>
        <v>0.19588046448948943</v>
      </c>
      <c r="I92" s="53">
        <f>I31/(AVERAGE(H47,I47,H49,I49))</f>
        <v>8.621061385406717E-2</v>
      </c>
      <c r="J92" s="54">
        <f>J31/(AVERAGE(I47,J47,I49,J49))</f>
        <v>0.18040391948904702</v>
      </c>
    </row>
    <row r="93" spans="1:10" ht="15.75" thickBot="1" x14ac:dyDescent="0.3">
      <c r="A93" s="28" t="s">
        <v>55</v>
      </c>
      <c r="B93" s="29"/>
      <c r="C93" s="52" t="e">
        <f>(C35-C32*(1-C37))/AVERAGE(B59,C59)</f>
        <v>#DIV/0!</v>
      </c>
      <c r="D93" s="52"/>
      <c r="E93" s="55" t="e">
        <f>(E35-E32*(1-E37))/AVERAGE(C59,E59)</f>
        <v>#DIV/0!</v>
      </c>
      <c r="F93" s="55" t="e">
        <f>(F35-F32*(1-F37))/AVERAGE(E59,F59)</f>
        <v>#DIV/0!</v>
      </c>
      <c r="G93" s="55" t="e">
        <f>(G35-G32*(1-G37))/AVERAGE(F59,G59)</f>
        <v>#DIV/0!</v>
      </c>
      <c r="H93" s="55" t="e">
        <f>(H35-H32*(1-H37))/AVERAGE(G59,H59)</f>
        <v>#DIV/0!</v>
      </c>
      <c r="I93" s="55" t="e">
        <f>(I35-I32*(1-I37))/AVERAGE(H59,I59)</f>
        <v>#DIV/0!</v>
      </c>
      <c r="J93" s="56" t="e">
        <f>(J35-J32*(1-J37))/AVERAGE(I59,J59)</f>
        <v>#DIV/0!</v>
      </c>
    </row>
    <row r="94" spans="1:10" x14ac:dyDescent="0.25">
      <c r="A94" s="22" t="s">
        <v>34</v>
      </c>
      <c r="B94" s="23">
        <f t="shared" ref="B94:J94" si="58">B89*B90*B91-B88</f>
        <v>0</v>
      </c>
      <c r="C94" s="23" t="e">
        <f t="shared" si="58"/>
        <v>#DIV/0!</v>
      </c>
      <c r="D94" s="23"/>
      <c r="E94" s="23" t="e">
        <f t="shared" si="58"/>
        <v>#DIV/0!</v>
      </c>
      <c r="F94" s="23" t="e">
        <f t="shared" si="58"/>
        <v>#DIV/0!</v>
      </c>
      <c r="G94" s="23" t="e">
        <f t="shared" si="58"/>
        <v>#DIV/0!</v>
      </c>
      <c r="H94" s="23" t="e">
        <f t="shared" si="58"/>
        <v>#DIV/0!</v>
      </c>
      <c r="I94" s="23" t="e">
        <f t="shared" si="58"/>
        <v>#DIV/0!</v>
      </c>
      <c r="J94" s="23" t="e">
        <f t="shared" si="58"/>
        <v>#DIV/0!</v>
      </c>
    </row>
    <row r="95" spans="1:10" x14ac:dyDescent="0.25">
      <c r="A95" s="10"/>
      <c r="B95" s="10"/>
      <c r="C95" s="10"/>
      <c r="D95" s="10"/>
      <c r="E95" s="10"/>
      <c r="F95" s="10"/>
      <c r="G95" s="10"/>
      <c r="H95" s="10"/>
      <c r="I95" s="10"/>
      <c r="J95" s="10"/>
    </row>
    <row r="96" spans="1:10" x14ac:dyDescent="0.25">
      <c r="A96" s="10"/>
      <c r="B96" s="20"/>
      <c r="C96" s="20"/>
      <c r="D96" s="20"/>
      <c r="E96" s="20"/>
      <c r="F96" s="20"/>
      <c r="G96" s="20"/>
      <c r="H96" s="20"/>
      <c r="I96" s="20"/>
      <c r="J96" s="20"/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FS (Y) - Cons.</vt:lpstr>
      <vt:lpstr>FS (Y) - SA</vt:lpstr>
      <vt:lpstr>FS (Q) - Cons.</vt:lpstr>
      <vt:lpstr>FS (Q) - 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2015-10-12T08:11:10Z</dcterms:modified>
</cp:coreProperties>
</file>