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75" windowHeight="799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0" i="2" l="1"/>
  <c r="H25" i="2"/>
  <c r="B25" i="2"/>
  <c r="E25" i="2"/>
  <c r="E41" i="2"/>
  <c r="D41" i="2"/>
  <c r="C41" i="2"/>
  <c r="E40" i="2"/>
  <c r="D40" i="2"/>
  <c r="C40" i="2"/>
  <c r="C42" i="2"/>
  <c r="C31" i="2"/>
  <c r="E37" i="2"/>
  <c r="D37" i="2"/>
  <c r="C37" i="2"/>
  <c r="F37" i="2" s="1"/>
  <c r="L35" i="2" s="1"/>
  <c r="L36" i="2" s="1"/>
  <c r="E35" i="2"/>
  <c r="D35" i="2"/>
  <c r="F35" i="2" s="1"/>
  <c r="L32" i="2" s="1"/>
  <c r="C35" i="2"/>
  <c r="E34" i="2"/>
  <c r="D34" i="2"/>
  <c r="C34" i="2"/>
  <c r="F34" i="2" s="1"/>
  <c r="E33" i="2"/>
  <c r="D33" i="2"/>
  <c r="C33" i="2"/>
  <c r="E31" i="2"/>
  <c r="D31" i="2"/>
  <c r="I24" i="2"/>
  <c r="E30" i="2" s="1"/>
  <c r="F24" i="2"/>
  <c r="D30" i="2" s="1"/>
  <c r="B24" i="2"/>
  <c r="C24" i="2" s="1"/>
  <c r="C30" i="2" s="1"/>
  <c r="F30" i="2" s="1"/>
  <c r="H24" i="2"/>
  <c r="E24" i="2"/>
  <c r="O14" i="1"/>
  <c r="O12" i="1"/>
  <c r="C29" i="2" l="1"/>
  <c r="D29" i="2"/>
  <c r="E29" i="2"/>
  <c r="F33" i="2"/>
  <c r="E42" i="2"/>
  <c r="D42" i="2"/>
  <c r="L33" i="2"/>
  <c r="F31" i="2"/>
  <c r="F29" i="2" l="1"/>
  <c r="L29" i="2" l="1"/>
  <c r="L31" i="2" s="1"/>
  <c r="L34" i="2" s="1"/>
  <c r="L7" i="1" l="1"/>
  <c r="N1" i="1"/>
  <c r="M1" i="1"/>
  <c r="L1" i="1"/>
  <c r="P2" i="1"/>
  <c r="N5" i="1"/>
  <c r="M5" i="1"/>
  <c r="L5" i="1"/>
  <c r="H6" i="1"/>
  <c r="H8" i="1" s="1"/>
  <c r="H11" i="1" s="1"/>
  <c r="F11" i="1"/>
  <c r="F8" i="1"/>
  <c r="F6" i="1"/>
</calcChain>
</file>

<file path=xl/sharedStrings.xml><?xml version="1.0" encoding="utf-8"?>
<sst xmlns="http://schemas.openxmlformats.org/spreadsheetml/2006/main" count="56" uniqueCount="46">
  <si>
    <t>INA</t>
  </si>
  <si>
    <t>Luk</t>
  </si>
  <si>
    <t>FAG</t>
  </si>
  <si>
    <t>EBITDA</t>
  </si>
  <si>
    <t>PAT</t>
  </si>
  <si>
    <t>INRm</t>
  </si>
  <si>
    <t>CY16</t>
  </si>
  <si>
    <t>H1CY17</t>
  </si>
  <si>
    <t>Revenue</t>
  </si>
  <si>
    <t>PBT</t>
  </si>
  <si>
    <t>Borrowings</t>
  </si>
  <si>
    <t>Cash</t>
  </si>
  <si>
    <t>Growth</t>
  </si>
  <si>
    <t>EBITDA %</t>
  </si>
  <si>
    <t>PBT %</t>
  </si>
  <si>
    <t>PAT %</t>
  </si>
  <si>
    <t>Non Current Liabilities</t>
  </si>
  <si>
    <t>Non Current Assets</t>
  </si>
  <si>
    <t xml:space="preserve">Net WC </t>
  </si>
  <si>
    <t>% of revenue</t>
  </si>
  <si>
    <t>Sch India</t>
  </si>
  <si>
    <t>All</t>
  </si>
  <si>
    <t>Net Debt</t>
  </si>
  <si>
    <t>Net Worth</t>
  </si>
  <si>
    <t>Total Debt</t>
  </si>
  <si>
    <t>Sch</t>
  </si>
  <si>
    <t>NW</t>
  </si>
  <si>
    <t>Debt</t>
  </si>
  <si>
    <t>NCL</t>
  </si>
  <si>
    <t>NCA</t>
  </si>
  <si>
    <t>NWC</t>
  </si>
  <si>
    <t>Combined</t>
  </si>
  <si>
    <t>Rev(17-18)</t>
  </si>
  <si>
    <t>Rev(16-17)</t>
  </si>
  <si>
    <t>Increase</t>
  </si>
  <si>
    <t>H1CY171</t>
  </si>
  <si>
    <t>RONW</t>
  </si>
  <si>
    <t>No of shares  post merger</t>
  </si>
  <si>
    <t>Total NW ( in Rs )</t>
  </si>
  <si>
    <t>Book value per share ( in INR per share )</t>
  </si>
  <si>
    <t>Cash per share</t>
  </si>
  <si>
    <t>EPS ( post merger )</t>
  </si>
  <si>
    <t>Combined PAT (in Rs )</t>
  </si>
  <si>
    <t>PAT ( H1*2)</t>
  </si>
  <si>
    <t>Current RONW ( Sch India )</t>
  </si>
  <si>
    <t>RONW post merger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</si>
</sst>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3" fontId="0" fillId="0" borderId="0" xfId="0" applyNumberFormat="1"/>
    <xf numFmtId="9" fontId="0" fillId="0" borderId="0" xfId="1" applyFont="1"/>
    <xf numFmtId="9" fontId="0" fillId="0" borderId="0" xfId="1" applyFont="1" applyAlignment="1">
      <alignment horizontal="center"/>
    </xf>
    <xf numFmtId="169" fontId="0" fillId="0" borderId="0" xfId="1" applyNumberFormat="1" applyFont="1"/>
    <xf numFmtId="10" fontId="0" fillId="0" borderId="0" xfId="0" applyNumberFormat="1"/>
    <xf numFmtId="1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0" fillId="0" borderId="0" xfId="1" applyNumberFormat="1" applyFont="1"/>
    <xf numFmtId="0" fontId="2" fillId="2" borderId="0" xfId="0" applyFont="1" applyFill="1"/>
    <xf numFmtId="0" fontId="0" fillId="2" borderId="0" xfId="0" applyFill="1"/>
    <xf numFmtId="0" fontId="2" fillId="0" borderId="0" xfId="0" applyFont="1" applyAlignment="1">
      <alignment horizontal="center"/>
    </xf>
    <xf numFmtId="9" fontId="2" fillId="0" borderId="0" xfId="1" applyFont="1"/>
    <xf numFmtId="1" fontId="2" fillId="0" borderId="0" xfId="0" applyNumberFormat="1" applyFont="1" applyAlignment="1">
      <alignment horizontal="center"/>
    </xf>
    <xf numFmtId="9" fontId="2" fillId="0" borderId="0" xfId="1" applyNumberFormat="1" applyFont="1" applyAlignment="1">
      <alignment horizontal="center"/>
    </xf>
    <xf numFmtId="9" fontId="2" fillId="0" borderId="0" xfId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F1" workbookViewId="0">
      <selection activeCell="O14" sqref="O14"/>
    </sheetView>
  </sheetViews>
  <sheetFormatPr defaultRowHeight="15" x14ac:dyDescent="0.25"/>
  <cols>
    <col min="6" max="6" width="11" bestFit="1" customWidth="1"/>
    <col min="8" max="8" width="12" bestFit="1" customWidth="1"/>
    <col min="12" max="12" width="6.140625" bestFit="1" customWidth="1"/>
    <col min="18" max="18" width="13.28515625" bestFit="1" customWidth="1"/>
  </cols>
  <sheetData>
    <row r="1" spans="1:16" x14ac:dyDescent="0.25">
      <c r="E1">
        <v>2015</v>
      </c>
      <c r="F1">
        <v>2016</v>
      </c>
      <c r="L1" s="3">
        <f>L2/$P$2</f>
        <v>0.10318570318570319</v>
      </c>
      <c r="M1" s="3">
        <f>M2/$P$2</f>
        <v>0.14441854441854443</v>
      </c>
      <c r="N1" s="3">
        <f>N2/$P$2</f>
        <v>0.7523957523957524</v>
      </c>
    </row>
    <row r="2" spans="1:16" x14ac:dyDescent="0.25">
      <c r="A2" t="s">
        <v>0</v>
      </c>
      <c r="F2">
        <v>26161</v>
      </c>
      <c r="H2" s="1">
        <v>1945</v>
      </c>
      <c r="I2">
        <v>1000000</v>
      </c>
      <c r="L2">
        <v>1992</v>
      </c>
      <c r="M2">
        <v>2788</v>
      </c>
      <c r="N2">
        <v>14525</v>
      </c>
      <c r="P2">
        <f>SUM(L2:N2)</f>
        <v>19305</v>
      </c>
    </row>
    <row r="3" spans="1:16" x14ac:dyDescent="0.25">
      <c r="A3" t="s">
        <v>1</v>
      </c>
      <c r="F3">
        <v>9215</v>
      </c>
      <c r="H3">
        <v>685</v>
      </c>
      <c r="I3">
        <v>1000000</v>
      </c>
      <c r="L3">
        <v>685</v>
      </c>
      <c r="M3">
        <v>611</v>
      </c>
      <c r="N3">
        <v>1945</v>
      </c>
    </row>
    <row r="4" spans="1:16" x14ac:dyDescent="0.25">
      <c r="A4" t="s">
        <v>2</v>
      </c>
      <c r="F4">
        <v>7930</v>
      </c>
      <c r="H4">
        <v>611</v>
      </c>
      <c r="I4">
        <v>1000000</v>
      </c>
    </row>
    <row r="5" spans="1:16" x14ac:dyDescent="0.25">
      <c r="L5" s="2">
        <f>L3/L2</f>
        <v>0.34387550200803213</v>
      </c>
      <c r="M5" s="2">
        <f>M3/M2</f>
        <v>0.2191535150645624</v>
      </c>
      <c r="N5" s="2">
        <f>N3/N2</f>
        <v>0.13390705679862305</v>
      </c>
    </row>
    <row r="6" spans="1:16" x14ac:dyDescent="0.25">
      <c r="F6">
        <f>SUM(F2:F4)</f>
        <v>43306</v>
      </c>
      <c r="H6" s="1">
        <f>SUM(H2:H4)</f>
        <v>3241</v>
      </c>
      <c r="I6">
        <v>1000000</v>
      </c>
    </row>
    <row r="7" spans="1:16" x14ac:dyDescent="0.25">
      <c r="L7" s="4">
        <f>SUMPRODUCT(L5:N5,L1:N1)/SUM(L1:N1)</f>
        <v>0.16788396788396787</v>
      </c>
    </row>
    <row r="8" spans="1:16" x14ac:dyDescent="0.25">
      <c r="F8">
        <f>3360000000</f>
        <v>3360000000</v>
      </c>
      <c r="H8">
        <f>H6*I6</f>
        <v>3241000000</v>
      </c>
    </row>
    <row r="9" spans="1:16" x14ac:dyDescent="0.25">
      <c r="F9">
        <v>31260734</v>
      </c>
      <c r="H9">
        <v>31260734</v>
      </c>
    </row>
    <row r="11" spans="1:16" x14ac:dyDescent="0.25">
      <c r="F11">
        <f>F8/F9</f>
        <v>107.48308085152448</v>
      </c>
      <c r="H11">
        <f>H8/H9</f>
        <v>103.67638840469965</v>
      </c>
    </row>
    <row r="12" spans="1:16" x14ac:dyDescent="0.25">
      <c r="O12">
        <f>684*2</f>
        <v>1368</v>
      </c>
    </row>
    <row r="13" spans="1:16" x14ac:dyDescent="0.25">
      <c r="O13">
        <v>1262</v>
      </c>
    </row>
    <row r="14" spans="1:16" x14ac:dyDescent="0.25">
      <c r="O14" s="4">
        <f>O12/O13-1</f>
        <v>8.3993660855784524E-2</v>
      </c>
    </row>
    <row r="21" spans="16:16" x14ac:dyDescent="0.25">
      <c r="P2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O5" sqref="O5:O9"/>
    </sheetView>
  </sheetViews>
  <sheetFormatPr defaultRowHeight="15" x14ac:dyDescent="0.25"/>
  <cols>
    <col min="1" max="1" width="21.140625" bestFit="1" customWidth="1"/>
    <col min="2" max="2" width="10.42578125" bestFit="1" customWidth="1"/>
    <col min="3" max="3" width="12.140625" bestFit="1" customWidth="1"/>
    <col min="6" max="6" width="10.140625" bestFit="1" customWidth="1"/>
    <col min="7" max="7" width="20.7109375" bestFit="1" customWidth="1"/>
    <col min="12" max="12" width="12" bestFit="1" customWidth="1"/>
  </cols>
  <sheetData>
    <row r="1" spans="1:15" x14ac:dyDescent="0.25">
      <c r="B1" s="10" t="s">
        <v>20</v>
      </c>
      <c r="C1" s="10"/>
      <c r="D1" s="7"/>
      <c r="E1" s="10" t="s">
        <v>0</v>
      </c>
      <c r="F1" s="10"/>
      <c r="G1" s="7"/>
      <c r="H1" s="10" t="s">
        <v>1</v>
      </c>
      <c r="I1" s="11"/>
      <c r="K1" s="10" t="s">
        <v>21</v>
      </c>
      <c r="L1" s="10"/>
    </row>
    <row r="2" spans="1:15" x14ac:dyDescent="0.25">
      <c r="A2" s="12" t="s">
        <v>5</v>
      </c>
      <c r="B2" s="12" t="s">
        <v>6</v>
      </c>
      <c r="C2" s="12" t="s">
        <v>35</v>
      </c>
      <c r="D2" s="12"/>
      <c r="E2" s="12" t="s">
        <v>6</v>
      </c>
      <c r="F2" s="12" t="s">
        <v>35</v>
      </c>
      <c r="G2" s="12"/>
      <c r="H2" s="12" t="s">
        <v>6</v>
      </c>
      <c r="I2" s="12" t="s">
        <v>35</v>
      </c>
      <c r="J2" s="12"/>
      <c r="K2" s="12" t="s">
        <v>6</v>
      </c>
      <c r="L2" s="12" t="s">
        <v>7</v>
      </c>
    </row>
    <row r="3" spans="1:15" x14ac:dyDescent="0.25">
      <c r="A3" t="s">
        <v>8</v>
      </c>
      <c r="B3" s="1">
        <v>18139</v>
      </c>
      <c r="C3" s="1">
        <v>9205</v>
      </c>
      <c r="E3" s="1">
        <v>10418</v>
      </c>
      <c r="F3" s="1">
        <v>5855</v>
      </c>
      <c r="H3" s="1">
        <v>7298</v>
      </c>
      <c r="I3" s="1">
        <v>4078</v>
      </c>
      <c r="K3" s="1">
        <v>35694</v>
      </c>
      <c r="L3" s="1">
        <v>19077</v>
      </c>
    </row>
    <row r="4" spans="1:15" x14ac:dyDescent="0.25">
      <c r="A4" t="s">
        <v>12</v>
      </c>
      <c r="B4" s="5">
        <v>5.1999999999999998E-2</v>
      </c>
      <c r="C4" s="5">
        <v>6.9000000000000006E-2</v>
      </c>
      <c r="E4" s="5">
        <v>0.151</v>
      </c>
      <c r="F4" s="5">
        <v>0.17299999999999999</v>
      </c>
      <c r="H4" s="5">
        <v>0.16600000000000001</v>
      </c>
      <c r="I4" s="5">
        <v>0.17299999999999999</v>
      </c>
      <c r="K4" s="5">
        <v>0.10199999999999999</v>
      </c>
      <c r="L4" s="5">
        <v>0.121</v>
      </c>
    </row>
    <row r="5" spans="1:15" x14ac:dyDescent="0.25">
      <c r="A5" t="s">
        <v>3</v>
      </c>
      <c r="B5" s="1">
        <v>2961</v>
      </c>
      <c r="C5" s="1">
        <v>1746</v>
      </c>
      <c r="E5" s="1">
        <v>1461</v>
      </c>
      <c r="F5">
        <v>892</v>
      </c>
      <c r="H5" s="1">
        <v>1262</v>
      </c>
      <c r="I5">
        <v>684</v>
      </c>
      <c r="K5" s="1">
        <v>5684</v>
      </c>
      <c r="L5" s="1">
        <v>3323</v>
      </c>
      <c r="O5" s="1"/>
    </row>
    <row r="6" spans="1:15" x14ac:dyDescent="0.25">
      <c r="A6" t="s">
        <v>13</v>
      </c>
      <c r="B6" s="5">
        <v>0.16300000000000001</v>
      </c>
      <c r="C6" s="5">
        <v>0.19</v>
      </c>
      <c r="E6" s="5">
        <v>0.14000000000000001</v>
      </c>
      <c r="F6" s="5">
        <v>0.152</v>
      </c>
      <c r="H6" s="5">
        <v>0.17299999999999999</v>
      </c>
      <c r="I6" s="5">
        <v>0.16800000000000001</v>
      </c>
      <c r="K6" s="5">
        <v>0.159</v>
      </c>
      <c r="L6" s="5">
        <v>0.17399999999999999</v>
      </c>
    </row>
    <row r="7" spans="1:15" x14ac:dyDescent="0.25">
      <c r="A7" t="s">
        <v>9</v>
      </c>
      <c r="B7" s="1">
        <v>2985</v>
      </c>
      <c r="C7" s="1">
        <v>1699</v>
      </c>
      <c r="E7">
        <v>997</v>
      </c>
      <c r="F7">
        <v>633</v>
      </c>
      <c r="H7">
        <v>889</v>
      </c>
      <c r="I7">
        <v>509</v>
      </c>
      <c r="K7" s="1">
        <v>4870</v>
      </c>
      <c r="L7" s="1">
        <v>2841</v>
      </c>
    </row>
    <row r="8" spans="1:15" x14ac:dyDescent="0.25">
      <c r="A8" t="s">
        <v>14</v>
      </c>
      <c r="B8" s="5">
        <v>0.16500000000000001</v>
      </c>
      <c r="C8" s="5">
        <v>0.185</v>
      </c>
      <c r="E8" s="5">
        <v>9.6000000000000002E-2</v>
      </c>
      <c r="F8" s="5">
        <v>0.108</v>
      </c>
      <c r="H8" s="5">
        <v>0.122</v>
      </c>
      <c r="I8" s="5">
        <v>0.125</v>
      </c>
      <c r="K8" s="5">
        <v>0.13600000000000001</v>
      </c>
      <c r="L8" s="5">
        <v>0.14899999999999999</v>
      </c>
    </row>
    <row r="9" spans="1:15" x14ac:dyDescent="0.25">
      <c r="A9" t="s">
        <v>4</v>
      </c>
      <c r="B9" s="1">
        <v>1945</v>
      </c>
      <c r="C9" s="1">
        <v>1115</v>
      </c>
      <c r="E9">
        <v>685</v>
      </c>
      <c r="F9">
        <v>414</v>
      </c>
      <c r="H9">
        <v>611</v>
      </c>
      <c r="I9">
        <v>353</v>
      </c>
      <c r="K9" s="1">
        <v>3241</v>
      </c>
      <c r="L9" s="1">
        <v>1881</v>
      </c>
    </row>
    <row r="10" spans="1:15" x14ac:dyDescent="0.25">
      <c r="A10" t="s">
        <v>15</v>
      </c>
      <c r="B10" s="5">
        <v>0.107</v>
      </c>
      <c r="C10" s="5">
        <v>0.121</v>
      </c>
      <c r="E10" s="5">
        <v>6.6000000000000003E-2</v>
      </c>
      <c r="F10" s="5">
        <v>7.0999999999999994E-2</v>
      </c>
      <c r="H10" s="5">
        <v>8.4000000000000005E-2</v>
      </c>
      <c r="I10" s="5">
        <v>8.5999999999999993E-2</v>
      </c>
      <c r="K10" s="5">
        <v>9.0999999999999998E-2</v>
      </c>
      <c r="L10" s="5">
        <v>9.9000000000000005E-2</v>
      </c>
    </row>
    <row r="13" spans="1:15" x14ac:dyDescent="0.25">
      <c r="A13" t="s">
        <v>16</v>
      </c>
      <c r="B13">
        <v>289</v>
      </c>
      <c r="C13">
        <v>294</v>
      </c>
      <c r="E13" s="1">
        <v>1501</v>
      </c>
      <c r="F13" s="1">
        <v>1263</v>
      </c>
      <c r="H13">
        <v>326</v>
      </c>
      <c r="I13">
        <v>208</v>
      </c>
      <c r="K13" s="1">
        <v>1146</v>
      </c>
      <c r="L13">
        <v>597</v>
      </c>
    </row>
    <row r="14" spans="1:15" x14ac:dyDescent="0.25">
      <c r="A14" t="s">
        <v>10</v>
      </c>
      <c r="B14">
        <v>0</v>
      </c>
      <c r="C14">
        <v>0</v>
      </c>
      <c r="E14" s="1">
        <v>1410</v>
      </c>
      <c r="F14" s="1">
        <v>1170</v>
      </c>
      <c r="H14">
        <v>242</v>
      </c>
      <c r="I14">
        <v>113</v>
      </c>
      <c r="K14">
        <v>702</v>
      </c>
      <c r="L14">
        <v>133</v>
      </c>
    </row>
    <row r="16" spans="1:15" x14ac:dyDescent="0.25">
      <c r="A16" t="s">
        <v>17</v>
      </c>
      <c r="B16" s="1">
        <v>5520</v>
      </c>
      <c r="C16" s="1">
        <v>5556</v>
      </c>
      <c r="E16" s="1">
        <v>2733</v>
      </c>
      <c r="F16" s="1">
        <v>2659</v>
      </c>
      <c r="H16" s="1">
        <v>1957</v>
      </c>
      <c r="I16" s="1">
        <v>1874</v>
      </c>
      <c r="K16" s="1">
        <v>9244</v>
      </c>
      <c r="L16" s="1">
        <v>8926</v>
      </c>
    </row>
    <row r="18" spans="1:14" x14ac:dyDescent="0.25">
      <c r="A18" t="s">
        <v>18</v>
      </c>
      <c r="B18" s="1">
        <v>2889</v>
      </c>
      <c r="C18" s="1">
        <v>3199</v>
      </c>
      <c r="E18">
        <v>777</v>
      </c>
      <c r="F18">
        <v>808</v>
      </c>
      <c r="H18">
        <v>836</v>
      </c>
      <c r="I18">
        <v>957</v>
      </c>
      <c r="K18" s="1">
        <v>4498</v>
      </c>
      <c r="L18" s="1">
        <v>4959</v>
      </c>
    </row>
    <row r="19" spans="1:14" x14ac:dyDescent="0.25">
      <c r="A19" t="s">
        <v>19</v>
      </c>
      <c r="B19" s="5">
        <v>0.159</v>
      </c>
      <c r="C19" s="5">
        <v>0.17399999999999999</v>
      </c>
      <c r="E19" s="5">
        <v>7.4999999999999997E-2</v>
      </c>
      <c r="F19" s="5">
        <v>6.9000000000000006E-2</v>
      </c>
      <c r="H19" s="5">
        <v>0.115</v>
      </c>
      <c r="I19" s="5">
        <v>0.11700000000000001</v>
      </c>
      <c r="K19" s="5">
        <v>0.126</v>
      </c>
      <c r="L19" s="5">
        <v>0.13</v>
      </c>
    </row>
    <row r="20" spans="1:14" x14ac:dyDescent="0.25">
      <c r="A20" t="s">
        <v>11</v>
      </c>
      <c r="B20" s="1">
        <v>6406</v>
      </c>
      <c r="C20" s="1">
        <v>7210</v>
      </c>
      <c r="E20">
        <v>38</v>
      </c>
      <c r="F20">
        <v>202</v>
      </c>
      <c r="H20">
        <v>321</v>
      </c>
      <c r="I20">
        <v>518</v>
      </c>
      <c r="K20" s="1">
        <v>6764</v>
      </c>
      <c r="L20" s="1">
        <v>7930</v>
      </c>
    </row>
    <row r="22" spans="1:14" x14ac:dyDescent="0.25">
      <c r="A22" t="s">
        <v>22</v>
      </c>
      <c r="B22" s="1">
        <v>-6406</v>
      </c>
      <c r="C22" s="1"/>
      <c r="E22" s="1">
        <v>1816</v>
      </c>
      <c r="F22" s="1"/>
      <c r="H22">
        <v>23</v>
      </c>
      <c r="I22" s="1"/>
    </row>
    <row r="23" spans="1:14" x14ac:dyDescent="0.25">
      <c r="A23" t="s">
        <v>23</v>
      </c>
      <c r="B23" s="1">
        <v>14525</v>
      </c>
      <c r="E23" s="1">
        <v>1992</v>
      </c>
      <c r="H23" s="1">
        <v>2788</v>
      </c>
    </row>
    <row r="24" spans="1:14" x14ac:dyDescent="0.25">
      <c r="A24" t="s">
        <v>24</v>
      </c>
      <c r="B24" s="1">
        <f>B22+B20</f>
        <v>0</v>
      </c>
      <c r="C24" s="1">
        <f>B24-(B14-C14)</f>
        <v>0</v>
      </c>
      <c r="E24" s="1">
        <f>E22+E20</f>
        <v>1854</v>
      </c>
      <c r="F24" s="1">
        <f>E24-(E14-F14)</f>
        <v>1614</v>
      </c>
      <c r="H24" s="1">
        <f>H22+H20</f>
        <v>344</v>
      </c>
      <c r="I24" s="1">
        <f>H24-(H14-I14)</f>
        <v>215</v>
      </c>
      <c r="L24" s="1"/>
    </row>
    <row r="25" spans="1:14" x14ac:dyDescent="0.25">
      <c r="A25" s="7" t="s">
        <v>36</v>
      </c>
      <c r="B25" s="13">
        <f>B9/B23</f>
        <v>0.13390705679862305</v>
      </c>
      <c r="C25" s="7"/>
      <c r="D25" s="7"/>
      <c r="E25" s="13">
        <f>E9/E23</f>
        <v>0.34387550200803213</v>
      </c>
      <c r="F25" s="8"/>
      <c r="G25" s="7"/>
      <c r="H25" s="13">
        <f>H9/H23</f>
        <v>0.2191535150645624</v>
      </c>
    </row>
    <row r="28" spans="1:14" x14ac:dyDescent="0.25">
      <c r="B28" s="1"/>
      <c r="C28" s="7" t="s">
        <v>25</v>
      </c>
      <c r="D28" s="8" t="s">
        <v>0</v>
      </c>
      <c r="E28" s="7" t="s">
        <v>1</v>
      </c>
      <c r="F28" s="8" t="s">
        <v>31</v>
      </c>
    </row>
    <row r="29" spans="1:14" x14ac:dyDescent="0.25">
      <c r="B29" t="s">
        <v>26</v>
      </c>
      <c r="C29" s="6">
        <f>SUM(C33:C35)-SUM(C30:C31)</f>
        <v>15671</v>
      </c>
      <c r="D29" s="6">
        <f>SUM(D33:D35)-SUM(D30:D31)</f>
        <v>1962</v>
      </c>
      <c r="E29" s="6">
        <f>SUM(E33:E35)-SUM(E30:E31)</f>
        <v>3039</v>
      </c>
      <c r="F29" s="1">
        <f>SUM(C29:E29)</f>
        <v>20672</v>
      </c>
      <c r="L29" s="12">
        <f>F29*1000000</f>
        <v>20672000000</v>
      </c>
      <c r="M29" s="7" t="s">
        <v>38</v>
      </c>
      <c r="N29" s="5"/>
    </row>
    <row r="30" spans="1:14" x14ac:dyDescent="0.25">
      <c r="B30" s="1" t="s">
        <v>27</v>
      </c>
      <c r="C30" s="1">
        <f>C24</f>
        <v>0</v>
      </c>
      <c r="D30" s="1">
        <f>F24</f>
        <v>1614</v>
      </c>
      <c r="E30" s="1">
        <f>I24</f>
        <v>215</v>
      </c>
      <c r="F30" s="1">
        <f>SUM(C30:E30)</f>
        <v>1829</v>
      </c>
      <c r="H30">
        <f>F30*1000000*0.1/L30</f>
        <v>5.8507903237332819</v>
      </c>
      <c r="L30" s="12">
        <v>31260734</v>
      </c>
      <c r="M30" s="7" t="s">
        <v>37</v>
      </c>
    </row>
    <row r="31" spans="1:14" x14ac:dyDescent="0.25">
      <c r="B31" t="s">
        <v>28</v>
      </c>
      <c r="C31" s="6">
        <f>C13-C14</f>
        <v>294</v>
      </c>
      <c r="D31" s="1">
        <f>F13-F14</f>
        <v>93</v>
      </c>
      <c r="E31">
        <f>I13-I14</f>
        <v>95</v>
      </c>
      <c r="F31" s="1">
        <f>SUM(C31:E31)</f>
        <v>482</v>
      </c>
      <c r="I31" s="5"/>
      <c r="L31" s="14">
        <f>L29/L30</f>
        <v>661.27685933414102</v>
      </c>
      <c r="M31" s="7" t="s">
        <v>39</v>
      </c>
    </row>
    <row r="32" spans="1:14" x14ac:dyDescent="0.25">
      <c r="B32" s="1"/>
      <c r="L32" s="14">
        <f>F35*1000000/L30</f>
        <v>253.67286641446103</v>
      </c>
      <c r="M32" s="7" t="s">
        <v>40</v>
      </c>
    </row>
    <row r="33" spans="2:13" x14ac:dyDescent="0.25">
      <c r="B33" t="s">
        <v>29</v>
      </c>
      <c r="C33" s="6">
        <f>C16</f>
        <v>5556</v>
      </c>
      <c r="D33" s="1">
        <f>F16</f>
        <v>2659</v>
      </c>
      <c r="E33" s="1">
        <f>I16</f>
        <v>1874</v>
      </c>
      <c r="F33" s="1">
        <f>SUM(C33:E33)</f>
        <v>10089</v>
      </c>
      <c r="I33" s="5"/>
      <c r="L33" s="15">
        <f>C37/C29</f>
        <v>0.14230106566268905</v>
      </c>
      <c r="M33" s="7" t="s">
        <v>44</v>
      </c>
    </row>
    <row r="34" spans="2:13" x14ac:dyDescent="0.25">
      <c r="B34" s="1" t="s">
        <v>30</v>
      </c>
      <c r="C34" s="1">
        <f>C18</f>
        <v>3199</v>
      </c>
      <c r="D34">
        <f>F18</f>
        <v>808</v>
      </c>
      <c r="E34">
        <f>I18</f>
        <v>957</v>
      </c>
      <c r="F34" s="1">
        <f>SUM(C34:E34)</f>
        <v>4964</v>
      </c>
      <c r="L34" s="16">
        <f>L36/L31</f>
        <v>0.18208204334365327</v>
      </c>
      <c r="M34" s="7" t="s">
        <v>45</v>
      </c>
    </row>
    <row r="35" spans="2:13" x14ac:dyDescent="0.25">
      <c r="B35" t="s">
        <v>11</v>
      </c>
      <c r="C35" s="1">
        <f>C20</f>
        <v>7210</v>
      </c>
      <c r="D35">
        <f>F20</f>
        <v>202</v>
      </c>
      <c r="E35">
        <f>I20</f>
        <v>518</v>
      </c>
      <c r="F35" s="1">
        <f>SUM(C35:E35)</f>
        <v>7930</v>
      </c>
      <c r="L35" s="12">
        <f>F37*1000000</f>
        <v>3764000000</v>
      </c>
      <c r="M35" s="7" t="s">
        <v>42</v>
      </c>
    </row>
    <row r="36" spans="2:13" x14ac:dyDescent="0.25">
      <c r="L36" s="17">
        <f>L35/L30</f>
        <v>120.40664176343397</v>
      </c>
      <c r="M36" s="7" t="s">
        <v>41</v>
      </c>
    </row>
    <row r="37" spans="2:13" x14ac:dyDescent="0.25">
      <c r="B37" t="s">
        <v>43</v>
      </c>
      <c r="C37">
        <f>C9*2</f>
        <v>2230</v>
      </c>
      <c r="D37">
        <f>F9*2</f>
        <v>828</v>
      </c>
      <c r="E37">
        <f>I9*2</f>
        <v>706</v>
      </c>
      <c r="F37">
        <f>SUM(C37:E37)</f>
        <v>3764</v>
      </c>
    </row>
    <row r="40" spans="2:13" x14ac:dyDescent="0.25">
      <c r="B40" t="s">
        <v>32</v>
      </c>
      <c r="C40">
        <f>C9*2</f>
        <v>2230</v>
      </c>
      <c r="D40">
        <f>F9*2</f>
        <v>828</v>
      </c>
      <c r="E40">
        <f>I9*2</f>
        <v>706</v>
      </c>
    </row>
    <row r="41" spans="2:13" x14ac:dyDescent="0.25">
      <c r="B41" t="s">
        <v>33</v>
      </c>
      <c r="C41" s="1">
        <f>B9</f>
        <v>1945</v>
      </c>
      <c r="D41" s="1">
        <f>E9</f>
        <v>685</v>
      </c>
      <c r="E41" s="1">
        <f>H9</f>
        <v>611</v>
      </c>
      <c r="M41" s="4"/>
    </row>
    <row r="42" spans="2:13" x14ac:dyDescent="0.25">
      <c r="B42" t="s">
        <v>34</v>
      </c>
      <c r="C42" s="9">
        <f>C40/C41-1</f>
        <v>0.14652956298200515</v>
      </c>
      <c r="D42" s="9">
        <f>D40/D41-1</f>
        <v>0.20875912408759123</v>
      </c>
      <c r="E42" s="9">
        <f>E40/E41-1</f>
        <v>0.15548281505728312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</dc:creator>
  <cp:lastModifiedBy>BIU</cp:lastModifiedBy>
  <dcterms:created xsi:type="dcterms:W3CDTF">2017-09-23T04:02:05Z</dcterms:created>
  <dcterms:modified xsi:type="dcterms:W3CDTF">2017-09-23T10:33:51Z</dcterms:modified>
</cp:coreProperties>
</file>