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aukumar\OneDrive - Hewlett Packard Enterprise\PERSONAL\STOCKS\Sector\chemical\"/>
    </mc:Choice>
  </mc:AlternateContent>
  <bookViews>
    <workbookView xWindow="240" yWindow="75" windowWidth="19440" windowHeight="7935" tabRatio="827" activeTab="9"/>
  </bookViews>
  <sheets>
    <sheet name="Profit &amp; Loss" sheetId="1" r:id="rId1"/>
    <sheet name="Quarters" sheetId="3" state="hidden" r:id="rId2"/>
    <sheet name="Balance Sheet" sheetId="2" r:id="rId3"/>
    <sheet name="Cash Flow" sheetId="4" state="hidden" r:id="rId4"/>
    <sheet name="Customization" sheetId="5" state="hidden" r:id="rId5"/>
    <sheet name="Financial Analysis" sheetId="8" r:id="rId6"/>
    <sheet name="Data Sheet" sheetId="6" r:id="rId7"/>
    <sheet name="Other_input_data" sheetId="7" r:id="rId8"/>
    <sheet name="Trend" sheetId="12" r:id="rId9"/>
    <sheet name="Comparative1" sheetId="14" r:id="rId10"/>
    <sheet name="Comparative" sheetId="13" r:id="rId11"/>
    <sheet name="Analysis2" sheetId="9" r:id="rId12"/>
    <sheet name="Valuation" sheetId="10" r:id="rId13"/>
    <sheet name="PE Forecast" sheetId="11" r:id="rId14"/>
  </sheets>
  <externalReferences>
    <externalReference r:id="rId15"/>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1</definedName>
    <definedName name="_AtRisk_SimSetting_ReportOptionCustomItemSummaryGraphType02" hidden="1">1</definedName>
    <definedName name="_AtRisk_SimSetting_ReportOptionCustomItemSummaryGraphType03" hidden="1">1</definedName>
    <definedName name="_AtRisk_SimSetting_ReportOptionCustomItemSummaryGraphType04" hidden="1">1</definedName>
    <definedName name="_AtRisk_SimSetting_ReportOptionCustomItemSummaryGraphType05" hidden="1">1</definedName>
    <definedName name="_AtRisk_SimSetting_ReportOptionCustomItemSummaryGraphType06" hidden="1">1</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UPDATE" localSheetId="11">'[1]Data Sheet'!$E$1</definedName>
    <definedName name="UPDATE" localSheetId="5">'[1]Data Sheet'!$E$1</definedName>
    <definedName name="UPDATE" localSheetId="7">'[1]Data Sheet'!$E$1</definedName>
    <definedName name="UPDATE" localSheetId="12">'[1]Data Sheet'!$E$1</definedName>
    <definedName name="UPDATE">'Data Sheet'!$E$1</definedName>
  </definedNames>
  <calcPr calcId="152511"/>
</workbook>
</file>

<file path=xl/calcChain.xml><?xml version="1.0" encoding="utf-8"?>
<calcChain xmlns="http://schemas.openxmlformats.org/spreadsheetml/2006/main">
  <c r="B6" i="14" l="1"/>
  <c r="C6" i="14"/>
  <c r="D6" i="14"/>
  <c r="E6" i="14"/>
  <c r="B7" i="14"/>
  <c r="C7" i="14"/>
  <c r="D7" i="14"/>
  <c r="E7" i="14"/>
  <c r="B8" i="14"/>
  <c r="C8" i="14"/>
  <c r="D8" i="14"/>
  <c r="E8" i="14"/>
  <c r="B9" i="14"/>
  <c r="C9" i="14"/>
  <c r="D9" i="14"/>
  <c r="E9" i="14"/>
  <c r="B12" i="14"/>
  <c r="C12" i="14"/>
  <c r="D12" i="14"/>
  <c r="E12" i="14"/>
  <c r="B13" i="14"/>
  <c r="C13" i="14"/>
  <c r="D13" i="14"/>
  <c r="E13" i="14"/>
  <c r="B14" i="14"/>
  <c r="C14" i="14"/>
  <c r="D14" i="14"/>
  <c r="E14" i="14"/>
  <c r="B15" i="14"/>
  <c r="C15" i="14"/>
  <c r="D15" i="14"/>
  <c r="E15" i="14"/>
  <c r="B16" i="14"/>
  <c r="C16" i="14"/>
  <c r="D16" i="14"/>
  <c r="E16" i="14"/>
  <c r="B17" i="14"/>
  <c r="C17" i="14"/>
  <c r="D17" i="14"/>
  <c r="E17" i="14"/>
  <c r="B18" i="14"/>
  <c r="C18" i="14"/>
  <c r="D18" i="14"/>
  <c r="E18" i="14"/>
  <c r="B19" i="14"/>
  <c r="C19" i="14"/>
  <c r="D19" i="14"/>
  <c r="E19" i="14"/>
  <c r="B20" i="14"/>
  <c r="C20" i="14"/>
  <c r="D20" i="14"/>
  <c r="E20" i="14"/>
  <c r="B21" i="14"/>
  <c r="C21" i="14"/>
  <c r="D21" i="14"/>
  <c r="E21" i="14"/>
  <c r="B22" i="14"/>
  <c r="C22" i="14"/>
  <c r="D22" i="14"/>
  <c r="E22" i="14"/>
  <c r="B23" i="14"/>
  <c r="C23" i="14"/>
  <c r="D23" i="14"/>
  <c r="E23" i="14"/>
  <c r="B24" i="14"/>
  <c r="C24" i="14"/>
  <c r="D24" i="14"/>
  <c r="E24" i="14"/>
  <c r="B26" i="14"/>
  <c r="C26" i="14"/>
  <c r="D26" i="14"/>
  <c r="E26" i="14"/>
  <c r="B27" i="14"/>
  <c r="C27" i="14"/>
  <c r="D27" i="14"/>
  <c r="E27" i="14"/>
  <c r="B28" i="14"/>
  <c r="C28" i="14"/>
  <c r="D28" i="14"/>
  <c r="E28" i="14"/>
  <c r="B29" i="14"/>
  <c r="C29" i="14"/>
  <c r="D29" i="14"/>
  <c r="E29" i="14"/>
  <c r="B30" i="14"/>
  <c r="C30" i="14"/>
  <c r="D30" i="14"/>
  <c r="E30" i="14"/>
  <c r="B31" i="14"/>
  <c r="C31" i="14"/>
  <c r="D31" i="14"/>
  <c r="E31" i="14"/>
  <c r="B32" i="14"/>
  <c r="C32" i="14"/>
  <c r="D32" i="14"/>
  <c r="E32" i="14"/>
  <c r="B35" i="14"/>
  <c r="C35" i="14"/>
  <c r="D35" i="14"/>
  <c r="E35" i="14"/>
  <c r="B36" i="14"/>
  <c r="C36" i="14"/>
  <c r="D36" i="14"/>
  <c r="E36" i="14"/>
  <c r="B37" i="14"/>
  <c r="C37" i="14"/>
  <c r="D37" i="14"/>
  <c r="E37" i="14"/>
  <c r="B38" i="14"/>
  <c r="C38" i="14"/>
  <c r="D38" i="14"/>
  <c r="E38" i="14"/>
  <c r="B39" i="14"/>
  <c r="C39" i="14"/>
  <c r="D39" i="14"/>
  <c r="E39" i="14"/>
  <c r="B40" i="14"/>
  <c r="C40" i="14"/>
  <c r="D40" i="14"/>
  <c r="E40" i="14"/>
  <c r="B41" i="14"/>
  <c r="C41" i="14"/>
  <c r="D41" i="14"/>
  <c r="E41" i="14"/>
  <c r="B42" i="14"/>
  <c r="C42" i="14"/>
  <c r="D42" i="14"/>
  <c r="E42" i="14"/>
  <c r="B43" i="14"/>
  <c r="C43" i="14"/>
  <c r="D43" i="14"/>
  <c r="E43" i="14"/>
  <c r="B46" i="14"/>
  <c r="C46" i="14"/>
  <c r="D46" i="14"/>
  <c r="E46" i="14"/>
  <c r="B47" i="14"/>
  <c r="C47" i="14"/>
  <c r="D47" i="14"/>
  <c r="E47" i="14"/>
  <c r="B48" i="14"/>
  <c r="C48" i="14"/>
  <c r="D48" i="14"/>
  <c r="E48" i="14"/>
  <c r="B49" i="14"/>
  <c r="C49" i="14"/>
  <c r="D49" i="14"/>
  <c r="E49" i="14"/>
  <c r="B50" i="14"/>
  <c r="C50" i="14"/>
  <c r="D50" i="14"/>
  <c r="E50" i="14"/>
  <c r="B51" i="14"/>
  <c r="C51" i="14"/>
  <c r="D51" i="14"/>
  <c r="E51" i="14"/>
  <c r="B52" i="14"/>
  <c r="C52" i="14"/>
  <c r="D52" i="14"/>
  <c r="E52" i="14"/>
  <c r="B53" i="14"/>
  <c r="C53" i="14"/>
  <c r="D53" i="14"/>
  <c r="E53" i="14"/>
  <c r="B54" i="14"/>
  <c r="C54" i="14"/>
  <c r="D54" i="14"/>
  <c r="E54" i="14"/>
  <c r="B55" i="14"/>
  <c r="C55" i="14"/>
  <c r="D55" i="14"/>
  <c r="E55" i="14"/>
  <c r="B56" i="14"/>
  <c r="C56" i="14"/>
  <c r="D56" i="14"/>
  <c r="E56" i="14"/>
  <c r="B57" i="14"/>
  <c r="C57" i="14"/>
  <c r="D57" i="14"/>
  <c r="E57" i="14"/>
  <c r="B58" i="14"/>
  <c r="C58" i="14"/>
  <c r="D58" i="14"/>
  <c r="E58" i="14"/>
  <c r="B59" i="14"/>
  <c r="C59" i="14"/>
  <c r="D59" i="14"/>
  <c r="E59" i="14"/>
  <c r="B60" i="14"/>
  <c r="C60" i="14"/>
  <c r="D60" i="14"/>
  <c r="E60" i="14"/>
  <c r="B61" i="14"/>
  <c r="C61" i="14"/>
  <c r="D61" i="14"/>
  <c r="E61" i="14"/>
  <c r="B62" i="14"/>
  <c r="C62" i="14"/>
  <c r="D62" i="14"/>
  <c r="E62" i="14"/>
  <c r="B63" i="14"/>
  <c r="C63" i="14"/>
  <c r="D63" i="14"/>
  <c r="E63" i="14"/>
  <c r="B64" i="14"/>
  <c r="C64" i="14"/>
  <c r="D64" i="14"/>
  <c r="E64" i="14"/>
  <c r="B65" i="14"/>
  <c r="C65" i="14"/>
  <c r="D65" i="14"/>
  <c r="E65" i="14"/>
  <c r="B66" i="14"/>
  <c r="C66" i="14"/>
  <c r="D66" i="14"/>
  <c r="E66" i="14"/>
  <c r="B67" i="14"/>
  <c r="C67" i="14"/>
  <c r="D67" i="14"/>
  <c r="E67" i="14"/>
  <c r="B68" i="14"/>
  <c r="C68" i="14"/>
  <c r="D68" i="14"/>
  <c r="E68" i="14"/>
  <c r="B69" i="14"/>
  <c r="C69" i="14"/>
  <c r="D69" i="14"/>
  <c r="E69" i="14"/>
  <c r="B70" i="14"/>
  <c r="C70" i="14"/>
  <c r="D70" i="14"/>
  <c r="E70" i="14"/>
  <c r="B71" i="14"/>
  <c r="C71" i="14"/>
  <c r="D71" i="14"/>
  <c r="E71" i="14"/>
  <c r="B72" i="14"/>
  <c r="C72" i="14"/>
  <c r="D72" i="14"/>
  <c r="E72" i="14"/>
  <c r="B73" i="14"/>
  <c r="C73" i="14"/>
  <c r="D73" i="14"/>
  <c r="E73" i="14"/>
  <c r="B74" i="14"/>
  <c r="C74" i="14"/>
  <c r="D74" i="14"/>
  <c r="E74" i="14"/>
  <c r="B75" i="14"/>
  <c r="C75" i="14"/>
  <c r="D75" i="14"/>
  <c r="E75" i="14"/>
  <c r="B76" i="14"/>
  <c r="C76" i="14"/>
  <c r="D76" i="14"/>
  <c r="E76" i="14"/>
  <c r="B77" i="14"/>
  <c r="C77" i="14"/>
  <c r="D77" i="14"/>
  <c r="E77" i="14"/>
  <c r="B5" i="14"/>
  <c r="C5" i="14"/>
  <c r="D5" i="14"/>
  <c r="E5" i="14"/>
  <c r="E4" i="14"/>
  <c r="D4" i="14"/>
  <c r="C4" i="14"/>
  <c r="B4" i="14"/>
  <c r="B3" i="14"/>
  <c r="C3" i="14"/>
  <c r="D3" i="14"/>
  <c r="E3" i="14"/>
  <c r="E2" i="14"/>
  <c r="D2" i="14"/>
  <c r="C2" i="14"/>
  <c r="B2" i="14"/>
  <c r="B25" i="13" l="1"/>
  <c r="B22" i="13"/>
  <c r="B17" i="13"/>
  <c r="O39" i="12"/>
  <c r="B23" i="13" s="1"/>
  <c r="N39" i="12"/>
  <c r="B24" i="13" s="1"/>
  <c r="M39" i="12"/>
  <c r="M38" i="12"/>
  <c r="O38" i="12"/>
  <c r="B20" i="13" s="1"/>
  <c r="N38" i="12"/>
  <c r="B21" i="13" s="1"/>
  <c r="M33" i="12"/>
  <c r="O37" i="12"/>
  <c r="N37" i="12"/>
  <c r="B18" i="13" s="1"/>
  <c r="M37" i="12"/>
  <c r="B19" i="13" s="1"/>
  <c r="M35" i="12"/>
  <c r="M36" i="12"/>
  <c r="B16" i="13" s="1"/>
  <c r="M28" i="12"/>
  <c r="N28" i="12"/>
  <c r="O28" i="12"/>
  <c r="M29" i="12"/>
  <c r="N29" i="12"/>
  <c r="O29" i="12"/>
  <c r="M30" i="12"/>
  <c r="N30" i="12"/>
  <c r="O30" i="12"/>
  <c r="M31" i="12"/>
  <c r="N31" i="12"/>
  <c r="O31" i="12"/>
  <c r="M32" i="12"/>
  <c r="N32" i="12"/>
  <c r="O32" i="12"/>
  <c r="N33" i="12"/>
  <c r="O33" i="12"/>
  <c r="M34" i="12"/>
  <c r="N34" i="12"/>
  <c r="O34" i="12"/>
  <c r="N35" i="12"/>
  <c r="O35" i="12"/>
  <c r="O27" i="12"/>
  <c r="O36" i="12" s="1"/>
  <c r="B14" i="13" s="1"/>
  <c r="N27" i="12"/>
  <c r="N36" i="12" s="1"/>
  <c r="B15" i="13" s="1"/>
  <c r="M27" i="12"/>
  <c r="M23" i="12"/>
  <c r="O23" i="12"/>
  <c r="N23" i="12"/>
  <c r="K23" i="12"/>
  <c r="L36" i="7" l="1"/>
  <c r="L25" i="7"/>
  <c r="C82" i="12"/>
  <c r="D82" i="12"/>
  <c r="E82" i="12"/>
  <c r="F82" i="12"/>
  <c r="G82" i="12"/>
  <c r="H82" i="12"/>
  <c r="I82" i="12"/>
  <c r="J82" i="12"/>
  <c r="K82" i="12"/>
  <c r="B82" i="12"/>
  <c r="O82" i="12" s="1"/>
  <c r="C79" i="12"/>
  <c r="D79" i="12"/>
  <c r="E79" i="12"/>
  <c r="F79" i="12"/>
  <c r="G79" i="12"/>
  <c r="H79" i="12"/>
  <c r="I79" i="12"/>
  <c r="J79" i="12"/>
  <c r="K79" i="12"/>
  <c r="B79" i="12"/>
  <c r="C80" i="12"/>
  <c r="D80" i="12"/>
  <c r="E80" i="12"/>
  <c r="F80" i="12"/>
  <c r="G80" i="12"/>
  <c r="H80" i="12"/>
  <c r="I80" i="12"/>
  <c r="J80" i="12"/>
  <c r="K80" i="12"/>
  <c r="B80" i="12"/>
  <c r="O80" i="12" s="1"/>
  <c r="B68" i="13" s="1"/>
  <c r="C68" i="8"/>
  <c r="C9" i="12"/>
  <c r="C101" i="12" s="1"/>
  <c r="D9" i="12"/>
  <c r="D101" i="12" s="1"/>
  <c r="E9" i="12"/>
  <c r="E101" i="12" s="1"/>
  <c r="F9" i="12"/>
  <c r="F101" i="12" s="1"/>
  <c r="G9" i="12"/>
  <c r="G101" i="12" s="1"/>
  <c r="H9" i="12"/>
  <c r="H101" i="12" s="1"/>
  <c r="I9" i="12"/>
  <c r="I101" i="12" s="1"/>
  <c r="M101" i="12" s="1"/>
  <c r="B88" i="13" s="1"/>
  <c r="J9" i="12"/>
  <c r="J101" i="12" s="1"/>
  <c r="K9" i="12"/>
  <c r="K101" i="12" s="1"/>
  <c r="B9" i="12"/>
  <c r="B105" i="12" s="1"/>
  <c r="C75" i="12"/>
  <c r="C76" i="12" s="1"/>
  <c r="D75" i="12"/>
  <c r="D76" i="12" s="1"/>
  <c r="E75" i="12"/>
  <c r="E76" i="12" s="1"/>
  <c r="F75" i="12"/>
  <c r="F76" i="12" s="1"/>
  <c r="G75" i="12"/>
  <c r="H75" i="12"/>
  <c r="H76" i="12" s="1"/>
  <c r="I75" i="12"/>
  <c r="J75" i="12"/>
  <c r="J76" i="12" s="1"/>
  <c r="K75" i="12"/>
  <c r="K76" i="12" s="1"/>
  <c r="B75" i="12"/>
  <c r="C98" i="8"/>
  <c r="C73" i="12"/>
  <c r="C74" i="12" s="1"/>
  <c r="D73" i="12"/>
  <c r="D74" i="12" s="1"/>
  <c r="E73" i="12"/>
  <c r="E74" i="12" s="1"/>
  <c r="F73" i="12"/>
  <c r="F74" i="12" s="1"/>
  <c r="G73" i="12"/>
  <c r="H73" i="12"/>
  <c r="H74" i="12" s="1"/>
  <c r="I73" i="12"/>
  <c r="J73" i="12"/>
  <c r="J74" i="12" s="1"/>
  <c r="K73" i="12"/>
  <c r="K74" i="12" s="1"/>
  <c r="B73" i="12"/>
  <c r="O73" i="12" s="1"/>
  <c r="B53" i="13" s="1"/>
  <c r="C99" i="8"/>
  <c r="C39" i="12"/>
  <c r="D39" i="12"/>
  <c r="E39" i="12"/>
  <c r="F39" i="12"/>
  <c r="G39" i="12"/>
  <c r="H39" i="12"/>
  <c r="I39" i="12"/>
  <c r="J39" i="12"/>
  <c r="K39" i="12"/>
  <c r="B39" i="12"/>
  <c r="C38" i="12"/>
  <c r="D38" i="12"/>
  <c r="E38" i="12"/>
  <c r="F38" i="12"/>
  <c r="G38" i="12"/>
  <c r="H38" i="12"/>
  <c r="I38" i="12"/>
  <c r="J38" i="12"/>
  <c r="K38" i="12"/>
  <c r="B38" i="12"/>
  <c r="C37" i="12"/>
  <c r="D37" i="12"/>
  <c r="E37" i="12"/>
  <c r="F37" i="12"/>
  <c r="G37" i="12"/>
  <c r="H37" i="12"/>
  <c r="I37" i="12"/>
  <c r="J37" i="12"/>
  <c r="K37" i="12"/>
  <c r="B37" i="12"/>
  <c r="C27" i="12"/>
  <c r="C36" i="12" s="1"/>
  <c r="D27" i="12"/>
  <c r="D36" i="12" s="1"/>
  <c r="E27" i="12"/>
  <c r="E36" i="12" s="1"/>
  <c r="F27" i="12"/>
  <c r="F36" i="12" s="1"/>
  <c r="G27" i="12"/>
  <c r="G36" i="12" s="1"/>
  <c r="H27" i="12"/>
  <c r="H36" i="12" s="1"/>
  <c r="I27" i="12"/>
  <c r="I36" i="12" s="1"/>
  <c r="J27" i="12"/>
  <c r="J36" i="12" s="1"/>
  <c r="K27" i="12"/>
  <c r="K36" i="12" s="1"/>
  <c r="C28" i="12"/>
  <c r="D28" i="12"/>
  <c r="E28" i="12"/>
  <c r="F28" i="12"/>
  <c r="G28" i="12"/>
  <c r="H28" i="12"/>
  <c r="I28" i="12"/>
  <c r="J28" i="12"/>
  <c r="K28" i="12"/>
  <c r="C29" i="12"/>
  <c r="D29" i="12"/>
  <c r="E29" i="12"/>
  <c r="F29" i="12"/>
  <c r="G29" i="12"/>
  <c r="H29" i="12"/>
  <c r="I29" i="12"/>
  <c r="J29" i="12"/>
  <c r="K29" i="12"/>
  <c r="C30" i="12"/>
  <c r="D30" i="12"/>
  <c r="E30" i="12"/>
  <c r="F30" i="12"/>
  <c r="G30" i="12"/>
  <c r="H30" i="12"/>
  <c r="I30" i="12"/>
  <c r="J30" i="12"/>
  <c r="K30" i="12"/>
  <c r="C31" i="12"/>
  <c r="D31" i="12"/>
  <c r="E31" i="12"/>
  <c r="F31" i="12"/>
  <c r="G31" i="12"/>
  <c r="H31" i="12"/>
  <c r="I31" i="12"/>
  <c r="J31" i="12"/>
  <c r="K31" i="12"/>
  <c r="C32" i="12"/>
  <c r="D32" i="12"/>
  <c r="E32" i="12"/>
  <c r="F32" i="12"/>
  <c r="G32" i="12"/>
  <c r="H32" i="12"/>
  <c r="I32" i="12"/>
  <c r="J32" i="12"/>
  <c r="K32" i="12"/>
  <c r="C33" i="12"/>
  <c r="D33" i="12"/>
  <c r="E33" i="12"/>
  <c r="F33" i="12"/>
  <c r="G33" i="12"/>
  <c r="H33" i="12"/>
  <c r="I33" i="12"/>
  <c r="J33" i="12"/>
  <c r="K33" i="12"/>
  <c r="C34" i="12"/>
  <c r="D34" i="12"/>
  <c r="E34" i="12"/>
  <c r="F34" i="12"/>
  <c r="G34" i="12"/>
  <c r="H34" i="12"/>
  <c r="I34" i="12"/>
  <c r="J34" i="12"/>
  <c r="K34" i="12"/>
  <c r="C35" i="12"/>
  <c r="D35" i="12"/>
  <c r="E35" i="12"/>
  <c r="F35" i="12"/>
  <c r="G35" i="12"/>
  <c r="H35" i="12"/>
  <c r="I35" i="12"/>
  <c r="J35" i="12"/>
  <c r="K35" i="12"/>
  <c r="B28" i="12"/>
  <c r="B29" i="12"/>
  <c r="B30" i="12"/>
  <c r="B31" i="12"/>
  <c r="B32" i="12"/>
  <c r="B33" i="12"/>
  <c r="B34" i="12"/>
  <c r="B35" i="12"/>
  <c r="B27" i="12"/>
  <c r="B36" i="12" s="1"/>
  <c r="C81" i="12"/>
  <c r="C98" i="12" s="1"/>
  <c r="D81" i="12"/>
  <c r="D98" i="12" s="1"/>
  <c r="E81" i="12"/>
  <c r="E98" i="12" s="1"/>
  <c r="F81" i="12"/>
  <c r="F98" i="12" s="1"/>
  <c r="G81" i="12"/>
  <c r="H81" i="12"/>
  <c r="H98" i="12" s="1"/>
  <c r="I81" i="12"/>
  <c r="J81" i="12"/>
  <c r="J98" i="12" s="1"/>
  <c r="K81" i="12"/>
  <c r="K98" i="12" s="1"/>
  <c r="B81" i="12"/>
  <c r="C74" i="8"/>
  <c r="C113" i="12"/>
  <c r="D113" i="12"/>
  <c r="E113" i="12"/>
  <c r="F113" i="12"/>
  <c r="G113" i="12"/>
  <c r="H113" i="12"/>
  <c r="I113" i="12"/>
  <c r="J113" i="12"/>
  <c r="K113" i="12"/>
  <c r="B113" i="12"/>
  <c r="C112" i="12"/>
  <c r="D112" i="12"/>
  <c r="E112" i="12"/>
  <c r="F112" i="12"/>
  <c r="G112" i="12"/>
  <c r="H112" i="12"/>
  <c r="I112" i="12"/>
  <c r="J112" i="12"/>
  <c r="K112" i="12"/>
  <c r="B112" i="12"/>
  <c r="O112" i="12" s="1"/>
  <c r="C72" i="12"/>
  <c r="D72" i="12"/>
  <c r="E72" i="12"/>
  <c r="F72" i="12"/>
  <c r="G72" i="12"/>
  <c r="H72" i="12"/>
  <c r="I72" i="12"/>
  <c r="J72" i="12"/>
  <c r="K72" i="12"/>
  <c r="B72" i="12"/>
  <c r="C69" i="12"/>
  <c r="D69" i="12"/>
  <c r="E69" i="12"/>
  <c r="F69" i="12"/>
  <c r="G69" i="12"/>
  <c r="H69" i="12"/>
  <c r="I69" i="12"/>
  <c r="J69" i="12"/>
  <c r="K69" i="12"/>
  <c r="B69" i="12"/>
  <c r="O69" i="12" s="1"/>
  <c r="B47" i="13" s="1"/>
  <c r="B68" i="12"/>
  <c r="C68" i="12"/>
  <c r="D68" i="12"/>
  <c r="E68" i="12"/>
  <c r="F68" i="12"/>
  <c r="G68" i="12"/>
  <c r="H68" i="12"/>
  <c r="I68" i="12"/>
  <c r="M68" i="12" s="1"/>
  <c r="B46" i="13" s="1"/>
  <c r="J68" i="12"/>
  <c r="K68" i="12"/>
  <c r="C67" i="12"/>
  <c r="D67" i="12"/>
  <c r="E67" i="12"/>
  <c r="F67" i="12"/>
  <c r="G67" i="12"/>
  <c r="H67" i="12"/>
  <c r="I67" i="12"/>
  <c r="J67" i="12"/>
  <c r="K67" i="12"/>
  <c r="B67" i="12"/>
  <c r="O67" i="12" s="1"/>
  <c r="C66" i="12"/>
  <c r="D66" i="12"/>
  <c r="E66" i="12"/>
  <c r="F66" i="12"/>
  <c r="G66" i="12"/>
  <c r="H66" i="12"/>
  <c r="I66" i="12"/>
  <c r="J66" i="12"/>
  <c r="K66" i="12"/>
  <c r="B66" i="12"/>
  <c r="C65" i="12"/>
  <c r="D65" i="12"/>
  <c r="E65" i="12"/>
  <c r="F65" i="12"/>
  <c r="G65" i="12"/>
  <c r="H65" i="12"/>
  <c r="I65" i="12"/>
  <c r="J65" i="12"/>
  <c r="K65" i="12"/>
  <c r="B65" i="12"/>
  <c r="O65" i="12" s="1"/>
  <c r="C63" i="12"/>
  <c r="D63" i="12"/>
  <c r="E63" i="12"/>
  <c r="F63" i="12"/>
  <c r="G63" i="12"/>
  <c r="H63" i="12"/>
  <c r="I63" i="12"/>
  <c r="J63" i="12"/>
  <c r="K63" i="12"/>
  <c r="B63" i="12"/>
  <c r="C115" i="8"/>
  <c r="C62" i="12"/>
  <c r="D62" i="12"/>
  <c r="E62" i="12"/>
  <c r="F62" i="12"/>
  <c r="G62" i="12"/>
  <c r="H62" i="12"/>
  <c r="I62" i="12"/>
  <c r="J62" i="12"/>
  <c r="K62" i="12"/>
  <c r="B62" i="12"/>
  <c r="C113" i="8"/>
  <c r="C61" i="12"/>
  <c r="C99" i="12" s="1"/>
  <c r="D61" i="12"/>
  <c r="D99" i="12" s="1"/>
  <c r="E61" i="12"/>
  <c r="E99" i="12" s="1"/>
  <c r="F61" i="12"/>
  <c r="F99" i="12" s="1"/>
  <c r="G61" i="12"/>
  <c r="H61" i="12"/>
  <c r="H99" i="12" s="1"/>
  <c r="I61" i="12"/>
  <c r="J61" i="12"/>
  <c r="J99" i="12" s="1"/>
  <c r="K61" i="12"/>
  <c r="K99" i="12" s="1"/>
  <c r="B61" i="12"/>
  <c r="C60" i="12"/>
  <c r="D60" i="12"/>
  <c r="E60" i="12"/>
  <c r="F60" i="12"/>
  <c r="G60" i="12"/>
  <c r="H60" i="12"/>
  <c r="I60" i="12"/>
  <c r="J60" i="12"/>
  <c r="K60" i="12"/>
  <c r="B60" i="12"/>
  <c r="C59" i="12"/>
  <c r="D59" i="12"/>
  <c r="E59" i="12"/>
  <c r="F59" i="12"/>
  <c r="G59" i="12"/>
  <c r="H59" i="12"/>
  <c r="I59" i="12"/>
  <c r="J59" i="12"/>
  <c r="K59" i="12"/>
  <c r="B59" i="12"/>
  <c r="O59" i="12" s="1"/>
  <c r="B41" i="13" s="1"/>
  <c r="C58" i="12"/>
  <c r="D58" i="12"/>
  <c r="E58" i="12"/>
  <c r="F58" i="12"/>
  <c r="G58" i="12"/>
  <c r="H58" i="12"/>
  <c r="I58" i="12"/>
  <c r="J58" i="12"/>
  <c r="K58" i="12"/>
  <c r="B58" i="12"/>
  <c r="C45" i="12"/>
  <c r="D45" i="12"/>
  <c r="E45" i="12"/>
  <c r="F45" i="12"/>
  <c r="G45" i="12"/>
  <c r="H45" i="12"/>
  <c r="I45" i="12"/>
  <c r="J45" i="12"/>
  <c r="K45" i="12"/>
  <c r="B45" i="12"/>
  <c r="O45" i="12" s="1"/>
  <c r="B29" i="13" s="1"/>
  <c r="C44" i="12"/>
  <c r="D44" i="12"/>
  <c r="E44" i="12"/>
  <c r="F44" i="12"/>
  <c r="G44" i="12"/>
  <c r="H44" i="12"/>
  <c r="I44" i="12"/>
  <c r="J44" i="12"/>
  <c r="K44" i="12"/>
  <c r="B44" i="12"/>
  <c r="C49" i="12"/>
  <c r="D49" i="12"/>
  <c r="E49" i="12"/>
  <c r="F49" i="12"/>
  <c r="G49" i="12"/>
  <c r="H49" i="12"/>
  <c r="I49" i="12"/>
  <c r="J49" i="12"/>
  <c r="K49" i="12"/>
  <c r="C50" i="12"/>
  <c r="D50" i="12"/>
  <c r="E50" i="12"/>
  <c r="F50" i="12"/>
  <c r="G50" i="12"/>
  <c r="N50" i="12" s="1"/>
  <c r="H50" i="12"/>
  <c r="I50" i="12"/>
  <c r="J50" i="12"/>
  <c r="K50" i="12"/>
  <c r="C51" i="12"/>
  <c r="D51" i="12"/>
  <c r="E51" i="12"/>
  <c r="F51" i="12"/>
  <c r="G51" i="12"/>
  <c r="H51" i="12"/>
  <c r="I51" i="12"/>
  <c r="J51" i="12"/>
  <c r="K51" i="12"/>
  <c r="C52" i="12"/>
  <c r="D52" i="12"/>
  <c r="E52" i="12"/>
  <c r="F52" i="12"/>
  <c r="G52" i="12"/>
  <c r="H52" i="12"/>
  <c r="I52" i="12"/>
  <c r="M52" i="12" s="1"/>
  <c r="J52" i="12"/>
  <c r="K52" i="12"/>
  <c r="C53" i="12"/>
  <c r="D53" i="12"/>
  <c r="E53" i="12"/>
  <c r="F53" i="12"/>
  <c r="G53" i="12"/>
  <c r="H53" i="12"/>
  <c r="I53" i="12"/>
  <c r="J53" i="12"/>
  <c r="K53" i="12"/>
  <c r="C54" i="12"/>
  <c r="D54" i="12"/>
  <c r="E54" i="12"/>
  <c r="F54" i="12"/>
  <c r="G54" i="12"/>
  <c r="H54" i="12"/>
  <c r="I54" i="12"/>
  <c r="J54" i="12"/>
  <c r="K54" i="12"/>
  <c r="C55" i="12"/>
  <c r="D55" i="12"/>
  <c r="E55" i="12"/>
  <c r="F55" i="12"/>
  <c r="G55" i="12"/>
  <c r="H55" i="12"/>
  <c r="I55" i="12"/>
  <c r="J55" i="12"/>
  <c r="K55" i="12"/>
  <c r="B55" i="12"/>
  <c r="B54" i="12"/>
  <c r="B53" i="12"/>
  <c r="O53" i="12" s="1"/>
  <c r="B52" i="12"/>
  <c r="B51" i="12"/>
  <c r="B50" i="12"/>
  <c r="B49" i="12"/>
  <c r="O49" i="12" s="1"/>
  <c r="D64" i="12"/>
  <c r="E64" i="12"/>
  <c r="F64" i="12"/>
  <c r="G64" i="12"/>
  <c r="H64" i="12"/>
  <c r="I64" i="12"/>
  <c r="J64" i="12"/>
  <c r="K64" i="12"/>
  <c r="C64" i="12"/>
  <c r="C43" i="12"/>
  <c r="D43" i="12"/>
  <c r="E43" i="12"/>
  <c r="F43" i="12"/>
  <c r="G43" i="12"/>
  <c r="H43" i="12"/>
  <c r="I43" i="12"/>
  <c r="M43" i="12" s="1"/>
  <c r="J43" i="12"/>
  <c r="K43" i="12"/>
  <c r="B43" i="12"/>
  <c r="C42" i="12"/>
  <c r="D42" i="12"/>
  <c r="E42" i="12"/>
  <c r="F42" i="12"/>
  <c r="G42" i="12"/>
  <c r="N42" i="12" s="1"/>
  <c r="H42" i="12"/>
  <c r="I42" i="12"/>
  <c r="J42" i="12"/>
  <c r="K42" i="12"/>
  <c r="B42" i="12"/>
  <c r="B4" i="12"/>
  <c r="C23" i="12"/>
  <c r="D23" i="12"/>
  <c r="E23" i="12"/>
  <c r="F23" i="12"/>
  <c r="G23" i="12"/>
  <c r="H23" i="12"/>
  <c r="I23" i="12"/>
  <c r="J23" i="12"/>
  <c r="B23" i="12"/>
  <c r="C7" i="12"/>
  <c r="D7" i="12"/>
  <c r="E7" i="12"/>
  <c r="F7" i="12"/>
  <c r="G7" i="12"/>
  <c r="H7" i="12"/>
  <c r="I7" i="12"/>
  <c r="J7" i="12"/>
  <c r="K7" i="12"/>
  <c r="B7" i="12"/>
  <c r="C6" i="12"/>
  <c r="D6" i="12"/>
  <c r="E6" i="12"/>
  <c r="F6" i="12"/>
  <c r="G6" i="12"/>
  <c r="H6" i="12"/>
  <c r="I6" i="12"/>
  <c r="J6" i="12"/>
  <c r="K6" i="12"/>
  <c r="B6" i="12"/>
  <c r="C10" i="12"/>
  <c r="D10" i="12"/>
  <c r="E10" i="12"/>
  <c r="F10" i="12"/>
  <c r="G10" i="12"/>
  <c r="H10" i="12"/>
  <c r="I10" i="12"/>
  <c r="J10" i="12"/>
  <c r="K10" i="12"/>
  <c r="B10" i="12"/>
  <c r="D12" i="12"/>
  <c r="D48" i="12" s="1"/>
  <c r="E12" i="12"/>
  <c r="E46" i="12" s="1"/>
  <c r="F12" i="12"/>
  <c r="F46" i="12" s="1"/>
  <c r="G12" i="12"/>
  <c r="G47" i="12" s="1"/>
  <c r="H12" i="12"/>
  <c r="H48" i="12" s="1"/>
  <c r="I12" i="12"/>
  <c r="I48" i="12" s="1"/>
  <c r="J12" i="12"/>
  <c r="J46" i="12" s="1"/>
  <c r="K12" i="12"/>
  <c r="K47" i="12" s="1"/>
  <c r="C12" i="12"/>
  <c r="C48" i="12" s="1"/>
  <c r="C45" i="8"/>
  <c r="C13" i="12"/>
  <c r="C93" i="12" s="1"/>
  <c r="D13" i="12"/>
  <c r="D93" i="12" s="1"/>
  <c r="E13" i="12"/>
  <c r="E93" i="12" s="1"/>
  <c r="F13" i="12"/>
  <c r="F93" i="12" s="1"/>
  <c r="G13" i="12"/>
  <c r="G93" i="12" s="1"/>
  <c r="H13" i="12"/>
  <c r="H93" i="12" s="1"/>
  <c r="I13" i="12"/>
  <c r="I93" i="12" s="1"/>
  <c r="J13" i="12"/>
  <c r="J93" i="12" s="1"/>
  <c r="K13" i="12"/>
  <c r="K93" i="12" s="1"/>
  <c r="B13" i="12"/>
  <c r="B93" i="12" s="1"/>
  <c r="C11" i="12"/>
  <c r="D11" i="12"/>
  <c r="E11" i="12"/>
  <c r="F11" i="12"/>
  <c r="G11" i="12"/>
  <c r="H11" i="12"/>
  <c r="I11" i="12"/>
  <c r="J11" i="12"/>
  <c r="K11" i="12"/>
  <c r="B11" i="12"/>
  <c r="C5" i="12"/>
  <c r="D5" i="12"/>
  <c r="E5" i="12"/>
  <c r="F5" i="12"/>
  <c r="G5" i="12"/>
  <c r="H5" i="12"/>
  <c r="I5" i="12"/>
  <c r="J5" i="12"/>
  <c r="K5" i="12"/>
  <c r="B5" i="12"/>
  <c r="C4" i="12"/>
  <c r="D4" i="12"/>
  <c r="E4" i="12"/>
  <c r="F4" i="12"/>
  <c r="G4" i="12"/>
  <c r="H4" i="12"/>
  <c r="I4" i="12"/>
  <c r="J4" i="12"/>
  <c r="K4" i="12"/>
  <c r="C3" i="12"/>
  <c r="D3" i="12"/>
  <c r="E3" i="12"/>
  <c r="F3" i="12"/>
  <c r="G3" i="12"/>
  <c r="H3" i="12"/>
  <c r="I3" i="12"/>
  <c r="J3" i="12"/>
  <c r="K3" i="12"/>
  <c r="B3" i="12"/>
  <c r="C2" i="12"/>
  <c r="D2" i="12"/>
  <c r="E2" i="12"/>
  <c r="F2" i="12"/>
  <c r="G2" i="12"/>
  <c r="H2" i="12"/>
  <c r="I2" i="12"/>
  <c r="J2" i="12"/>
  <c r="K2" i="12"/>
  <c r="B2" i="12"/>
  <c r="B96" i="12" s="1"/>
  <c r="K1" i="12"/>
  <c r="C1" i="12"/>
  <c r="D1" i="12"/>
  <c r="E1" i="12"/>
  <c r="F1" i="12"/>
  <c r="G1" i="12"/>
  <c r="H1" i="12"/>
  <c r="I1" i="12"/>
  <c r="J1" i="12"/>
  <c r="B1" i="12"/>
  <c r="N64" i="12" l="1"/>
  <c r="N54" i="12"/>
  <c r="B99" i="12"/>
  <c r="O61" i="12"/>
  <c r="N62" i="12"/>
  <c r="I98" i="12"/>
  <c r="M98" i="12" s="1"/>
  <c r="M81" i="12"/>
  <c r="B73" i="13" s="1"/>
  <c r="O50" i="12"/>
  <c r="M55" i="12"/>
  <c r="B37" i="13" s="1"/>
  <c r="N53" i="12"/>
  <c r="M60" i="12"/>
  <c r="G99" i="12"/>
  <c r="N99" i="12" s="1"/>
  <c r="N61" i="12"/>
  <c r="N67" i="12"/>
  <c r="M72" i="12"/>
  <c r="B52" i="13" s="1"/>
  <c r="B98" i="12"/>
  <c r="O98" i="12" s="1"/>
  <c r="O81" i="12"/>
  <c r="B71" i="13" s="1"/>
  <c r="M79" i="12"/>
  <c r="B67" i="13" s="1"/>
  <c r="H102" i="12"/>
  <c r="D102" i="12"/>
  <c r="M93" i="12"/>
  <c r="M42" i="12"/>
  <c r="N43" i="12"/>
  <c r="M64" i="12"/>
  <c r="O51" i="12"/>
  <c r="O55" i="12"/>
  <c r="B35" i="13" s="1"/>
  <c r="M54" i="12"/>
  <c r="N52" i="12"/>
  <c r="M50" i="12"/>
  <c r="O44" i="12"/>
  <c r="B26" i="13" s="1"/>
  <c r="O58" i="12"/>
  <c r="B38" i="13" s="1"/>
  <c r="O60" i="12"/>
  <c r="M62" i="12"/>
  <c r="O63" i="12"/>
  <c r="O66" i="12"/>
  <c r="N68" i="12"/>
  <c r="B45" i="13" s="1"/>
  <c r="O72" i="12"/>
  <c r="B50" i="13" s="1"/>
  <c r="O113" i="12"/>
  <c r="B118" i="13" s="1"/>
  <c r="G98" i="12"/>
  <c r="N98" i="12" s="1"/>
  <c r="N81" i="12"/>
  <c r="B72" i="13" s="1"/>
  <c r="I76" i="12"/>
  <c r="M76" i="12" s="1"/>
  <c r="B64" i="13" s="1"/>
  <c r="M75" i="12"/>
  <c r="B61" i="13" s="1"/>
  <c r="N101" i="12"/>
  <c r="B87" i="13" s="1"/>
  <c r="O79" i="12"/>
  <c r="B65" i="13" s="1"/>
  <c r="N93" i="12"/>
  <c r="N75" i="12"/>
  <c r="B60" i="13" s="1"/>
  <c r="O43" i="12"/>
  <c r="O54" i="12"/>
  <c r="M51" i="12"/>
  <c r="N49" i="12"/>
  <c r="M44" i="12"/>
  <c r="B28" i="13" s="1"/>
  <c r="N45" i="12"/>
  <c r="B30" i="13" s="1"/>
  <c r="M58" i="12"/>
  <c r="B40" i="13" s="1"/>
  <c r="N59" i="12"/>
  <c r="B42" i="13" s="1"/>
  <c r="M63" i="12"/>
  <c r="N65" i="12"/>
  <c r="M66" i="12"/>
  <c r="N69" i="12"/>
  <c r="B48" i="13" s="1"/>
  <c r="N112" i="12"/>
  <c r="B116" i="13" s="1"/>
  <c r="M113" i="12"/>
  <c r="B120" i="13" s="1"/>
  <c r="N73" i="12"/>
  <c r="B54" i="13" s="1"/>
  <c r="N80" i="12"/>
  <c r="B69" i="13" s="1"/>
  <c r="N82" i="12"/>
  <c r="O93" i="12"/>
  <c r="O42" i="12"/>
  <c r="O64" i="12"/>
  <c r="O52" i="12"/>
  <c r="N55" i="12"/>
  <c r="B36" i="13" s="1"/>
  <c r="M53" i="12"/>
  <c r="N51" i="12"/>
  <c r="M49" i="12"/>
  <c r="N44" i="12"/>
  <c r="B27" i="13" s="1"/>
  <c r="M45" i="12"/>
  <c r="B31" i="13" s="1"/>
  <c r="N58" i="12"/>
  <c r="B39" i="13" s="1"/>
  <c r="M59" i="12"/>
  <c r="B43" i="13" s="1"/>
  <c r="N60" i="12"/>
  <c r="I99" i="12"/>
  <c r="M99" i="12" s="1"/>
  <c r="M61" i="12"/>
  <c r="O62" i="12"/>
  <c r="N63" i="12"/>
  <c r="M65" i="12"/>
  <c r="N66" i="12"/>
  <c r="M67" i="12"/>
  <c r="O68" i="12"/>
  <c r="B44" i="13" s="1"/>
  <c r="M69" i="12"/>
  <c r="B49" i="13" s="1"/>
  <c r="N72" i="12"/>
  <c r="B51" i="13" s="1"/>
  <c r="M112" i="12"/>
  <c r="B117" i="13" s="1"/>
  <c r="N113" i="12"/>
  <c r="B119" i="13" s="1"/>
  <c r="I74" i="12"/>
  <c r="M74" i="12" s="1"/>
  <c r="B58" i="13" s="1"/>
  <c r="M73" i="12"/>
  <c r="B55" i="13" s="1"/>
  <c r="O75" i="12"/>
  <c r="B59" i="13" s="1"/>
  <c r="M80" i="12"/>
  <c r="B70" i="13" s="1"/>
  <c r="N79" i="12"/>
  <c r="B66" i="13" s="1"/>
  <c r="M82" i="12"/>
  <c r="N22" i="12"/>
  <c r="M22" i="12"/>
  <c r="B92" i="12"/>
  <c r="O22" i="12"/>
  <c r="O20" i="12"/>
  <c r="B11" i="13" s="1"/>
  <c r="N20" i="12"/>
  <c r="B12" i="13" s="1"/>
  <c r="M20" i="12"/>
  <c r="B13" i="13" s="1"/>
  <c r="O19" i="12"/>
  <c r="B8" i="13" s="1"/>
  <c r="N19" i="12"/>
  <c r="B9" i="13" s="1"/>
  <c r="M19" i="12"/>
  <c r="B10" i="13" s="1"/>
  <c r="I103" i="12"/>
  <c r="B95" i="12"/>
  <c r="C14" i="12"/>
  <c r="C105" i="12" s="1"/>
  <c r="E103" i="12"/>
  <c r="H104" i="12"/>
  <c r="D104" i="12"/>
  <c r="J107" i="12"/>
  <c r="G74" i="12"/>
  <c r="N74" i="12" s="1"/>
  <c r="B57" i="13" s="1"/>
  <c r="K107" i="12"/>
  <c r="G107" i="12"/>
  <c r="C107" i="12"/>
  <c r="B76" i="12"/>
  <c r="B74" i="12"/>
  <c r="O74" i="12" s="1"/>
  <c r="B56" i="13" s="1"/>
  <c r="G76" i="12"/>
  <c r="J106" i="12"/>
  <c r="I102" i="12"/>
  <c r="E102" i="12"/>
  <c r="F107" i="12"/>
  <c r="B101" i="12"/>
  <c r="O101" i="12" s="1"/>
  <c r="B86" i="13" s="1"/>
  <c r="F106" i="12"/>
  <c r="I104" i="12"/>
  <c r="E104" i="12"/>
  <c r="K104" i="12"/>
  <c r="G104" i="12"/>
  <c r="K102" i="12"/>
  <c r="G102" i="12"/>
  <c r="N102" i="12" s="1"/>
  <c r="B93" i="13" s="1"/>
  <c r="C102" i="12"/>
  <c r="J108" i="12"/>
  <c r="F108" i="12"/>
  <c r="H107" i="12"/>
  <c r="D107" i="12"/>
  <c r="J102" i="12"/>
  <c r="F102" i="12"/>
  <c r="B103" i="12"/>
  <c r="H103" i="12"/>
  <c r="D103" i="12"/>
  <c r="J104" i="12"/>
  <c r="F104" i="12"/>
  <c r="I106" i="12"/>
  <c r="E106" i="12"/>
  <c r="C108" i="12"/>
  <c r="I108" i="12"/>
  <c r="M108" i="12" s="1"/>
  <c r="B112" i="13" s="1"/>
  <c r="E108" i="12"/>
  <c r="I107" i="12"/>
  <c r="E107" i="12"/>
  <c r="K103" i="12"/>
  <c r="G103" i="12"/>
  <c r="C103" i="12"/>
  <c r="H106" i="12"/>
  <c r="D106" i="12"/>
  <c r="H108" i="12"/>
  <c r="D108" i="12"/>
  <c r="B102" i="12"/>
  <c r="J103" i="12"/>
  <c r="F103" i="12"/>
  <c r="B104" i="12"/>
  <c r="K106" i="12"/>
  <c r="G106" i="12"/>
  <c r="N106" i="12" s="1"/>
  <c r="B105" i="13" s="1"/>
  <c r="C106" i="12"/>
  <c r="K108" i="12"/>
  <c r="G108" i="12"/>
  <c r="C104" i="12"/>
  <c r="I91" i="12"/>
  <c r="E91" i="12"/>
  <c r="J91" i="12"/>
  <c r="F91" i="12"/>
  <c r="C92" i="12"/>
  <c r="B94" i="12"/>
  <c r="H90" i="12"/>
  <c r="D90" i="12"/>
  <c r="J92" i="12"/>
  <c r="K90" i="12"/>
  <c r="G90" i="12"/>
  <c r="N90" i="12" s="1"/>
  <c r="B75" i="13" s="1"/>
  <c r="G92" i="12"/>
  <c r="I90" i="12"/>
  <c r="F92" i="12"/>
  <c r="K92" i="12"/>
  <c r="E90" i="12"/>
  <c r="H91" i="12"/>
  <c r="G91" i="12"/>
  <c r="H92" i="12"/>
  <c r="D92" i="12"/>
  <c r="J90" i="12"/>
  <c r="F90" i="12"/>
  <c r="D91" i="12"/>
  <c r="B90" i="12"/>
  <c r="K91" i="12"/>
  <c r="C91" i="12"/>
  <c r="B91" i="12"/>
  <c r="I92" i="12"/>
  <c r="M92" i="12" s="1"/>
  <c r="E92" i="12"/>
  <c r="C90" i="12"/>
  <c r="J24" i="12"/>
  <c r="F24" i="12"/>
  <c r="E47" i="12"/>
  <c r="D46" i="12"/>
  <c r="H47" i="12"/>
  <c r="N47" i="12" s="1"/>
  <c r="D19" i="12"/>
  <c r="J20" i="12"/>
  <c r="F20" i="12"/>
  <c r="I24" i="12"/>
  <c r="E24" i="12"/>
  <c r="B20" i="12"/>
  <c r="H20" i="12"/>
  <c r="D20" i="12"/>
  <c r="I22" i="12"/>
  <c r="I97" i="12" s="1"/>
  <c r="E22" i="12"/>
  <c r="E97" i="12" s="1"/>
  <c r="E100" i="12" s="1"/>
  <c r="C46" i="12"/>
  <c r="K22" i="12"/>
  <c r="K97" i="12" s="1"/>
  <c r="K100" i="12" s="1"/>
  <c r="C22" i="12"/>
  <c r="C97" i="12" s="1"/>
  <c r="C100" i="12" s="1"/>
  <c r="K24" i="12"/>
  <c r="G24" i="12"/>
  <c r="B19" i="12"/>
  <c r="H19" i="12"/>
  <c r="H46" i="12"/>
  <c r="I47" i="12"/>
  <c r="G46" i="12"/>
  <c r="G22" i="12"/>
  <c r="G97" i="12" s="1"/>
  <c r="B24" i="12"/>
  <c r="H24" i="12"/>
  <c r="D24" i="12"/>
  <c r="K20" i="12"/>
  <c r="G20" i="12"/>
  <c r="C20" i="12"/>
  <c r="K46" i="12"/>
  <c r="C47" i="12"/>
  <c r="D47" i="12"/>
  <c r="J19" i="12"/>
  <c r="F19" i="12"/>
  <c r="F48" i="12"/>
  <c r="F22" i="12"/>
  <c r="F97" i="12" s="1"/>
  <c r="F100" i="12" s="1"/>
  <c r="E48" i="12"/>
  <c r="J14" i="12"/>
  <c r="F14" i="12"/>
  <c r="B22" i="12"/>
  <c r="B97" i="12" s="1"/>
  <c r="O97" i="12" s="1"/>
  <c r="H22" i="12"/>
  <c r="H97" i="12" s="1"/>
  <c r="H100" i="12" s="1"/>
  <c r="D22" i="12"/>
  <c r="D97" i="12" s="1"/>
  <c r="D100" i="12" s="1"/>
  <c r="M6" i="12"/>
  <c r="N6" i="12"/>
  <c r="C19" i="12"/>
  <c r="N7" i="12"/>
  <c r="E20" i="12"/>
  <c r="C24" i="12"/>
  <c r="I46" i="12"/>
  <c r="M46" i="12" s="1"/>
  <c r="J47" i="12"/>
  <c r="F47" i="12"/>
  <c r="K48" i="12"/>
  <c r="O48" i="12" s="1"/>
  <c r="B32" i="13" s="1"/>
  <c r="G48" i="12"/>
  <c r="J48" i="12"/>
  <c r="M48" i="12" s="1"/>
  <c r="B34" i="13" s="1"/>
  <c r="J22" i="12"/>
  <c r="J97" i="12" s="1"/>
  <c r="J100" i="12" s="1"/>
  <c r="O7" i="12"/>
  <c r="M7" i="12"/>
  <c r="O6" i="12"/>
  <c r="K19" i="12"/>
  <c r="G19" i="12"/>
  <c r="I20" i="12"/>
  <c r="I19" i="12"/>
  <c r="E19" i="12"/>
  <c r="M3" i="12"/>
  <c r="N5" i="12"/>
  <c r="O5" i="12"/>
  <c r="K14" i="12"/>
  <c r="M10" i="12"/>
  <c r="G14" i="12"/>
  <c r="M13" i="12"/>
  <c r="O12" i="12"/>
  <c r="O4" i="12"/>
  <c r="N2" i="12"/>
  <c r="O2" i="12"/>
  <c r="H14" i="12"/>
  <c r="D14" i="12"/>
  <c r="M12" i="12"/>
  <c r="E14" i="12"/>
  <c r="N12" i="12"/>
  <c r="N4" i="12"/>
  <c r="M2" i="12"/>
  <c r="N3" i="12"/>
  <c r="O3" i="12"/>
  <c r="M4" i="12"/>
  <c r="M11" i="12"/>
  <c r="N13" i="12"/>
  <c r="O13" i="12"/>
  <c r="O11" i="12"/>
  <c r="M5" i="12"/>
  <c r="O10" i="12"/>
  <c r="N11" i="12"/>
  <c r="I14" i="12"/>
  <c r="N10" i="12"/>
  <c r="E2" i="11"/>
  <c r="E3" i="11"/>
  <c r="E1" i="11"/>
  <c r="N91" i="12" l="1"/>
  <c r="B78" i="13" s="1"/>
  <c r="O103" i="12"/>
  <c r="B95" i="13" s="1"/>
  <c r="O107" i="12"/>
  <c r="B107" i="13" s="1"/>
  <c r="O47" i="12"/>
  <c r="N108" i="12"/>
  <c r="B111" i="13" s="1"/>
  <c r="O102" i="12"/>
  <c r="B92" i="13" s="1"/>
  <c r="O108" i="12"/>
  <c r="B110" i="13" s="1"/>
  <c r="N76" i="12"/>
  <c r="B63" i="13" s="1"/>
  <c r="N46" i="12"/>
  <c r="O91" i="12"/>
  <c r="B77" i="13" s="1"/>
  <c r="O90" i="12"/>
  <c r="B74" i="13" s="1"/>
  <c r="N92" i="12"/>
  <c r="O104" i="12"/>
  <c r="B98" i="13" s="1"/>
  <c r="M107" i="12"/>
  <c r="B109" i="13" s="1"/>
  <c r="C109" i="12"/>
  <c r="M104" i="12"/>
  <c r="B100" i="13" s="1"/>
  <c r="M103" i="12"/>
  <c r="B97" i="13" s="1"/>
  <c r="O92" i="12"/>
  <c r="N97" i="12"/>
  <c r="I100" i="12"/>
  <c r="M100" i="12" s="1"/>
  <c r="B85" i="13" s="1"/>
  <c r="M97" i="12"/>
  <c r="C95" i="12"/>
  <c r="M90" i="12"/>
  <c r="B76" i="13" s="1"/>
  <c r="C96" i="12"/>
  <c r="N107" i="12"/>
  <c r="B108" i="13" s="1"/>
  <c r="O99" i="12"/>
  <c r="N48" i="12"/>
  <c r="B33" i="13" s="1"/>
  <c r="M47" i="12"/>
  <c r="O46" i="12"/>
  <c r="C94" i="12"/>
  <c r="O94" i="12" s="1"/>
  <c r="B80" i="13" s="1"/>
  <c r="M91" i="12"/>
  <c r="B79" i="13" s="1"/>
  <c r="O106" i="12"/>
  <c r="B104" i="13" s="1"/>
  <c r="N103" i="12"/>
  <c r="B96" i="13" s="1"/>
  <c r="M106" i="12"/>
  <c r="B106" i="13" s="1"/>
  <c r="N104" i="12"/>
  <c r="B99" i="13" s="1"/>
  <c r="M102" i="12"/>
  <c r="B94" i="13" s="1"/>
  <c r="O76" i="12"/>
  <c r="B62" i="13" s="1"/>
  <c r="I105" i="12"/>
  <c r="I109" i="12"/>
  <c r="E105" i="12"/>
  <c r="E109" i="12"/>
  <c r="J109" i="12"/>
  <c r="J105" i="12"/>
  <c r="G109" i="12"/>
  <c r="N109" i="12" s="1"/>
  <c r="B114" i="13" s="1"/>
  <c r="G105" i="12"/>
  <c r="N105" i="12" s="1"/>
  <c r="B102" i="13" s="1"/>
  <c r="D109" i="12"/>
  <c r="D105" i="12"/>
  <c r="O105" i="12" s="1"/>
  <c r="B101" i="13" s="1"/>
  <c r="H109" i="12"/>
  <c r="H105" i="12"/>
  <c r="K109" i="12"/>
  <c r="K105" i="12"/>
  <c r="F109" i="12"/>
  <c r="F105" i="12"/>
  <c r="B100" i="12"/>
  <c r="G100" i="12"/>
  <c r="N100" i="12" s="1"/>
  <c r="B84" i="13" s="1"/>
  <c r="G94" i="12"/>
  <c r="G96" i="12"/>
  <c r="N96" i="12" s="1"/>
  <c r="G95" i="12"/>
  <c r="I96" i="12"/>
  <c r="I94" i="12"/>
  <c r="M94" i="12" s="1"/>
  <c r="B82" i="13" s="1"/>
  <c r="I95" i="12"/>
  <c r="E96" i="12"/>
  <c r="E95" i="12"/>
  <c r="E94" i="12"/>
  <c r="J95" i="12"/>
  <c r="J96" i="12"/>
  <c r="J94" i="12"/>
  <c r="D94" i="12"/>
  <c r="D96" i="12"/>
  <c r="D95" i="12"/>
  <c r="H95" i="12"/>
  <c r="H96" i="12"/>
  <c r="H94" i="12"/>
  <c r="K94" i="12"/>
  <c r="K95" i="12"/>
  <c r="K96" i="12"/>
  <c r="F95" i="12"/>
  <c r="O95" i="12" s="1"/>
  <c r="F94" i="12"/>
  <c r="F96" i="12"/>
  <c r="N24" i="12"/>
  <c r="M24" i="12"/>
  <c r="M14" i="12"/>
  <c r="O24" i="12"/>
  <c r="O14" i="12"/>
  <c r="N14" i="12"/>
  <c r="R21" i="10"/>
  <c r="R23" i="10"/>
  <c r="R24" i="10" s="1"/>
  <c r="M95" i="12" l="1"/>
  <c r="M96" i="12"/>
  <c r="M109" i="12"/>
  <c r="B115" i="13" s="1"/>
  <c r="O96" i="12"/>
  <c r="O109" i="12"/>
  <c r="B113" i="13" s="1"/>
  <c r="N94" i="12"/>
  <c r="B81" i="13" s="1"/>
  <c r="N95" i="12"/>
  <c r="O100" i="12"/>
  <c r="B83" i="13" s="1"/>
  <c r="M105" i="12"/>
  <c r="B103" i="13" s="1"/>
  <c r="R13" i="10"/>
  <c r="O13" i="10"/>
  <c r="N18" i="10"/>
  <c r="N19" i="10"/>
  <c r="N17" i="10"/>
  <c r="B5" i="11"/>
  <c r="B1" i="11" l="1"/>
  <c r="B4" i="11"/>
  <c r="B3" i="11"/>
  <c r="H1" i="11" l="1"/>
  <c r="H6" i="11" s="1"/>
  <c r="H2" i="11"/>
  <c r="H7" i="11" s="1"/>
  <c r="H3" i="11"/>
  <c r="H8" i="11" s="1"/>
  <c r="B9" i="11"/>
  <c r="P14" i="8"/>
  <c r="J13" i="9"/>
  <c r="J12" i="9"/>
  <c r="J11" i="9"/>
  <c r="D45" i="8"/>
  <c r="G13" i="9"/>
  <c r="G12" i="9"/>
  <c r="F13" i="9" l="1"/>
  <c r="I24" i="9" s="1"/>
  <c r="F12" i="9"/>
  <c r="F10" i="1" l="1"/>
  <c r="G11" i="9" l="1"/>
  <c r="F11" i="9"/>
  <c r="B33" i="10"/>
  <c r="L78" i="8" l="1"/>
  <c r="B12" i="10" l="1"/>
  <c r="C12" i="10" l="1"/>
  <c r="F5" i="10"/>
  <c r="A1" i="10"/>
  <c r="L42" i="9"/>
  <c r="L76" i="9" s="1"/>
  <c r="J14" i="9"/>
  <c r="G14" i="9"/>
  <c r="F14" i="9"/>
  <c r="K42" i="9"/>
  <c r="K76" i="9" s="1"/>
  <c r="J42" i="9"/>
  <c r="J76" i="9" s="1"/>
  <c r="I42" i="9"/>
  <c r="I76" i="9" s="1"/>
  <c r="H42" i="9"/>
  <c r="H76" i="9" s="1"/>
  <c r="G42" i="9"/>
  <c r="G76" i="9" s="1"/>
  <c r="F42" i="9"/>
  <c r="F76" i="9" s="1"/>
  <c r="E42" i="9"/>
  <c r="E76" i="9" s="1"/>
  <c r="D42" i="9"/>
  <c r="D76" i="9" s="1"/>
  <c r="C42" i="9"/>
  <c r="C76" i="9" s="1"/>
  <c r="B42" i="9"/>
  <c r="B76" i="9" s="1"/>
  <c r="A42" i="9"/>
  <c r="A17" i="9"/>
  <c r="Q13" i="9"/>
  <c r="H13" i="9"/>
  <c r="N23" i="8"/>
  <c r="O23" i="8"/>
  <c r="P23" i="8"/>
  <c r="P22" i="8"/>
  <c r="O22" i="8"/>
  <c r="N22" i="8"/>
  <c r="P21" i="8"/>
  <c r="O21" i="8"/>
  <c r="N21" i="8"/>
  <c r="P20" i="8"/>
  <c r="O20" i="8"/>
  <c r="N20" i="8"/>
  <c r="P19" i="8"/>
  <c r="O19" i="8"/>
  <c r="N19" i="8"/>
  <c r="P18" i="8"/>
  <c r="O18" i="8"/>
  <c r="N18" i="8"/>
  <c r="P17" i="8"/>
  <c r="O17" i="8"/>
  <c r="N17" i="8"/>
  <c r="P16" i="8"/>
  <c r="O16" i="8"/>
  <c r="N16" i="8"/>
  <c r="P15" i="8"/>
  <c r="O15" i="8"/>
  <c r="N15" i="8"/>
  <c r="O14" i="8"/>
  <c r="Q12" i="9" s="1"/>
  <c r="N14" i="8"/>
  <c r="Q11" i="9" s="1"/>
  <c r="P13" i="8"/>
  <c r="P13" i="9" s="1"/>
  <c r="O13" i="8"/>
  <c r="P12" i="9" s="1"/>
  <c r="N13" i="8"/>
  <c r="P11" i="9" s="1"/>
  <c r="L118" i="8"/>
  <c r="K118" i="8"/>
  <c r="L117" i="8"/>
  <c r="K117" i="8"/>
  <c r="L115" i="8"/>
  <c r="K115" i="8"/>
  <c r="L114" i="8"/>
  <c r="K114" i="8"/>
  <c r="L113" i="8"/>
  <c r="L111" i="8"/>
  <c r="L109" i="8"/>
  <c r="L104" i="8"/>
  <c r="L103" i="8"/>
  <c r="K103" i="8"/>
  <c r="L99" i="8"/>
  <c r="K99" i="8"/>
  <c r="L98" i="8"/>
  <c r="K98" i="8"/>
  <c r="L96" i="8"/>
  <c r="K96" i="8"/>
  <c r="L95" i="8"/>
  <c r="K95" i="8"/>
  <c r="J83" i="8"/>
  <c r="I83" i="8"/>
  <c r="L85" i="8"/>
  <c r="K85" i="8"/>
  <c r="L84" i="8"/>
  <c r="L83" i="8"/>
  <c r="K83" i="8"/>
  <c r="L82" i="8"/>
  <c r="L81" i="8"/>
  <c r="L75" i="8"/>
  <c r="L74" i="8"/>
  <c r="Z6" i="9" s="1"/>
  <c r="L72" i="8"/>
  <c r="L68" i="8"/>
  <c r="L58" i="8"/>
  <c r="L57" i="8"/>
  <c r="L55" i="8"/>
  <c r="K55" i="8"/>
  <c r="L54" i="8"/>
  <c r="K54" i="8"/>
  <c r="L50" i="8"/>
  <c r="L45" i="8"/>
  <c r="L43" i="8"/>
  <c r="L41" i="8"/>
  <c r="L128" i="8" s="1"/>
  <c r="L40" i="8"/>
  <c r="L42" i="8" s="1"/>
  <c r="L34" i="8"/>
  <c r="K34" i="8"/>
  <c r="L33" i="8"/>
  <c r="L32" i="8"/>
  <c r="O6" i="9" s="1"/>
  <c r="L23" i="8"/>
  <c r="L22" i="8"/>
  <c r="L21" i="8"/>
  <c r="L20" i="8"/>
  <c r="L19" i="8"/>
  <c r="L18" i="8"/>
  <c r="L17" i="8"/>
  <c r="L16" i="8"/>
  <c r="L15" i="8"/>
  <c r="K15" i="8"/>
  <c r="L14" i="8"/>
  <c r="Q14" i="9" s="1"/>
  <c r="K14" i="8"/>
  <c r="L13" i="8"/>
  <c r="P14" i="9" s="1"/>
  <c r="K13" i="8"/>
  <c r="L15" i="7"/>
  <c r="L127" i="8" l="1"/>
  <c r="L107" i="8"/>
  <c r="B14" i="9" s="1"/>
  <c r="L59" i="8"/>
  <c r="L64" i="8"/>
  <c r="E24" i="9"/>
  <c r="X6" i="9"/>
  <c r="C14" i="10"/>
  <c r="D12" i="10"/>
  <c r="B14" i="10"/>
  <c r="H14" i="9"/>
  <c r="I3" i="10" s="1"/>
  <c r="H11" i="9"/>
  <c r="J24" i="9"/>
  <c r="H12" i="9"/>
  <c r="I4" i="10" s="1"/>
  <c r="A1" i="1"/>
  <c r="J118" i="8"/>
  <c r="I118" i="8"/>
  <c r="H118" i="8"/>
  <c r="G118" i="8"/>
  <c r="F118" i="8"/>
  <c r="E118" i="8"/>
  <c r="D118" i="8"/>
  <c r="C118" i="8"/>
  <c r="N118" i="8" s="1"/>
  <c r="J117" i="8"/>
  <c r="I117" i="8"/>
  <c r="H117" i="8"/>
  <c r="G117" i="8"/>
  <c r="F117" i="8"/>
  <c r="E117" i="8"/>
  <c r="D117" i="8"/>
  <c r="C117" i="8"/>
  <c r="C116" i="8"/>
  <c r="J115" i="8"/>
  <c r="I115" i="8"/>
  <c r="H115" i="8"/>
  <c r="G115" i="8"/>
  <c r="F115" i="8"/>
  <c r="E115" i="8"/>
  <c r="D115" i="8"/>
  <c r="N115" i="8"/>
  <c r="J114" i="8"/>
  <c r="I114" i="8"/>
  <c r="H114" i="8"/>
  <c r="G114" i="8"/>
  <c r="F114" i="8"/>
  <c r="E114" i="8"/>
  <c r="D114" i="8"/>
  <c r="C114" i="8"/>
  <c r="N114" i="8" s="1"/>
  <c r="K113" i="8"/>
  <c r="J113" i="8"/>
  <c r="I113" i="8"/>
  <c r="H113" i="8"/>
  <c r="G113" i="8"/>
  <c r="F113" i="8"/>
  <c r="E113" i="8"/>
  <c r="D113" i="8"/>
  <c r="N113" i="8"/>
  <c r="K111" i="8"/>
  <c r="J111" i="8"/>
  <c r="I111" i="8"/>
  <c r="H111" i="8"/>
  <c r="G111" i="8"/>
  <c r="F111" i="8"/>
  <c r="E111" i="8"/>
  <c r="D111" i="8"/>
  <c r="C111" i="8"/>
  <c r="N111" i="8" s="1"/>
  <c r="K109" i="8"/>
  <c r="J109" i="8"/>
  <c r="I109" i="8"/>
  <c r="H109" i="8"/>
  <c r="G109" i="8"/>
  <c r="F109" i="8"/>
  <c r="E109" i="8"/>
  <c r="D109" i="8"/>
  <c r="C109" i="8"/>
  <c r="N109" i="8" s="1"/>
  <c r="K104" i="8"/>
  <c r="J104" i="8"/>
  <c r="I104" i="8"/>
  <c r="H104" i="8"/>
  <c r="G104" i="8"/>
  <c r="F104" i="8"/>
  <c r="E104" i="8"/>
  <c r="D104" i="8"/>
  <c r="J103" i="8"/>
  <c r="I103" i="8"/>
  <c r="H103" i="8"/>
  <c r="G103" i="8"/>
  <c r="F103" i="8"/>
  <c r="E103" i="8"/>
  <c r="D103" i="8"/>
  <c r="J99" i="8"/>
  <c r="I99" i="8"/>
  <c r="H99" i="8"/>
  <c r="G99" i="8"/>
  <c r="F99" i="8"/>
  <c r="E99" i="8"/>
  <c r="D99" i="8"/>
  <c r="J98" i="8"/>
  <c r="I98" i="8"/>
  <c r="H98" i="8"/>
  <c r="G98" i="8"/>
  <c r="F98" i="8"/>
  <c r="E98" i="8"/>
  <c r="D98" i="8"/>
  <c r="J96" i="8"/>
  <c r="I96" i="8"/>
  <c r="H96" i="8"/>
  <c r="G96" i="8"/>
  <c r="F96" i="8"/>
  <c r="E96" i="8"/>
  <c r="D96" i="8"/>
  <c r="C96" i="8"/>
  <c r="J95" i="8"/>
  <c r="I95" i="8"/>
  <c r="H95" i="8"/>
  <c r="G95" i="8"/>
  <c r="F95" i="8"/>
  <c r="E95" i="8"/>
  <c r="D95" i="8"/>
  <c r="C95" i="8"/>
  <c r="J85" i="8"/>
  <c r="I85" i="8"/>
  <c r="H85" i="8"/>
  <c r="G85" i="8"/>
  <c r="F85" i="8"/>
  <c r="E85" i="8"/>
  <c r="D85" i="8"/>
  <c r="C85" i="8"/>
  <c r="K84" i="8"/>
  <c r="J84" i="8"/>
  <c r="I84" i="8"/>
  <c r="H84" i="8"/>
  <c r="G84" i="8"/>
  <c r="F84" i="8"/>
  <c r="E84" i="8"/>
  <c r="D84" i="8"/>
  <c r="C84" i="8"/>
  <c r="H83" i="8"/>
  <c r="G83" i="8"/>
  <c r="F83" i="8"/>
  <c r="E83" i="8"/>
  <c r="D83" i="8"/>
  <c r="C83" i="8"/>
  <c r="K82" i="8"/>
  <c r="J82" i="8"/>
  <c r="I82" i="8"/>
  <c r="H82" i="8"/>
  <c r="G82" i="8"/>
  <c r="F82" i="8"/>
  <c r="E82" i="8"/>
  <c r="D82" i="8"/>
  <c r="C82" i="8"/>
  <c r="K81" i="8"/>
  <c r="J81" i="8"/>
  <c r="I81" i="8"/>
  <c r="H81" i="8"/>
  <c r="G81" i="8"/>
  <c r="F81" i="8"/>
  <c r="E81" i="8"/>
  <c r="D81" i="8"/>
  <c r="C81" i="8"/>
  <c r="K78" i="8"/>
  <c r="J78" i="8"/>
  <c r="I78" i="8"/>
  <c r="H78" i="8"/>
  <c r="G78" i="8"/>
  <c r="F78" i="8"/>
  <c r="E78" i="8"/>
  <c r="D78" i="8"/>
  <c r="C78" i="8"/>
  <c r="K75" i="8"/>
  <c r="AB6" i="9" s="1"/>
  <c r="J75" i="8"/>
  <c r="I75" i="8"/>
  <c r="H75" i="8"/>
  <c r="G75" i="8"/>
  <c r="F75" i="8"/>
  <c r="E75" i="8"/>
  <c r="D75" i="8"/>
  <c r="C75" i="8"/>
  <c r="K74" i="8"/>
  <c r="J74" i="8"/>
  <c r="I74" i="8"/>
  <c r="H74" i="8"/>
  <c r="G74" i="8"/>
  <c r="M74" i="8" s="1"/>
  <c r="M33" i="9" s="1"/>
  <c r="F74" i="8"/>
  <c r="E74" i="8"/>
  <c r="D74" i="8"/>
  <c r="K72" i="8"/>
  <c r="AC6" i="9" s="1"/>
  <c r="J72" i="8"/>
  <c r="I72" i="8"/>
  <c r="H72" i="8"/>
  <c r="G72" i="8"/>
  <c r="F72" i="8"/>
  <c r="E72" i="8"/>
  <c r="D72" i="8"/>
  <c r="C72" i="8"/>
  <c r="N72" i="8" s="1"/>
  <c r="K68" i="8"/>
  <c r="AA6" i="9" s="1"/>
  <c r="J68" i="8"/>
  <c r="I68" i="8"/>
  <c r="H68" i="8"/>
  <c r="G68" i="8"/>
  <c r="F68" i="8"/>
  <c r="E68" i="8"/>
  <c r="D68" i="8"/>
  <c r="N68" i="8"/>
  <c r="C60" i="8"/>
  <c r="K58" i="8"/>
  <c r="J58" i="8"/>
  <c r="I58" i="8"/>
  <c r="J60" i="8" s="1"/>
  <c r="H58" i="8"/>
  <c r="I60" i="8" s="1"/>
  <c r="G58" i="8"/>
  <c r="H60" i="8" s="1"/>
  <c r="F58" i="8"/>
  <c r="G60" i="8" s="1"/>
  <c r="E58" i="8"/>
  <c r="F60" i="8" s="1"/>
  <c r="D58" i="8"/>
  <c r="E60" i="8" s="1"/>
  <c r="C58" i="8"/>
  <c r="D60" i="8" s="1"/>
  <c r="K57" i="8"/>
  <c r="J57" i="8"/>
  <c r="I57" i="8"/>
  <c r="H57" i="8"/>
  <c r="G57" i="8"/>
  <c r="G59" i="8" s="1"/>
  <c r="F57" i="8"/>
  <c r="E57" i="8"/>
  <c r="D57" i="8"/>
  <c r="C57" i="8"/>
  <c r="J55" i="8"/>
  <c r="I55" i="8"/>
  <c r="H55" i="8"/>
  <c r="G55" i="8"/>
  <c r="F55" i="8"/>
  <c r="E55" i="8"/>
  <c r="D55" i="8"/>
  <c r="C55" i="8"/>
  <c r="J54" i="8"/>
  <c r="I54" i="8"/>
  <c r="H54" i="8"/>
  <c r="G54" i="8"/>
  <c r="F54" i="8"/>
  <c r="E54" i="8"/>
  <c r="D54" i="8"/>
  <c r="C54" i="8"/>
  <c r="K50" i="8"/>
  <c r="J50" i="8"/>
  <c r="J51" i="8" s="1"/>
  <c r="I50" i="8"/>
  <c r="I51" i="8" s="1"/>
  <c r="H50" i="8"/>
  <c r="H51" i="8" s="1"/>
  <c r="G50" i="8"/>
  <c r="G51" i="8" s="1"/>
  <c r="F50" i="8"/>
  <c r="F51" i="8" s="1"/>
  <c r="E50" i="8"/>
  <c r="E51" i="8" s="1"/>
  <c r="D50" i="8"/>
  <c r="D51" i="8" s="1"/>
  <c r="C50" i="8"/>
  <c r="C51" i="8" s="1"/>
  <c r="C47" i="8"/>
  <c r="D46" i="8"/>
  <c r="C46" i="8"/>
  <c r="K45" i="8"/>
  <c r="J45" i="8"/>
  <c r="J46" i="8" s="1"/>
  <c r="I45" i="8"/>
  <c r="H45" i="8"/>
  <c r="H47" i="8" s="1"/>
  <c r="G45" i="8"/>
  <c r="F45" i="8"/>
  <c r="F46" i="8" s="1"/>
  <c r="E45" i="8"/>
  <c r="D47" i="8"/>
  <c r="K43" i="8"/>
  <c r="J43" i="8"/>
  <c r="I43" i="8"/>
  <c r="H43" i="8"/>
  <c r="G43" i="8"/>
  <c r="F43" i="8"/>
  <c r="E43" i="8"/>
  <c r="D43" i="8"/>
  <c r="C43" i="8"/>
  <c r="N43" i="8" s="1"/>
  <c r="K41" i="8"/>
  <c r="K128" i="8" s="1"/>
  <c r="J41" i="8"/>
  <c r="J128" i="8" s="1"/>
  <c r="I41" i="8"/>
  <c r="I128" i="8" s="1"/>
  <c r="H41" i="8"/>
  <c r="H128" i="8" s="1"/>
  <c r="G41" i="8"/>
  <c r="G128" i="8" s="1"/>
  <c r="F41" i="8"/>
  <c r="F128" i="8" s="1"/>
  <c r="E41" i="8"/>
  <c r="E128" i="8" s="1"/>
  <c r="D41" i="8"/>
  <c r="D128" i="8" s="1"/>
  <c r="C41" i="8"/>
  <c r="C128" i="8" s="1"/>
  <c r="K40" i="8"/>
  <c r="J40" i="8"/>
  <c r="J42" i="8" s="1"/>
  <c r="I40" i="8"/>
  <c r="I42" i="8" s="1"/>
  <c r="H40" i="8"/>
  <c r="H42" i="8" s="1"/>
  <c r="G40" i="8"/>
  <c r="F40" i="8"/>
  <c r="F42" i="8" s="1"/>
  <c r="E40" i="8"/>
  <c r="E42" i="8" s="1"/>
  <c r="D40" i="8"/>
  <c r="D42" i="8" s="1"/>
  <c r="C40" i="8"/>
  <c r="J34" i="8"/>
  <c r="I34" i="8"/>
  <c r="H34" i="8"/>
  <c r="G34" i="8"/>
  <c r="F34" i="8"/>
  <c r="E34" i="8"/>
  <c r="D34" i="8"/>
  <c r="C34" i="8"/>
  <c r="K33" i="8"/>
  <c r="J33" i="8"/>
  <c r="I33" i="8"/>
  <c r="H33" i="8"/>
  <c r="G33" i="8"/>
  <c r="F33" i="8"/>
  <c r="E33" i="8"/>
  <c r="D33" i="8"/>
  <c r="C33" i="8"/>
  <c r="K32" i="8"/>
  <c r="J32" i="8"/>
  <c r="I32" i="8"/>
  <c r="H32" i="8"/>
  <c r="G32" i="8"/>
  <c r="F32" i="8"/>
  <c r="E32" i="8"/>
  <c r="D32" i="8"/>
  <c r="C32" i="8"/>
  <c r="K23" i="8"/>
  <c r="J23" i="8"/>
  <c r="I23" i="8"/>
  <c r="H23" i="8"/>
  <c r="G23" i="8"/>
  <c r="F23" i="8"/>
  <c r="E23" i="8"/>
  <c r="D23" i="8"/>
  <c r="C23" i="8"/>
  <c r="K22" i="8"/>
  <c r="J22" i="8"/>
  <c r="I22" i="8"/>
  <c r="H22" i="8"/>
  <c r="G22" i="8"/>
  <c r="F22" i="8"/>
  <c r="E22" i="8"/>
  <c r="D22" i="8"/>
  <c r="C22" i="8"/>
  <c r="K21" i="8"/>
  <c r="J21" i="8"/>
  <c r="I21" i="8"/>
  <c r="H21" i="8"/>
  <c r="G21" i="8"/>
  <c r="F21" i="8"/>
  <c r="E21" i="8"/>
  <c r="D21" i="8"/>
  <c r="C21" i="8"/>
  <c r="K20" i="8"/>
  <c r="J20" i="8"/>
  <c r="I20" i="8"/>
  <c r="H20" i="8"/>
  <c r="G20" i="8"/>
  <c r="F20" i="8"/>
  <c r="E20" i="8"/>
  <c r="D20" i="8"/>
  <c r="C20" i="8"/>
  <c r="K19" i="8"/>
  <c r="J19" i="8"/>
  <c r="I19" i="8"/>
  <c r="H19" i="8"/>
  <c r="G19" i="8"/>
  <c r="F19" i="8"/>
  <c r="E19" i="8"/>
  <c r="D19" i="8"/>
  <c r="C19" i="8"/>
  <c r="K18" i="8"/>
  <c r="J18" i="8"/>
  <c r="I18" i="8"/>
  <c r="H18" i="8"/>
  <c r="G18" i="8"/>
  <c r="F18" i="8"/>
  <c r="E18" i="8"/>
  <c r="D18" i="8"/>
  <c r="C18" i="8"/>
  <c r="K17" i="8"/>
  <c r="J17" i="8"/>
  <c r="I17" i="8"/>
  <c r="H17" i="8"/>
  <c r="G17" i="8"/>
  <c r="F17" i="8"/>
  <c r="E17" i="8"/>
  <c r="D17" i="8"/>
  <c r="C17" i="8"/>
  <c r="K16" i="8"/>
  <c r="J16" i="8"/>
  <c r="I16" i="8"/>
  <c r="H16" i="8"/>
  <c r="G16" i="8"/>
  <c r="F16" i="8"/>
  <c r="E16" i="8"/>
  <c r="D16" i="8"/>
  <c r="C16" i="8"/>
  <c r="J15" i="8"/>
  <c r="I15" i="8"/>
  <c r="H15" i="8"/>
  <c r="G15" i="8"/>
  <c r="F15" i="8"/>
  <c r="E15" i="8"/>
  <c r="D15" i="8"/>
  <c r="C15" i="8"/>
  <c r="J14" i="8"/>
  <c r="I14" i="8"/>
  <c r="H14" i="8"/>
  <c r="G14" i="8"/>
  <c r="F14" i="8"/>
  <c r="E14" i="8"/>
  <c r="D14" i="8"/>
  <c r="C14" i="8"/>
  <c r="J13" i="8"/>
  <c r="I13" i="8"/>
  <c r="H13" i="8"/>
  <c r="G13" i="8"/>
  <c r="F13" i="8"/>
  <c r="E13" i="8"/>
  <c r="D13" i="8"/>
  <c r="C13" i="8"/>
  <c r="L1" i="8"/>
  <c r="L36" i="8" s="1"/>
  <c r="L63" i="8" s="1"/>
  <c r="L80" i="8" s="1"/>
  <c r="L108" i="8" s="1"/>
  <c r="Q120" i="8"/>
  <c r="P120" i="8"/>
  <c r="O120" i="8"/>
  <c r="Q119" i="8"/>
  <c r="P119" i="8"/>
  <c r="O119" i="8"/>
  <c r="Q94" i="8"/>
  <c r="P94" i="8"/>
  <c r="O94" i="8"/>
  <c r="Q93" i="8"/>
  <c r="P93" i="8"/>
  <c r="O93" i="8"/>
  <c r="Q92" i="8"/>
  <c r="P92" i="8"/>
  <c r="O92" i="8"/>
  <c r="Q91" i="8"/>
  <c r="P91" i="8"/>
  <c r="O91" i="8"/>
  <c r="Q63" i="8"/>
  <c r="Q80" i="8" s="1"/>
  <c r="P63" i="8"/>
  <c r="P80" i="8" s="1"/>
  <c r="O63" i="8"/>
  <c r="O80" i="8" s="1"/>
  <c r="L21" i="7"/>
  <c r="L20" i="7"/>
  <c r="L17" i="7"/>
  <c r="L16" i="7"/>
  <c r="L61" i="7"/>
  <c r="L59" i="7"/>
  <c r="L58" i="7"/>
  <c r="L54" i="7"/>
  <c r="L8" i="7" s="1"/>
  <c r="L53" i="7"/>
  <c r="L6" i="7" s="1"/>
  <c r="L52" i="7"/>
  <c r="L7" i="7" s="1"/>
  <c r="L51" i="7"/>
  <c r="L50" i="7"/>
  <c r="L49" i="7"/>
  <c r="I5" i="10" s="1"/>
  <c r="L48" i="7"/>
  <c r="L47" i="7"/>
  <c r="L46" i="7"/>
  <c r="L9" i="7" s="1"/>
  <c r="L45" i="7"/>
  <c r="L44" i="7"/>
  <c r="L40" i="7"/>
  <c r="L39" i="7"/>
  <c r="L35" i="7"/>
  <c r="L4" i="7"/>
  <c r="L14" i="7" s="1"/>
  <c r="L24" i="7" s="1"/>
  <c r="E1" i="6"/>
  <c r="K61" i="7"/>
  <c r="J61" i="7"/>
  <c r="I61" i="7"/>
  <c r="H61" i="7"/>
  <c r="G61" i="7"/>
  <c r="F61" i="7"/>
  <c r="E61" i="7"/>
  <c r="D61" i="7"/>
  <c r="C61" i="7"/>
  <c r="B61" i="7"/>
  <c r="K59" i="7"/>
  <c r="J59" i="7"/>
  <c r="I59" i="7"/>
  <c r="H59" i="7"/>
  <c r="G59" i="7"/>
  <c r="F59" i="7"/>
  <c r="E59" i="7"/>
  <c r="D59" i="7"/>
  <c r="C59" i="7"/>
  <c r="B59" i="7"/>
  <c r="K58" i="7"/>
  <c r="J58" i="7"/>
  <c r="I58" i="7"/>
  <c r="H58" i="7"/>
  <c r="G58" i="7"/>
  <c r="F58" i="7"/>
  <c r="E58" i="7"/>
  <c r="D58" i="7"/>
  <c r="C58" i="7"/>
  <c r="B58" i="7"/>
  <c r="K54" i="7"/>
  <c r="K8" i="7" s="1"/>
  <c r="J54" i="7"/>
  <c r="J8" i="7" s="1"/>
  <c r="I54" i="7"/>
  <c r="I8" i="7" s="1"/>
  <c r="H54" i="7"/>
  <c r="H8" i="7" s="1"/>
  <c r="G54" i="7"/>
  <c r="G8" i="7" s="1"/>
  <c r="F54" i="7"/>
  <c r="E54" i="7"/>
  <c r="E8" i="7" s="1"/>
  <c r="D54" i="7"/>
  <c r="D8" i="7" s="1"/>
  <c r="C54" i="7"/>
  <c r="C8" i="7" s="1"/>
  <c r="B54" i="7"/>
  <c r="B8" i="7" s="1"/>
  <c r="K53" i="7"/>
  <c r="K6" i="7" s="1"/>
  <c r="J53" i="7"/>
  <c r="J6" i="7" s="1"/>
  <c r="I53" i="7"/>
  <c r="I6" i="7" s="1"/>
  <c r="H53" i="7"/>
  <c r="H6" i="7" s="1"/>
  <c r="G53" i="7"/>
  <c r="G6" i="7" s="1"/>
  <c r="F53" i="7"/>
  <c r="F6" i="7" s="1"/>
  <c r="E53" i="7"/>
  <c r="E6" i="7" s="1"/>
  <c r="D53" i="7"/>
  <c r="C53" i="7"/>
  <c r="C6" i="7" s="1"/>
  <c r="B53" i="7"/>
  <c r="B6" i="7" s="1"/>
  <c r="K52" i="7"/>
  <c r="K7" i="7" s="1"/>
  <c r="J52" i="7"/>
  <c r="J7" i="7" s="1"/>
  <c r="I52" i="7"/>
  <c r="I7" i="7" s="1"/>
  <c r="H52" i="7"/>
  <c r="H7" i="7" s="1"/>
  <c r="G52" i="7"/>
  <c r="G7" i="7" s="1"/>
  <c r="F52" i="7"/>
  <c r="F7" i="7" s="1"/>
  <c r="E52" i="7"/>
  <c r="E7" i="7" s="1"/>
  <c r="D52" i="7"/>
  <c r="D7" i="7" s="1"/>
  <c r="C52" i="7"/>
  <c r="C7" i="7" s="1"/>
  <c r="B52" i="7"/>
  <c r="B7" i="7" s="1"/>
  <c r="K51" i="7"/>
  <c r="J51" i="7"/>
  <c r="I51" i="7"/>
  <c r="H51" i="7"/>
  <c r="G51" i="7"/>
  <c r="F51" i="7"/>
  <c r="E51" i="7"/>
  <c r="D51" i="7"/>
  <c r="C51" i="7"/>
  <c r="B51" i="7"/>
  <c r="K50" i="7"/>
  <c r="J50" i="7"/>
  <c r="I50" i="7"/>
  <c r="H50" i="7"/>
  <c r="G50" i="7"/>
  <c r="F50" i="7"/>
  <c r="E50" i="7"/>
  <c r="D50" i="7"/>
  <c r="C50" i="7"/>
  <c r="B50" i="7"/>
  <c r="K49" i="7"/>
  <c r="L24" i="8" s="1"/>
  <c r="J49" i="7"/>
  <c r="J24" i="8" s="1"/>
  <c r="I49" i="7"/>
  <c r="I24" i="8" s="1"/>
  <c r="H49" i="7"/>
  <c r="H24" i="8" s="1"/>
  <c r="G49" i="7"/>
  <c r="F49" i="7"/>
  <c r="F24" i="8" s="1"/>
  <c r="E49" i="7"/>
  <c r="E24" i="8" s="1"/>
  <c r="D49" i="7"/>
  <c r="D24" i="8" s="1"/>
  <c r="C49" i="7"/>
  <c r="B49" i="7"/>
  <c r="K48" i="7"/>
  <c r="J48" i="7"/>
  <c r="I48" i="7"/>
  <c r="H48" i="7"/>
  <c r="G48" i="7"/>
  <c r="F48" i="7"/>
  <c r="E48" i="7"/>
  <c r="D48" i="7"/>
  <c r="C48" i="7"/>
  <c r="B48" i="7"/>
  <c r="K47" i="7"/>
  <c r="K10" i="7" s="1"/>
  <c r="J47" i="7"/>
  <c r="J10" i="7" s="1"/>
  <c r="I47" i="7"/>
  <c r="I10" i="7" s="1"/>
  <c r="H47" i="7"/>
  <c r="G47" i="7"/>
  <c r="G10" i="7" s="1"/>
  <c r="F47" i="7"/>
  <c r="F10" i="7" s="1"/>
  <c r="E47" i="7"/>
  <c r="D47" i="7"/>
  <c r="D10" i="7" s="1"/>
  <c r="C47" i="7"/>
  <c r="C10" i="7" s="1"/>
  <c r="B47" i="7"/>
  <c r="B10" i="7" s="1"/>
  <c r="K46" i="7"/>
  <c r="K9" i="7" s="1"/>
  <c r="J46" i="7"/>
  <c r="J9" i="7" s="1"/>
  <c r="I46" i="7"/>
  <c r="I9" i="7" s="1"/>
  <c r="H46" i="7"/>
  <c r="H9" i="7" s="1"/>
  <c r="G46" i="7"/>
  <c r="G9" i="7" s="1"/>
  <c r="F46" i="7"/>
  <c r="F9" i="7" s="1"/>
  <c r="E46" i="7"/>
  <c r="E9" i="7" s="1"/>
  <c r="D46" i="7"/>
  <c r="D9" i="7" s="1"/>
  <c r="C46" i="7"/>
  <c r="C9" i="7" s="1"/>
  <c r="B46" i="7"/>
  <c r="K45" i="7"/>
  <c r="J45" i="7"/>
  <c r="I45" i="7"/>
  <c r="H45" i="7"/>
  <c r="G45" i="7"/>
  <c r="F45" i="7"/>
  <c r="E45" i="7"/>
  <c r="D45" i="7"/>
  <c r="C45" i="7"/>
  <c r="B45" i="7"/>
  <c r="K44" i="7"/>
  <c r="J44" i="7"/>
  <c r="I44" i="7"/>
  <c r="H44" i="7"/>
  <c r="G44" i="7"/>
  <c r="F44" i="7"/>
  <c r="E44" i="7"/>
  <c r="D44" i="7"/>
  <c r="C44" i="7"/>
  <c r="B44" i="7"/>
  <c r="K40" i="7"/>
  <c r="J40" i="7"/>
  <c r="I40" i="7"/>
  <c r="H40" i="7"/>
  <c r="G40" i="7"/>
  <c r="F40" i="7"/>
  <c r="E40" i="7"/>
  <c r="D40" i="7"/>
  <c r="C40" i="7"/>
  <c r="B40" i="7"/>
  <c r="K39" i="7"/>
  <c r="J39" i="7"/>
  <c r="I39" i="7"/>
  <c r="H39" i="7"/>
  <c r="G39" i="7"/>
  <c r="F39" i="7"/>
  <c r="E39" i="7"/>
  <c r="D39" i="7"/>
  <c r="C39" i="7"/>
  <c r="B39" i="7"/>
  <c r="B37" i="7"/>
  <c r="K35" i="7"/>
  <c r="J35" i="7"/>
  <c r="I35" i="7"/>
  <c r="H35" i="7"/>
  <c r="G35" i="7"/>
  <c r="F35" i="7"/>
  <c r="E35" i="7"/>
  <c r="D35" i="7"/>
  <c r="C35" i="7"/>
  <c r="B35" i="7"/>
  <c r="K33" i="7"/>
  <c r="J33" i="7"/>
  <c r="I33" i="7"/>
  <c r="H33" i="7"/>
  <c r="G33" i="7"/>
  <c r="F33" i="7"/>
  <c r="E33" i="7"/>
  <c r="D33" i="7"/>
  <c r="C33" i="7"/>
  <c r="B33" i="7"/>
  <c r="K31" i="7"/>
  <c r="J31" i="7"/>
  <c r="I31" i="7"/>
  <c r="H31" i="7"/>
  <c r="G31" i="7"/>
  <c r="F31" i="7"/>
  <c r="E31" i="7"/>
  <c r="D31" i="7"/>
  <c r="C31" i="7"/>
  <c r="B31" i="7"/>
  <c r="K29" i="7"/>
  <c r="J29" i="7"/>
  <c r="I29" i="7"/>
  <c r="H29" i="7"/>
  <c r="G29" i="7"/>
  <c r="F29" i="7"/>
  <c r="E29" i="7"/>
  <c r="D29" i="7"/>
  <c r="C29" i="7"/>
  <c r="B29" i="7"/>
  <c r="K28" i="7"/>
  <c r="J28" i="7"/>
  <c r="I28" i="7"/>
  <c r="H28" i="7"/>
  <c r="G28" i="7"/>
  <c r="F28" i="7"/>
  <c r="E28" i="7"/>
  <c r="D28" i="7"/>
  <c r="C28" i="7"/>
  <c r="B28" i="7"/>
  <c r="K25" i="7"/>
  <c r="J25" i="7"/>
  <c r="I25" i="7"/>
  <c r="H25" i="7"/>
  <c r="G25" i="7"/>
  <c r="F25" i="7"/>
  <c r="E25" i="7"/>
  <c r="E83" i="7" s="1"/>
  <c r="D25" i="7"/>
  <c r="C25" i="7"/>
  <c r="B25" i="7"/>
  <c r="A24" i="7"/>
  <c r="K21" i="7"/>
  <c r="J21" i="7"/>
  <c r="I21" i="7"/>
  <c r="H21" i="7"/>
  <c r="G21" i="7"/>
  <c r="F21" i="7"/>
  <c r="E21" i="7"/>
  <c r="D21" i="7"/>
  <c r="C21" i="7"/>
  <c r="B21" i="7"/>
  <c r="K20" i="7"/>
  <c r="J20" i="7"/>
  <c r="I20" i="7"/>
  <c r="H20" i="7"/>
  <c r="G20" i="7"/>
  <c r="F20" i="7"/>
  <c r="E20" i="7"/>
  <c r="D20" i="7"/>
  <c r="C20" i="7"/>
  <c r="B20" i="7"/>
  <c r="K17" i="7"/>
  <c r="J17" i="7"/>
  <c r="I17" i="7"/>
  <c r="H17" i="7"/>
  <c r="G17" i="7"/>
  <c r="F17" i="7"/>
  <c r="E17" i="7"/>
  <c r="D17" i="7"/>
  <c r="C17" i="7"/>
  <c r="B17" i="7"/>
  <c r="K16" i="7"/>
  <c r="J16" i="7"/>
  <c r="I16" i="7"/>
  <c r="H16" i="7"/>
  <c r="G16" i="7"/>
  <c r="F16" i="7"/>
  <c r="E16" i="7"/>
  <c r="D16" i="7"/>
  <c r="C16" i="7"/>
  <c r="B16" i="7"/>
  <c r="K15" i="7"/>
  <c r="K26" i="7" s="1"/>
  <c r="J15" i="7"/>
  <c r="J26" i="7" s="1"/>
  <c r="I15" i="7"/>
  <c r="I26" i="7" s="1"/>
  <c r="H15" i="7"/>
  <c r="H26" i="7" s="1"/>
  <c r="G15" i="7"/>
  <c r="G26" i="7" s="1"/>
  <c r="F15" i="7"/>
  <c r="F26" i="7" s="1"/>
  <c r="E15" i="7"/>
  <c r="E26" i="7" s="1"/>
  <c r="D15" i="7"/>
  <c r="D26" i="7" s="1"/>
  <c r="C15" i="7"/>
  <c r="C26" i="7" s="1"/>
  <c r="B15" i="7"/>
  <c r="B26" i="7" s="1"/>
  <c r="K4" i="7"/>
  <c r="K14" i="7" s="1"/>
  <c r="K24" i="7" s="1"/>
  <c r="J4" i="7"/>
  <c r="J14" i="7" s="1"/>
  <c r="J24" i="7" s="1"/>
  <c r="I4" i="7"/>
  <c r="I14" i="7" s="1"/>
  <c r="I24" i="7" s="1"/>
  <c r="H4" i="7"/>
  <c r="H14" i="7" s="1"/>
  <c r="H24" i="7" s="1"/>
  <c r="G4" i="7"/>
  <c r="G14" i="7" s="1"/>
  <c r="G24" i="7" s="1"/>
  <c r="F4" i="7"/>
  <c r="F14" i="7" s="1"/>
  <c r="F24" i="7" s="1"/>
  <c r="E4" i="7"/>
  <c r="E14" i="7" s="1"/>
  <c r="E24" i="7" s="1"/>
  <c r="D4" i="7"/>
  <c r="D14" i="7" s="1"/>
  <c r="D24" i="7" s="1"/>
  <c r="C4" i="7"/>
  <c r="C14" i="7" s="1"/>
  <c r="C24" i="7" s="1"/>
  <c r="B4" i="7"/>
  <c r="B14" i="7" s="1"/>
  <c r="B24" i="7" s="1"/>
  <c r="A4" i="7"/>
  <c r="A1" i="7"/>
  <c r="A26" i="7"/>
  <c r="H10" i="7"/>
  <c r="B9" i="7"/>
  <c r="F8" i="7"/>
  <c r="F84" i="9" s="1"/>
  <c r="D6" i="7"/>
  <c r="B84" i="9" l="1"/>
  <c r="C27" i="7"/>
  <c r="C59" i="9" s="1"/>
  <c r="C84" i="9"/>
  <c r="C60" i="9"/>
  <c r="E30" i="7"/>
  <c r="H41" i="7"/>
  <c r="H56" i="7" s="1"/>
  <c r="B41" i="7"/>
  <c r="B47" i="9" s="1"/>
  <c r="F41" i="7"/>
  <c r="F47" i="9" s="1"/>
  <c r="J41" i="7"/>
  <c r="D57" i="7"/>
  <c r="H57" i="7"/>
  <c r="C79" i="7"/>
  <c r="K79" i="7"/>
  <c r="C83" i="7"/>
  <c r="F59" i="8"/>
  <c r="Q57" i="8"/>
  <c r="H27" i="7"/>
  <c r="H59" i="9" s="1"/>
  <c r="B51" i="9"/>
  <c r="B52" i="9" s="1"/>
  <c r="D79" i="7"/>
  <c r="G79" i="7"/>
  <c r="C41" i="7"/>
  <c r="E59" i="8"/>
  <c r="F77" i="8"/>
  <c r="O55" i="8"/>
  <c r="P85" i="8"/>
  <c r="P95" i="8"/>
  <c r="I77" i="8"/>
  <c r="I30" i="7"/>
  <c r="I48" i="9" s="1"/>
  <c r="J54" i="9"/>
  <c r="H79" i="7"/>
  <c r="J84" i="9"/>
  <c r="B54" i="9"/>
  <c r="D127" i="8"/>
  <c r="D107" i="8"/>
  <c r="H127" i="8"/>
  <c r="H107" i="8"/>
  <c r="I27" i="7"/>
  <c r="I59" i="9" s="1"/>
  <c r="E79" i="9"/>
  <c r="I79" i="9"/>
  <c r="Q34" i="8"/>
  <c r="E127" i="8"/>
  <c r="E107" i="8"/>
  <c r="I127" i="8"/>
  <c r="I107" i="8"/>
  <c r="G57" i="7"/>
  <c r="D77" i="8"/>
  <c r="N50" i="8"/>
  <c r="F127" i="8"/>
  <c r="F107" i="8"/>
  <c r="J127" i="8"/>
  <c r="J107" i="8"/>
  <c r="K27" i="7"/>
  <c r="L59" i="9" s="1"/>
  <c r="G27" i="7"/>
  <c r="G59" i="9" s="1"/>
  <c r="C79" i="9"/>
  <c r="G79" i="9"/>
  <c r="E57" i="7"/>
  <c r="E69" i="9" s="1"/>
  <c r="D59" i="8"/>
  <c r="H59" i="8"/>
  <c r="K59" i="8"/>
  <c r="M78" i="8"/>
  <c r="N81" i="8"/>
  <c r="O99" i="8"/>
  <c r="P118" i="8"/>
  <c r="H77" i="8"/>
  <c r="D30" i="7"/>
  <c r="C57" i="7"/>
  <c r="K57" i="7"/>
  <c r="G84" i="9"/>
  <c r="G129" i="8"/>
  <c r="K129" i="8"/>
  <c r="J77" i="8"/>
  <c r="O75" i="8"/>
  <c r="C11" i="7"/>
  <c r="C54" i="9"/>
  <c r="L54" i="9"/>
  <c r="K54" i="9"/>
  <c r="L84" i="9"/>
  <c r="K84" i="9"/>
  <c r="J51" i="9"/>
  <c r="J52" i="9" s="1"/>
  <c r="J80" i="9"/>
  <c r="G81" i="9"/>
  <c r="G53" i="9"/>
  <c r="G50" i="9"/>
  <c r="E80" i="9"/>
  <c r="E51" i="9"/>
  <c r="E52" i="9" s="1"/>
  <c r="D50" i="9"/>
  <c r="D53" i="9"/>
  <c r="D81" i="9"/>
  <c r="G11" i="7"/>
  <c r="G54" i="9"/>
  <c r="D66" i="9"/>
  <c r="D65" i="9"/>
  <c r="D83" i="7"/>
  <c r="H66" i="9"/>
  <c r="H64" i="9"/>
  <c r="H65" i="9"/>
  <c r="B30" i="7"/>
  <c r="B60" i="9"/>
  <c r="F30" i="7"/>
  <c r="F60" i="9"/>
  <c r="J30" i="7"/>
  <c r="J32" i="7" s="1"/>
  <c r="J60" i="9"/>
  <c r="M39" i="7"/>
  <c r="L79" i="9"/>
  <c r="K79" i="9"/>
  <c r="C47" i="9"/>
  <c r="E49" i="9"/>
  <c r="I49" i="9"/>
  <c r="C81" i="9"/>
  <c r="C53" i="9"/>
  <c r="C50" i="9"/>
  <c r="L50" i="9"/>
  <c r="L81" i="9"/>
  <c r="L53" i="9"/>
  <c r="M53" i="9" s="1"/>
  <c r="K81" i="9"/>
  <c r="K53" i="9"/>
  <c r="K50" i="9"/>
  <c r="I80" i="9"/>
  <c r="I51" i="9"/>
  <c r="I52" i="9" s="1"/>
  <c r="H50" i="9"/>
  <c r="H81" i="9"/>
  <c r="H53" i="9"/>
  <c r="D27" i="7"/>
  <c r="D59" i="9" s="1"/>
  <c r="I54" i="9"/>
  <c r="I57" i="7"/>
  <c r="H83" i="7"/>
  <c r="H80" i="9"/>
  <c r="H51" i="9"/>
  <c r="H52" i="9" s="1"/>
  <c r="E48" i="9"/>
  <c r="B83" i="7"/>
  <c r="B65" i="9"/>
  <c r="B66" i="9"/>
  <c r="B27" i="7"/>
  <c r="B59" i="9" s="1"/>
  <c r="F65" i="9"/>
  <c r="F66" i="9"/>
  <c r="J65" i="9"/>
  <c r="J66" i="9"/>
  <c r="D60" i="9"/>
  <c r="H60" i="9"/>
  <c r="H30" i="7"/>
  <c r="H81" i="7" s="1"/>
  <c r="G41" i="7"/>
  <c r="G47" i="9" s="1"/>
  <c r="K41" i="7"/>
  <c r="C23" i="7"/>
  <c r="C62" i="7" s="1"/>
  <c r="G23" i="7"/>
  <c r="C49" i="9"/>
  <c r="G49" i="9"/>
  <c r="L49" i="9"/>
  <c r="K49" i="9"/>
  <c r="S6" i="9" s="1"/>
  <c r="E50" i="9"/>
  <c r="E81" i="9"/>
  <c r="I50" i="9"/>
  <c r="I53" i="9"/>
  <c r="I81" i="9"/>
  <c r="C80" i="9"/>
  <c r="C51" i="9"/>
  <c r="C52" i="9" s="1"/>
  <c r="G80" i="9"/>
  <c r="G51" i="9"/>
  <c r="G52" i="9" s="1"/>
  <c r="L51" i="9"/>
  <c r="L80" i="9"/>
  <c r="K80" i="9"/>
  <c r="K51" i="9"/>
  <c r="E84" i="9"/>
  <c r="I84" i="9"/>
  <c r="C43" i="9"/>
  <c r="G43" i="9"/>
  <c r="L43" i="9"/>
  <c r="K43" i="9"/>
  <c r="C24" i="9"/>
  <c r="Y5" i="9"/>
  <c r="Y4" i="9"/>
  <c r="Y3" i="9"/>
  <c r="F6" i="10"/>
  <c r="O111" i="8"/>
  <c r="D80" i="9"/>
  <c r="D51" i="9"/>
  <c r="D52" i="9" s="1"/>
  <c r="F54" i="9"/>
  <c r="K83" i="7"/>
  <c r="E65" i="9"/>
  <c r="E66" i="9"/>
  <c r="I83" i="7"/>
  <c r="I65" i="9"/>
  <c r="I66" i="9"/>
  <c r="G60" i="9"/>
  <c r="L60" i="9"/>
  <c r="L6" i="9" s="1"/>
  <c r="K60" i="9"/>
  <c r="F19" i="9"/>
  <c r="D27" i="9" s="1"/>
  <c r="F18" i="9"/>
  <c r="F21" i="9"/>
  <c r="F20" i="9"/>
  <c r="D41" i="7"/>
  <c r="D56" i="7" s="1"/>
  <c r="D79" i="9"/>
  <c r="H79" i="9"/>
  <c r="H47" i="9"/>
  <c r="D54" i="9"/>
  <c r="H54" i="9"/>
  <c r="B79" i="7"/>
  <c r="B49" i="9"/>
  <c r="F49" i="9"/>
  <c r="J49" i="9"/>
  <c r="D84" i="9"/>
  <c r="H84" i="9"/>
  <c r="D43" i="9"/>
  <c r="H43" i="9"/>
  <c r="B62" i="7"/>
  <c r="E77" i="8"/>
  <c r="C59" i="8"/>
  <c r="I59" i="8"/>
  <c r="D24" i="9"/>
  <c r="Y6" i="9"/>
  <c r="D129" i="8"/>
  <c r="H129" i="8"/>
  <c r="G116" i="8"/>
  <c r="I12" i="9"/>
  <c r="I14" i="9"/>
  <c r="K116" i="8"/>
  <c r="L105" i="8"/>
  <c r="L46" i="8"/>
  <c r="L47" i="8"/>
  <c r="L116" i="8"/>
  <c r="K51" i="8"/>
  <c r="L51" i="8"/>
  <c r="Q72" i="8"/>
  <c r="P74" i="8"/>
  <c r="Z5" i="9"/>
  <c r="Z7" i="9" s="1"/>
  <c r="Z4" i="9"/>
  <c r="Z3" i="9"/>
  <c r="O117" i="8"/>
  <c r="E43" i="9"/>
  <c r="I43" i="9"/>
  <c r="M20" i="9"/>
  <c r="M19" i="9"/>
  <c r="M21" i="9"/>
  <c r="M18" i="9"/>
  <c r="X5" i="9"/>
  <c r="X7" i="9" s="1"/>
  <c r="X4" i="9"/>
  <c r="X3" i="9"/>
  <c r="F64" i="8"/>
  <c r="J64" i="8"/>
  <c r="F70" i="8"/>
  <c r="J70" i="8"/>
  <c r="Q68" i="8"/>
  <c r="AA3" i="9"/>
  <c r="AA5" i="9"/>
  <c r="AA4" i="9"/>
  <c r="AB3" i="9"/>
  <c r="AB5" i="9"/>
  <c r="AB7" i="9" s="1"/>
  <c r="AB4" i="9"/>
  <c r="F80" i="9"/>
  <c r="F51" i="9"/>
  <c r="G83" i="7"/>
  <c r="C66" i="9"/>
  <c r="C65" i="9"/>
  <c r="G66" i="9"/>
  <c r="G65" i="9"/>
  <c r="L66" i="9"/>
  <c r="B19" i="9"/>
  <c r="B18" i="9"/>
  <c r="L65" i="9"/>
  <c r="B21" i="9"/>
  <c r="F8" i="10" s="1"/>
  <c r="B20" i="9"/>
  <c r="K66" i="9"/>
  <c r="K65" i="9"/>
  <c r="E60" i="9"/>
  <c r="I60" i="9"/>
  <c r="F79" i="9"/>
  <c r="J79" i="9"/>
  <c r="J47" i="9"/>
  <c r="D49" i="9"/>
  <c r="H49" i="9"/>
  <c r="B50" i="9"/>
  <c r="B53" i="9"/>
  <c r="F81" i="9"/>
  <c r="F53" i="9"/>
  <c r="F50" i="9"/>
  <c r="J81" i="9"/>
  <c r="J53" i="9"/>
  <c r="J50" i="9"/>
  <c r="B43" i="9"/>
  <c r="F43" i="9"/>
  <c r="J43" i="9"/>
  <c r="N41" i="8"/>
  <c r="O5" i="9"/>
  <c r="O4" i="9"/>
  <c r="O3" i="9"/>
  <c r="Q33" i="8"/>
  <c r="E105" i="8"/>
  <c r="I11" i="9"/>
  <c r="I105" i="8"/>
  <c r="I13" i="9"/>
  <c r="K60" i="8"/>
  <c r="L60" i="8"/>
  <c r="AA7" i="9"/>
  <c r="AC3" i="9"/>
  <c r="AC5" i="9"/>
  <c r="AC7" i="9" s="1"/>
  <c r="AC4" i="9"/>
  <c r="Q78" i="8"/>
  <c r="D14" i="10"/>
  <c r="E12" i="10"/>
  <c r="B23" i="10"/>
  <c r="B15" i="10"/>
  <c r="C23" i="10"/>
  <c r="C15" i="10"/>
  <c r="F79" i="7"/>
  <c r="J79" i="7"/>
  <c r="L41" i="7"/>
  <c r="L56" i="7" s="1"/>
  <c r="K11" i="7"/>
  <c r="C30" i="7"/>
  <c r="C32" i="7" s="1"/>
  <c r="C34" i="7" s="1"/>
  <c r="C45" i="9" s="1"/>
  <c r="G30" i="7"/>
  <c r="G81" i="7" s="1"/>
  <c r="K30" i="7"/>
  <c r="H23" i="7"/>
  <c r="K23" i="7"/>
  <c r="C24" i="8"/>
  <c r="G24" i="8"/>
  <c r="K24" i="8"/>
  <c r="F129" i="8"/>
  <c r="J129" i="8"/>
  <c r="K46" i="8"/>
  <c r="K105" i="8"/>
  <c r="O113" i="8"/>
  <c r="P114" i="8"/>
  <c r="O115" i="8"/>
  <c r="I116" i="8"/>
  <c r="I23" i="7"/>
  <c r="I62" i="7" s="1"/>
  <c r="C77" i="8"/>
  <c r="G77" i="8"/>
  <c r="K77" i="8"/>
  <c r="E129" i="8"/>
  <c r="I129" i="8"/>
  <c r="H46" i="8"/>
  <c r="G105" i="8"/>
  <c r="O109" i="8"/>
  <c r="E116" i="8"/>
  <c r="E27" i="7"/>
  <c r="E59" i="9" s="1"/>
  <c r="G46" i="8"/>
  <c r="N75" i="8"/>
  <c r="P82" i="8"/>
  <c r="O83" i="8"/>
  <c r="O95" i="8"/>
  <c r="O96" i="8"/>
  <c r="P98" i="8"/>
  <c r="N103" i="8"/>
  <c r="N104" i="8"/>
  <c r="G42" i="8"/>
  <c r="J47" i="8"/>
  <c r="H65" i="8"/>
  <c r="Q96" i="8"/>
  <c r="E46" i="8"/>
  <c r="I46" i="8"/>
  <c r="G47" i="8"/>
  <c r="K47" i="8"/>
  <c r="C64" i="8"/>
  <c r="G64" i="8"/>
  <c r="K64" i="8"/>
  <c r="E65" i="8"/>
  <c r="I65" i="8"/>
  <c r="D105" i="8"/>
  <c r="H105" i="8"/>
  <c r="F116" i="8"/>
  <c r="J116" i="8"/>
  <c r="C42" i="8"/>
  <c r="C127" i="8" s="1"/>
  <c r="F47" i="8"/>
  <c r="N54" i="8"/>
  <c r="Q58" i="8"/>
  <c r="N117" i="8"/>
  <c r="E47" i="8"/>
  <c r="I47" i="8"/>
  <c r="E64" i="8"/>
  <c r="I64" i="8"/>
  <c r="C65" i="8"/>
  <c r="G65" i="8"/>
  <c r="F105" i="8"/>
  <c r="J105" i="8"/>
  <c r="D116" i="8"/>
  <c r="H116" i="8"/>
  <c r="K42" i="8"/>
  <c r="D65" i="8"/>
  <c r="D64" i="8"/>
  <c r="H64" i="8"/>
  <c r="N64" i="8"/>
  <c r="F65" i="8"/>
  <c r="J65" i="8"/>
  <c r="O84" i="8"/>
  <c r="C129" i="8"/>
  <c r="N42" i="8"/>
  <c r="N40" i="8"/>
  <c r="Q43" i="8"/>
  <c r="N45" i="8"/>
  <c r="P50" i="8"/>
  <c r="P54" i="8"/>
  <c r="N55" i="8"/>
  <c r="P57" i="8"/>
  <c r="M58" i="8"/>
  <c r="P68" i="8"/>
  <c r="E70" i="8"/>
  <c r="I70" i="8"/>
  <c r="P72" i="8"/>
  <c r="O74" i="8"/>
  <c r="Q75" i="8"/>
  <c r="L77" i="8"/>
  <c r="P78" i="8"/>
  <c r="Q81" i="8"/>
  <c r="O82" i="8"/>
  <c r="Q84" i="8"/>
  <c r="O85" i="8"/>
  <c r="Q95" i="8"/>
  <c r="P96" i="8"/>
  <c r="O98" i="8"/>
  <c r="Q109" i="8"/>
  <c r="Q111" i="8"/>
  <c r="Q113" i="8"/>
  <c r="O114" i="8"/>
  <c r="Q115" i="8"/>
  <c r="Q117" i="8"/>
  <c r="O118" i="8"/>
  <c r="L129" i="8"/>
  <c r="P43" i="8"/>
  <c r="Q45" i="8"/>
  <c r="O50" i="8"/>
  <c r="O54" i="8"/>
  <c r="Q55" i="8"/>
  <c r="O57" i="8"/>
  <c r="J59" i="8"/>
  <c r="O68" i="8"/>
  <c r="D70" i="8"/>
  <c r="H70" i="8"/>
  <c r="L70" i="8"/>
  <c r="O72" i="8"/>
  <c r="N74" i="8"/>
  <c r="P75" i="8"/>
  <c r="O78" i="8"/>
  <c r="P81" i="8"/>
  <c r="N82" i="8"/>
  <c r="Q83" i="8"/>
  <c r="P84" i="8"/>
  <c r="N85" i="8"/>
  <c r="Q99" i="8"/>
  <c r="P109" i="8"/>
  <c r="P111" i="8"/>
  <c r="P113" i="8"/>
  <c r="P115" i="8"/>
  <c r="P117" i="8"/>
  <c r="O43" i="8"/>
  <c r="P45" i="8"/>
  <c r="P55" i="8"/>
  <c r="M57" i="8"/>
  <c r="P58" i="8"/>
  <c r="C70" i="8"/>
  <c r="G70" i="8"/>
  <c r="K70" i="8"/>
  <c r="AD6" i="9" s="1"/>
  <c r="Q74" i="8"/>
  <c r="O81" i="8"/>
  <c r="Q82" i="8"/>
  <c r="P83" i="8"/>
  <c r="Q85" i="8"/>
  <c r="Q98" i="8"/>
  <c r="P99" i="8"/>
  <c r="Q114" i="8"/>
  <c r="Q118" i="8"/>
  <c r="L26" i="8"/>
  <c r="O45" i="8"/>
  <c r="Q50" i="8"/>
  <c r="Q54" i="8"/>
  <c r="O58" i="8"/>
  <c r="L57" i="7"/>
  <c r="L10" i="7"/>
  <c r="L11" i="7" s="1"/>
  <c r="E10" i="7"/>
  <c r="E11" i="7" s="1"/>
  <c r="D23" i="7"/>
  <c r="I11" i="7"/>
  <c r="F11" i="7"/>
  <c r="D81" i="7"/>
  <c r="E81" i="7"/>
  <c r="E32" i="7"/>
  <c r="E34" i="7" s="1"/>
  <c r="E45" i="9" s="1"/>
  <c r="F83" i="7"/>
  <c r="F27" i="7"/>
  <c r="F59" i="9" s="1"/>
  <c r="J83" i="7"/>
  <c r="J27" i="7"/>
  <c r="J59" i="9" s="1"/>
  <c r="K81" i="7"/>
  <c r="J81" i="7"/>
  <c r="C56" i="7"/>
  <c r="C64" i="9" s="1"/>
  <c r="E41" i="7"/>
  <c r="E56" i="7" s="1"/>
  <c r="E64" i="9" s="1"/>
  <c r="I41" i="7"/>
  <c r="I56" i="7" s="1"/>
  <c r="I64" i="9" s="1"/>
  <c r="E23" i="7"/>
  <c r="D11" i="7"/>
  <c r="H11" i="7"/>
  <c r="B57" i="7"/>
  <c r="F57" i="7"/>
  <c r="J57" i="7"/>
  <c r="E79" i="7"/>
  <c r="I79" i="7"/>
  <c r="B11" i="7"/>
  <c r="J11" i="7"/>
  <c r="F23" i="7"/>
  <c r="J23" i="7"/>
  <c r="J56" i="7"/>
  <c r="J64" i="9" s="1"/>
  <c r="I32" i="7" l="1"/>
  <c r="I34" i="7" s="1"/>
  <c r="I46" i="9" s="1"/>
  <c r="B56" i="7"/>
  <c r="B64" i="9" s="1"/>
  <c r="D69" i="9"/>
  <c r="I81" i="7"/>
  <c r="F56" i="7"/>
  <c r="F85" i="9" s="1"/>
  <c r="K59" i="9"/>
  <c r="C63" i="7"/>
  <c r="C64" i="7" s="1"/>
  <c r="O46" i="8"/>
  <c r="I69" i="9"/>
  <c r="C20" i="9"/>
  <c r="Q46" i="8"/>
  <c r="H32" i="7"/>
  <c r="H34" i="7" s="1"/>
  <c r="H61" i="9" s="1"/>
  <c r="H67" i="9" s="1"/>
  <c r="D32" i="7"/>
  <c r="D34" i="7" s="1"/>
  <c r="D83" i="9" s="1"/>
  <c r="Q51" i="8"/>
  <c r="D48" i="9"/>
  <c r="D85" i="9"/>
  <c r="F33" i="9"/>
  <c r="M60" i="8"/>
  <c r="J34" i="7"/>
  <c r="J44" i="9" s="1"/>
  <c r="J63" i="7"/>
  <c r="J64" i="7" s="1"/>
  <c r="G32" i="7"/>
  <c r="G34" i="7" s="1"/>
  <c r="G46" i="9" s="1"/>
  <c r="K127" i="8"/>
  <c r="K107" i="8"/>
  <c r="B13" i="9" s="1"/>
  <c r="G127" i="8"/>
  <c r="G107" i="8"/>
  <c r="O7" i="9"/>
  <c r="B99" i="9"/>
  <c r="M50" i="9"/>
  <c r="M54" i="9"/>
  <c r="P51" i="8"/>
  <c r="B12" i="9"/>
  <c r="E83" i="9"/>
  <c r="C57" i="9"/>
  <c r="C44" i="9"/>
  <c r="D64" i="9"/>
  <c r="P116" i="8"/>
  <c r="C78" i="9"/>
  <c r="I85" i="9"/>
  <c r="E54" i="9"/>
  <c r="C83" i="9"/>
  <c r="Y7" i="9"/>
  <c r="M43" i="9"/>
  <c r="C46" i="9"/>
  <c r="I47" i="9"/>
  <c r="E85" i="9"/>
  <c r="E78" i="9"/>
  <c r="E47" i="9"/>
  <c r="C18" i="9"/>
  <c r="I62" i="9"/>
  <c r="H67" i="7"/>
  <c r="H80" i="7" s="1"/>
  <c r="D62" i="7"/>
  <c r="D82" i="9"/>
  <c r="H44" i="9"/>
  <c r="R5" i="9"/>
  <c r="R4" i="9"/>
  <c r="R3" i="9"/>
  <c r="T6" i="9"/>
  <c r="K52" i="9"/>
  <c r="H85" i="9"/>
  <c r="H69" i="9"/>
  <c r="H48" i="9"/>
  <c r="L5" i="9"/>
  <c r="L7" i="9" s="1"/>
  <c r="L3" i="9"/>
  <c r="L4" i="9"/>
  <c r="E62" i="7"/>
  <c r="E55" i="9" s="1"/>
  <c r="B94" i="9"/>
  <c r="E82" i="9"/>
  <c r="J67" i="7"/>
  <c r="J80" i="7" s="1"/>
  <c r="J61" i="9"/>
  <c r="O116" i="8"/>
  <c r="O51" i="8"/>
  <c r="B96" i="9"/>
  <c r="I55" i="9"/>
  <c r="I82" i="9"/>
  <c r="D21" i="9"/>
  <c r="D20" i="9"/>
  <c r="D19" i="9"/>
  <c r="D18" i="9"/>
  <c r="L69" i="9"/>
  <c r="L48" i="9"/>
  <c r="K48" i="9"/>
  <c r="F24" i="9" s="1"/>
  <c r="K69" i="9"/>
  <c r="K11" i="9"/>
  <c r="M11" i="9" s="1"/>
  <c r="L11" i="9"/>
  <c r="M49" i="9"/>
  <c r="O20" i="9"/>
  <c r="O19" i="9"/>
  <c r="O18" i="9"/>
  <c r="C14" i="9"/>
  <c r="C13" i="9"/>
  <c r="O21" i="9"/>
  <c r="C12" i="9"/>
  <c r="C11" i="9"/>
  <c r="J78" i="9"/>
  <c r="L47" i="9"/>
  <c r="J83" i="9"/>
  <c r="F69" i="9"/>
  <c r="F48" i="9"/>
  <c r="J62" i="7"/>
  <c r="J55" i="9" s="1"/>
  <c r="J82" i="9"/>
  <c r="K56" i="7"/>
  <c r="K85" i="9" s="1"/>
  <c r="E67" i="7"/>
  <c r="E80" i="7" s="1"/>
  <c r="E61" i="9"/>
  <c r="F32" i="7"/>
  <c r="F63" i="7" s="1"/>
  <c r="F64" i="7" s="1"/>
  <c r="K62" i="7"/>
  <c r="K55" i="9" s="1"/>
  <c r="L82" i="9"/>
  <c r="K82" i="9"/>
  <c r="G48" i="9"/>
  <c r="G69" i="9"/>
  <c r="AD3" i="9"/>
  <c r="AD5" i="9"/>
  <c r="AD7" i="9" s="1"/>
  <c r="AD4" i="9"/>
  <c r="K14" i="9"/>
  <c r="L14" i="9"/>
  <c r="S5" i="9"/>
  <c r="S7" i="9" s="1"/>
  <c r="S4" i="9"/>
  <c r="S3" i="9"/>
  <c r="E57" i="9"/>
  <c r="G62" i="7"/>
  <c r="B95" i="9"/>
  <c r="G82" i="9"/>
  <c r="E46" i="9"/>
  <c r="I45" i="9"/>
  <c r="K47" i="9"/>
  <c r="C19" i="9"/>
  <c r="F62" i="7"/>
  <c r="F55" i="9" s="1"/>
  <c r="F82" i="9"/>
  <c r="G56" i="7"/>
  <c r="G64" i="9" s="1"/>
  <c r="K32" i="7"/>
  <c r="K63" i="7" s="1"/>
  <c r="K64" i="7" s="1"/>
  <c r="C67" i="7"/>
  <c r="C80" i="7" s="1"/>
  <c r="C61" i="9"/>
  <c r="C67" i="9" s="1"/>
  <c r="F81" i="7"/>
  <c r="Q116" i="8"/>
  <c r="Q77" i="8"/>
  <c r="K65" i="8"/>
  <c r="I7" i="10"/>
  <c r="B16" i="10" s="1"/>
  <c r="H62" i="7"/>
  <c r="H55" i="9" s="1"/>
  <c r="H82" i="9"/>
  <c r="C81" i="7"/>
  <c r="C48" i="9"/>
  <c r="C85" i="9"/>
  <c r="C69" i="9"/>
  <c r="K13" i="9"/>
  <c r="L13" i="9"/>
  <c r="I8" i="10"/>
  <c r="A27" i="9"/>
  <c r="A33" i="9"/>
  <c r="T5" i="9"/>
  <c r="T4" i="9"/>
  <c r="T3" i="9"/>
  <c r="F52" i="9"/>
  <c r="L65" i="8"/>
  <c r="N51" i="8"/>
  <c r="K12" i="9"/>
  <c r="M12" i="9" s="1"/>
  <c r="K24" i="9" s="1"/>
  <c r="L12" i="9"/>
  <c r="E33" i="9"/>
  <c r="B55" i="9"/>
  <c r="B62" i="9"/>
  <c r="J45" i="9"/>
  <c r="D47" i="9"/>
  <c r="B100" i="9"/>
  <c r="M51" i="9"/>
  <c r="L52" i="9"/>
  <c r="M52" i="9" s="1"/>
  <c r="E53" i="9"/>
  <c r="B93" i="9"/>
  <c r="C82" i="9"/>
  <c r="E44" i="9"/>
  <c r="H83" i="9"/>
  <c r="M79" i="9"/>
  <c r="J69" i="9"/>
  <c r="J48" i="9"/>
  <c r="J85" i="9"/>
  <c r="B32" i="7"/>
  <c r="B81" i="7"/>
  <c r="B69" i="9"/>
  <c r="B48" i="9"/>
  <c r="B85" i="9"/>
  <c r="C21" i="9"/>
  <c r="H24" i="9"/>
  <c r="R6" i="9"/>
  <c r="R7" i="9" s="1"/>
  <c r="D23" i="10"/>
  <c r="D15" i="10"/>
  <c r="F12" i="10"/>
  <c r="E14" i="10"/>
  <c r="C56" i="9"/>
  <c r="C62" i="9"/>
  <c r="C55" i="9"/>
  <c r="N105" i="8"/>
  <c r="Q47" i="8"/>
  <c r="O77" i="8"/>
  <c r="N70" i="8"/>
  <c r="P47" i="8"/>
  <c r="N47" i="8"/>
  <c r="M59" i="8"/>
  <c r="P60" i="8"/>
  <c r="O128" i="8"/>
  <c r="Q64" i="8"/>
  <c r="O64" i="8"/>
  <c r="P64" i="8"/>
  <c r="N46" i="8"/>
  <c r="B5" i="10" s="1"/>
  <c r="P128" i="8"/>
  <c r="Q60" i="8"/>
  <c r="P46" i="8"/>
  <c r="P77" i="8"/>
  <c r="Q128" i="8"/>
  <c r="O70" i="8"/>
  <c r="P70" i="8"/>
  <c r="Q70" i="8"/>
  <c r="O129" i="8"/>
  <c r="P129" i="8"/>
  <c r="Q129" i="8"/>
  <c r="O60" i="8"/>
  <c r="N116" i="8"/>
  <c r="O47" i="8"/>
  <c r="E63" i="7"/>
  <c r="E64" i="7" s="1"/>
  <c r="H63" i="7"/>
  <c r="H64" i="7" s="1"/>
  <c r="J46" i="9" l="1"/>
  <c r="H45" i="9"/>
  <c r="J57" i="9"/>
  <c r="B11" i="9"/>
  <c r="I78" i="9"/>
  <c r="I70" i="9" s="1"/>
  <c r="I61" i="9"/>
  <c r="I63" i="7"/>
  <c r="I64" i="7" s="1"/>
  <c r="J71" i="9" s="1"/>
  <c r="I83" i="9"/>
  <c r="I44" i="9"/>
  <c r="I57" i="9"/>
  <c r="H57" i="9"/>
  <c r="I67" i="7"/>
  <c r="I80" i="7" s="1"/>
  <c r="I56" i="9"/>
  <c r="J73" i="9"/>
  <c r="J70" i="9"/>
  <c r="J87" i="9" s="1"/>
  <c r="J88" i="9" s="1"/>
  <c r="F64" i="9"/>
  <c r="H46" i="9"/>
  <c r="H78" i="9"/>
  <c r="D46" i="9"/>
  <c r="M47" i="9"/>
  <c r="Q6" i="9"/>
  <c r="Q127" i="8"/>
  <c r="D63" i="7"/>
  <c r="D64" i="7" s="1"/>
  <c r="D71" i="9" s="1"/>
  <c r="Q65" i="8"/>
  <c r="D57" i="9"/>
  <c r="G61" i="9"/>
  <c r="G68" i="9" s="1"/>
  <c r="D78" i="9"/>
  <c r="D70" i="9" s="1"/>
  <c r="D87" i="9" s="1"/>
  <c r="D88" i="9" s="1"/>
  <c r="E70" i="9"/>
  <c r="E87" i="9" s="1"/>
  <c r="E88" i="9" s="1"/>
  <c r="H68" i="9"/>
  <c r="D67" i="7"/>
  <c r="D80" i="7" s="1"/>
  <c r="D44" i="9"/>
  <c r="D45" i="9"/>
  <c r="D61" i="9"/>
  <c r="D67" i="9" s="1"/>
  <c r="O127" i="8"/>
  <c r="C70" i="9"/>
  <c r="C87" i="9" s="1"/>
  <c r="C88" i="9" s="1"/>
  <c r="G83" i="9"/>
  <c r="G57" i="9"/>
  <c r="G78" i="9"/>
  <c r="G44" i="9"/>
  <c r="B105" i="9"/>
  <c r="G67" i="7"/>
  <c r="G80" i="7" s="1"/>
  <c r="G63" i="7"/>
  <c r="G64" i="7" s="1"/>
  <c r="P65" i="8"/>
  <c r="P127" i="8"/>
  <c r="G45" i="9"/>
  <c r="C68" i="9"/>
  <c r="H70" i="9"/>
  <c r="H87" i="9" s="1"/>
  <c r="H88" i="9" s="1"/>
  <c r="M48" i="9"/>
  <c r="I87" i="9"/>
  <c r="L73" i="9"/>
  <c r="H19" i="9" s="1"/>
  <c r="I27" i="9" s="1"/>
  <c r="L71" i="9"/>
  <c r="L72" i="9"/>
  <c r="K73" i="9"/>
  <c r="K71" i="9"/>
  <c r="K72" i="9"/>
  <c r="G24" i="9"/>
  <c r="G62" i="9"/>
  <c r="G56" i="9"/>
  <c r="Q5" i="9"/>
  <c r="G67" i="9"/>
  <c r="D62" i="9"/>
  <c r="D56" i="9"/>
  <c r="O65" i="8"/>
  <c r="H62" i="9"/>
  <c r="H56" i="9"/>
  <c r="K34" i="7"/>
  <c r="L56" i="9" s="1"/>
  <c r="M56" i="9" s="1"/>
  <c r="L78" i="9"/>
  <c r="K78" i="9"/>
  <c r="F62" i="9"/>
  <c r="G55" i="9"/>
  <c r="N20" i="9"/>
  <c r="N19" i="9"/>
  <c r="N21" i="9"/>
  <c r="N18" i="9"/>
  <c r="L62" i="9"/>
  <c r="K62" i="9"/>
  <c r="K56" i="9"/>
  <c r="L64" i="9"/>
  <c r="K64" i="9"/>
  <c r="B101" i="9" s="1"/>
  <c r="J62" i="9"/>
  <c r="J56" i="9"/>
  <c r="I68" i="9"/>
  <c r="I67" i="9"/>
  <c r="G71" i="9"/>
  <c r="F72" i="9"/>
  <c r="F71" i="9"/>
  <c r="M13" i="9"/>
  <c r="B4" i="10"/>
  <c r="F7" i="10"/>
  <c r="M14" i="9"/>
  <c r="Q3" i="9"/>
  <c r="F34" i="7"/>
  <c r="F78" i="9"/>
  <c r="F70" i="9" s="1"/>
  <c r="F87" i="9" s="1"/>
  <c r="F88" i="9" s="1"/>
  <c r="K70" i="9"/>
  <c r="J67" i="9"/>
  <c r="J68" i="9"/>
  <c r="D55" i="9"/>
  <c r="H73" i="9"/>
  <c r="H72" i="9"/>
  <c r="I71" i="9"/>
  <c r="I72" i="9"/>
  <c r="N65" i="8"/>
  <c r="B78" i="9"/>
  <c r="B70" i="9" s="1"/>
  <c r="B63" i="7"/>
  <c r="B64" i="7" s="1"/>
  <c r="C71" i="9" s="1"/>
  <c r="B34" i="7"/>
  <c r="T7" i="9"/>
  <c r="Q4" i="9"/>
  <c r="G85" i="9"/>
  <c r="G70" i="9" s="1"/>
  <c r="L55" i="9"/>
  <c r="M55" i="9" s="1"/>
  <c r="E68" i="9"/>
  <c r="E67" i="9"/>
  <c r="L85" i="9"/>
  <c r="E62" i="9"/>
  <c r="E56" i="9"/>
  <c r="B106" i="9"/>
  <c r="G12" i="10"/>
  <c r="F14" i="10"/>
  <c r="E15" i="10"/>
  <c r="E23" i="10"/>
  <c r="C6" i="3"/>
  <c r="D6" i="3"/>
  <c r="E6" i="3"/>
  <c r="F6" i="3"/>
  <c r="G6" i="3"/>
  <c r="H6" i="3"/>
  <c r="I6" i="3"/>
  <c r="J6" i="3"/>
  <c r="K6" i="3"/>
  <c r="B6" i="3"/>
  <c r="C5" i="1"/>
  <c r="D5" i="1"/>
  <c r="E5" i="1"/>
  <c r="F5" i="1"/>
  <c r="G5" i="1"/>
  <c r="H5" i="1"/>
  <c r="I5" i="1"/>
  <c r="J5" i="1"/>
  <c r="K5" i="1"/>
  <c r="B5" i="1"/>
  <c r="K93" i="6"/>
  <c r="B2" i="11" s="1"/>
  <c r="C93" i="6"/>
  <c r="C36" i="7" s="1"/>
  <c r="D93" i="6"/>
  <c r="D36" i="7" s="1"/>
  <c r="E93" i="6"/>
  <c r="E36" i="7" s="1"/>
  <c r="F93" i="6"/>
  <c r="F36" i="7" s="1"/>
  <c r="G93" i="6"/>
  <c r="G36" i="7" s="1"/>
  <c r="H93" i="6"/>
  <c r="H36" i="7" s="1"/>
  <c r="I93" i="6"/>
  <c r="I36" i="7" s="1"/>
  <c r="J93" i="6"/>
  <c r="J36" i="7" s="1"/>
  <c r="B93" i="6"/>
  <c r="B36" i="7" s="1"/>
  <c r="B15" i="12" s="1"/>
  <c r="B111" i="12" s="1"/>
  <c r="I73" i="9" l="1"/>
  <c r="G72" i="9"/>
  <c r="E71" i="9"/>
  <c r="D89" i="9"/>
  <c r="D15" i="12"/>
  <c r="D111" i="12" s="1"/>
  <c r="D75" i="7"/>
  <c r="C89" i="9"/>
  <c r="D90" i="9" s="1"/>
  <c r="D91" i="9" s="1"/>
  <c r="C15" i="12"/>
  <c r="C111" i="12" s="1"/>
  <c r="C75" i="7"/>
  <c r="H89" i="9"/>
  <c r="H15" i="12"/>
  <c r="H111" i="12" s="1"/>
  <c r="H75" i="7"/>
  <c r="G89" i="9"/>
  <c r="G75" i="7"/>
  <c r="G15" i="12"/>
  <c r="G111" i="12" s="1"/>
  <c r="B103" i="9"/>
  <c r="J89" i="9"/>
  <c r="J15" i="12"/>
  <c r="J111" i="12" s="1"/>
  <c r="J75" i="7"/>
  <c r="F89" i="9"/>
  <c r="F75" i="7"/>
  <c r="F15" i="12"/>
  <c r="F111" i="12" s="1"/>
  <c r="I89" i="9"/>
  <c r="J90" i="9" s="1"/>
  <c r="J91" i="9" s="1"/>
  <c r="I75" i="7"/>
  <c r="I15" i="12"/>
  <c r="I111" i="12" s="1"/>
  <c r="E89" i="9"/>
  <c r="E75" i="7"/>
  <c r="E15" i="12"/>
  <c r="E111" i="12" s="1"/>
  <c r="D68" i="9"/>
  <c r="B102" i="9"/>
  <c r="J72" i="9"/>
  <c r="H71" i="9"/>
  <c r="B13" i="11"/>
  <c r="E13" i="11" s="1"/>
  <c r="O17" i="10" s="1"/>
  <c r="B15" i="11"/>
  <c r="E15" i="11" s="1"/>
  <c r="O19" i="10" s="1"/>
  <c r="B14" i="11"/>
  <c r="E14" i="11" s="1"/>
  <c r="O18" i="10" s="1"/>
  <c r="G73" i="9"/>
  <c r="L74" i="9"/>
  <c r="I30" i="9" s="1"/>
  <c r="G20" i="9"/>
  <c r="G87" i="9"/>
  <c r="B104" i="9"/>
  <c r="G19" i="9"/>
  <c r="H27" i="9" s="1"/>
  <c r="B87" i="9"/>
  <c r="G18" i="9"/>
  <c r="Q7" i="9"/>
  <c r="L33" i="9"/>
  <c r="F67" i="7"/>
  <c r="F80" i="7" s="1"/>
  <c r="F61" i="9"/>
  <c r="F46" i="9"/>
  <c r="F83" i="9"/>
  <c r="F45" i="9"/>
  <c r="F57" i="9"/>
  <c r="F44" i="9"/>
  <c r="F56" i="9"/>
  <c r="K67" i="7"/>
  <c r="K80" i="7" s="1"/>
  <c r="L61" i="9"/>
  <c r="E20" i="9"/>
  <c r="E19" i="9"/>
  <c r="E21" i="9"/>
  <c r="O33" i="9" s="1"/>
  <c r="E18" i="9"/>
  <c r="K61" i="9"/>
  <c r="K44" i="9"/>
  <c r="K83" i="9"/>
  <c r="K46" i="9"/>
  <c r="K45" i="9"/>
  <c r="K57" i="9"/>
  <c r="L44" i="9"/>
  <c r="M44" i="9" s="1"/>
  <c r="L45" i="9"/>
  <c r="M45" i="9" s="1"/>
  <c r="L83" i="9"/>
  <c r="L46" i="9"/>
  <c r="M46" i="9" s="1"/>
  <c r="L57" i="9"/>
  <c r="M57" i="9" s="1"/>
  <c r="H90" i="9"/>
  <c r="H91" i="9" s="1"/>
  <c r="N4" i="8"/>
  <c r="P4" i="8"/>
  <c r="O4" i="8"/>
  <c r="G90" i="9"/>
  <c r="G91" i="9" s="1"/>
  <c r="B67" i="7"/>
  <c r="B80" i="7" s="1"/>
  <c r="B61" i="9"/>
  <c r="B83" i="9"/>
  <c r="B45" i="9"/>
  <c r="B57" i="9"/>
  <c r="B46" i="9"/>
  <c r="B44" i="9"/>
  <c r="B56" i="9"/>
  <c r="B82" i="7"/>
  <c r="B89" i="9"/>
  <c r="L70" i="9"/>
  <c r="L87" i="9" s="1"/>
  <c r="L88" i="9" s="1"/>
  <c r="K87" i="9"/>
  <c r="J20" i="9" s="1"/>
  <c r="G21" i="9"/>
  <c r="E72" i="9"/>
  <c r="I88" i="9"/>
  <c r="F23" i="10"/>
  <c r="F15" i="10"/>
  <c r="G14" i="10"/>
  <c r="H12" i="10"/>
  <c r="C74" i="7"/>
  <c r="C82" i="7"/>
  <c r="C76" i="7"/>
  <c r="C66" i="7"/>
  <c r="C71" i="7"/>
  <c r="C77" i="7"/>
  <c r="C72" i="7"/>
  <c r="C73" i="7"/>
  <c r="J72" i="7"/>
  <c r="J82" i="7"/>
  <c r="J76" i="7"/>
  <c r="J66" i="7"/>
  <c r="J71" i="7"/>
  <c r="J77" i="7"/>
  <c r="J74" i="7"/>
  <c r="J73" i="7"/>
  <c r="F82" i="7"/>
  <c r="F66" i="7"/>
  <c r="F74" i="7"/>
  <c r="F76" i="7"/>
  <c r="F71" i="7"/>
  <c r="F77" i="7"/>
  <c r="F72" i="7"/>
  <c r="F73" i="7"/>
  <c r="K36" i="7"/>
  <c r="I4" i="8"/>
  <c r="E4" i="8"/>
  <c r="G82" i="7"/>
  <c r="G66" i="7"/>
  <c r="G74" i="7"/>
  <c r="G76" i="7"/>
  <c r="G71" i="7"/>
  <c r="G72" i="7"/>
  <c r="G73" i="7"/>
  <c r="G77" i="7"/>
  <c r="F4" i="8"/>
  <c r="H66" i="7"/>
  <c r="H74" i="7"/>
  <c r="H71" i="7"/>
  <c r="H76" i="7"/>
  <c r="H77" i="7"/>
  <c r="H82" i="7"/>
  <c r="H72" i="7"/>
  <c r="H73" i="7"/>
  <c r="D77" i="7"/>
  <c r="D72" i="7"/>
  <c r="D76" i="7"/>
  <c r="D74" i="7"/>
  <c r="D71" i="7"/>
  <c r="D82" i="7"/>
  <c r="D66" i="7"/>
  <c r="D73" i="7"/>
  <c r="K4" i="8"/>
  <c r="G4" i="8"/>
  <c r="C4" i="8"/>
  <c r="J4" i="8"/>
  <c r="I66" i="7"/>
  <c r="I72" i="7"/>
  <c r="I73" i="7"/>
  <c r="I74" i="7"/>
  <c r="I77" i="7"/>
  <c r="I82" i="7"/>
  <c r="I76" i="7"/>
  <c r="I71" i="7"/>
  <c r="E66" i="7"/>
  <c r="E72" i="7"/>
  <c r="E71" i="7"/>
  <c r="E74" i="7"/>
  <c r="E77" i="7"/>
  <c r="E82" i="7"/>
  <c r="E76" i="7"/>
  <c r="E73" i="7"/>
  <c r="H4" i="8"/>
  <c r="D4" i="8"/>
  <c r="B6" i="6"/>
  <c r="B32" i="10" s="1"/>
  <c r="C17" i="2"/>
  <c r="D17" i="2"/>
  <c r="E17" i="2"/>
  <c r="F17" i="2"/>
  <c r="G17" i="2"/>
  <c r="H17" i="2"/>
  <c r="I17" i="2"/>
  <c r="J17" i="2"/>
  <c r="K17" i="2"/>
  <c r="C18" i="2"/>
  <c r="D18" i="2"/>
  <c r="E18" i="2"/>
  <c r="F18" i="2"/>
  <c r="G18" i="2"/>
  <c r="H18" i="2"/>
  <c r="I18" i="2"/>
  <c r="J18" i="2"/>
  <c r="K18" i="2"/>
  <c r="B17" i="2"/>
  <c r="C4" i="2"/>
  <c r="D4" i="2"/>
  <c r="E4" i="2"/>
  <c r="F4" i="2"/>
  <c r="G4" i="2"/>
  <c r="H4" i="2"/>
  <c r="I4" i="2"/>
  <c r="J4" i="2"/>
  <c r="K4" i="2"/>
  <c r="C5" i="2"/>
  <c r="D5" i="2"/>
  <c r="E5" i="2"/>
  <c r="F5" i="2"/>
  <c r="G5" i="2"/>
  <c r="H5" i="2"/>
  <c r="I5" i="2"/>
  <c r="J5" i="2"/>
  <c r="K5" i="2"/>
  <c r="C6" i="2"/>
  <c r="D6" i="2"/>
  <c r="E6" i="2"/>
  <c r="F6" i="2"/>
  <c r="G6" i="2"/>
  <c r="H6" i="2"/>
  <c r="I6" i="2"/>
  <c r="J6" i="2"/>
  <c r="K6" i="2"/>
  <c r="C7" i="2"/>
  <c r="D7" i="2"/>
  <c r="E7" i="2"/>
  <c r="F7" i="2"/>
  <c r="G7" i="2"/>
  <c r="H7" i="2"/>
  <c r="I7" i="2"/>
  <c r="J7" i="2"/>
  <c r="K7" i="2"/>
  <c r="C8" i="2"/>
  <c r="D8" i="2"/>
  <c r="E8" i="2"/>
  <c r="F8" i="2"/>
  <c r="G8" i="2"/>
  <c r="H8" i="2"/>
  <c r="I8" i="2"/>
  <c r="J8" i="2"/>
  <c r="K8" i="2"/>
  <c r="C10" i="2"/>
  <c r="D10" i="2"/>
  <c r="E10" i="2"/>
  <c r="F10" i="2"/>
  <c r="G10" i="2"/>
  <c r="H10" i="2"/>
  <c r="I10" i="2"/>
  <c r="J10" i="2"/>
  <c r="K10" i="2"/>
  <c r="C11" i="2"/>
  <c r="D11" i="2"/>
  <c r="E11" i="2"/>
  <c r="F11" i="2"/>
  <c r="G11" i="2"/>
  <c r="H11" i="2"/>
  <c r="I11" i="2"/>
  <c r="J11" i="2"/>
  <c r="K11" i="2"/>
  <c r="C12" i="2"/>
  <c r="D12" i="2"/>
  <c r="E12" i="2"/>
  <c r="F12" i="2"/>
  <c r="G12" i="2"/>
  <c r="H12" i="2"/>
  <c r="I12" i="2"/>
  <c r="J12" i="2"/>
  <c r="K12" i="2"/>
  <c r="C13" i="2"/>
  <c r="D13" i="2"/>
  <c r="E13" i="2"/>
  <c r="F13" i="2"/>
  <c r="G13" i="2"/>
  <c r="H13" i="2"/>
  <c r="I13" i="2"/>
  <c r="J13" i="2"/>
  <c r="K13" i="2"/>
  <c r="C14" i="2"/>
  <c r="D14" i="2"/>
  <c r="E14" i="2"/>
  <c r="F14" i="2"/>
  <c r="G14" i="2"/>
  <c r="H14" i="2"/>
  <c r="I14" i="2"/>
  <c r="J14" i="2"/>
  <c r="K14" i="2"/>
  <c r="B14" i="2"/>
  <c r="B5" i="2"/>
  <c r="B4" i="2"/>
  <c r="C4" i="4"/>
  <c r="D4" i="4"/>
  <c r="E4" i="4"/>
  <c r="F4" i="4"/>
  <c r="G4" i="4"/>
  <c r="H4" i="4"/>
  <c r="I4" i="4"/>
  <c r="J4" i="4"/>
  <c r="K4" i="4"/>
  <c r="C5" i="4"/>
  <c r="D5" i="4"/>
  <c r="E5" i="4"/>
  <c r="F5" i="4"/>
  <c r="G5" i="4"/>
  <c r="H5" i="4"/>
  <c r="I5" i="4"/>
  <c r="J5" i="4"/>
  <c r="K5" i="4"/>
  <c r="C6" i="4"/>
  <c r="D6" i="4"/>
  <c r="E6" i="4"/>
  <c r="F6" i="4"/>
  <c r="G6" i="4"/>
  <c r="H6" i="4"/>
  <c r="I6" i="4"/>
  <c r="J6" i="4"/>
  <c r="K6" i="4"/>
  <c r="C7" i="4"/>
  <c r="D7" i="4"/>
  <c r="E7" i="4"/>
  <c r="F7" i="4"/>
  <c r="G7" i="4"/>
  <c r="H7" i="4"/>
  <c r="I7" i="4"/>
  <c r="J7" i="4"/>
  <c r="K7" i="4"/>
  <c r="C4" i="3"/>
  <c r="D4" i="3"/>
  <c r="E4" i="3"/>
  <c r="F4" i="3"/>
  <c r="G4" i="3"/>
  <c r="H4" i="3"/>
  <c r="I4" i="3"/>
  <c r="J4" i="3"/>
  <c r="K4" i="3"/>
  <c r="C5" i="3"/>
  <c r="D5" i="3"/>
  <c r="E5" i="3"/>
  <c r="F5" i="3"/>
  <c r="G5" i="3"/>
  <c r="H5" i="3"/>
  <c r="I5" i="3"/>
  <c r="J5" i="3"/>
  <c r="K5" i="3"/>
  <c r="C7" i="3"/>
  <c r="D7" i="3"/>
  <c r="E7" i="3"/>
  <c r="F7" i="3"/>
  <c r="G7" i="3"/>
  <c r="H7" i="3"/>
  <c r="I7" i="3"/>
  <c r="J7" i="3"/>
  <c r="K7" i="3"/>
  <c r="C8" i="3"/>
  <c r="D8" i="3"/>
  <c r="E8" i="3"/>
  <c r="F8" i="3"/>
  <c r="G8" i="3"/>
  <c r="H8" i="3"/>
  <c r="I8" i="3"/>
  <c r="J8" i="3"/>
  <c r="K8" i="3"/>
  <c r="C9" i="3"/>
  <c r="D9" i="3"/>
  <c r="E9" i="3"/>
  <c r="F9" i="3"/>
  <c r="G9" i="3"/>
  <c r="H9" i="3"/>
  <c r="I9" i="3"/>
  <c r="J9" i="3"/>
  <c r="K9" i="3"/>
  <c r="C10" i="3"/>
  <c r="D10" i="3"/>
  <c r="E10" i="3"/>
  <c r="F10" i="3"/>
  <c r="G10" i="3"/>
  <c r="H10" i="3"/>
  <c r="I10" i="3"/>
  <c r="J10" i="3"/>
  <c r="K10" i="3"/>
  <c r="C11" i="3"/>
  <c r="D11" i="3"/>
  <c r="E11" i="3"/>
  <c r="F11" i="3"/>
  <c r="G11" i="3"/>
  <c r="H11" i="3"/>
  <c r="I11" i="3"/>
  <c r="J11" i="3"/>
  <c r="K11" i="3"/>
  <c r="C12" i="3"/>
  <c r="D12" i="3"/>
  <c r="E12" i="3"/>
  <c r="F12" i="3"/>
  <c r="G12" i="3"/>
  <c r="H12" i="3"/>
  <c r="I12" i="3"/>
  <c r="J12" i="3"/>
  <c r="K12" i="3"/>
  <c r="B5" i="3"/>
  <c r="C18" i="1"/>
  <c r="D18" i="1"/>
  <c r="E18" i="1"/>
  <c r="F18" i="1"/>
  <c r="G18" i="1"/>
  <c r="H18" i="1"/>
  <c r="I18" i="1"/>
  <c r="J18" i="1"/>
  <c r="K18" i="1"/>
  <c r="B18" i="1"/>
  <c r="C4" i="1"/>
  <c r="D4" i="1"/>
  <c r="E4" i="1"/>
  <c r="F4" i="1"/>
  <c r="F17" i="12" s="1"/>
  <c r="G4" i="1"/>
  <c r="H4" i="1"/>
  <c r="I4" i="1"/>
  <c r="J4" i="1"/>
  <c r="J17" i="12" s="1"/>
  <c r="K4" i="1"/>
  <c r="C7" i="1"/>
  <c r="D7" i="1"/>
  <c r="E7" i="1"/>
  <c r="F7" i="1"/>
  <c r="G7" i="1"/>
  <c r="H7" i="1"/>
  <c r="I7" i="1"/>
  <c r="J7" i="1"/>
  <c r="K7" i="1"/>
  <c r="C8" i="1"/>
  <c r="D8" i="1"/>
  <c r="E8" i="1"/>
  <c r="F8" i="1"/>
  <c r="G8" i="1"/>
  <c r="H8" i="1"/>
  <c r="I8" i="1"/>
  <c r="J8" i="1"/>
  <c r="K8" i="1"/>
  <c r="C9" i="1"/>
  <c r="D9" i="1"/>
  <c r="E9" i="1"/>
  <c r="F9" i="1"/>
  <c r="G9" i="1"/>
  <c r="H9" i="1"/>
  <c r="I9" i="1"/>
  <c r="J9" i="1"/>
  <c r="K9" i="1"/>
  <c r="C10" i="1"/>
  <c r="D10" i="1"/>
  <c r="E10" i="1"/>
  <c r="G10" i="1"/>
  <c r="H10" i="1"/>
  <c r="I10" i="1"/>
  <c r="J10" i="1"/>
  <c r="K10" i="1"/>
  <c r="C11" i="1"/>
  <c r="D11" i="1"/>
  <c r="E11" i="1"/>
  <c r="F11" i="1"/>
  <c r="G11" i="1"/>
  <c r="H11" i="1"/>
  <c r="I11" i="1"/>
  <c r="J11" i="1"/>
  <c r="K11" i="1"/>
  <c r="C12" i="1"/>
  <c r="D12" i="1"/>
  <c r="E12" i="1"/>
  <c r="E18" i="12" s="1"/>
  <c r="F12" i="1"/>
  <c r="G12" i="1"/>
  <c r="H12" i="1"/>
  <c r="I12" i="1"/>
  <c r="I18" i="12" s="1"/>
  <c r="J12" i="1"/>
  <c r="K12" i="1"/>
  <c r="C15" i="1"/>
  <c r="D15" i="1"/>
  <c r="E15" i="1"/>
  <c r="F15" i="1"/>
  <c r="G15" i="1"/>
  <c r="H15" i="1"/>
  <c r="I15" i="1"/>
  <c r="J15" i="1"/>
  <c r="K15" i="1"/>
  <c r="B15" i="1"/>
  <c r="B7" i="1"/>
  <c r="B4" i="1"/>
  <c r="M111" i="12" l="1"/>
  <c r="B91" i="13" s="1"/>
  <c r="P18" i="12"/>
  <c r="B7" i="13" s="1"/>
  <c r="Q18" i="12"/>
  <c r="B6" i="13" s="1"/>
  <c r="Q17" i="12"/>
  <c r="B3" i="13" s="1"/>
  <c r="P17" i="12"/>
  <c r="B4" i="13" s="1"/>
  <c r="P3" i="8"/>
  <c r="K17" i="12"/>
  <c r="R17" i="12"/>
  <c r="B2" i="13" s="1"/>
  <c r="F90" i="9"/>
  <c r="F91" i="9" s="1"/>
  <c r="E90" i="9"/>
  <c r="E91" i="9" s="1"/>
  <c r="H18" i="9"/>
  <c r="I90" i="9"/>
  <c r="I91" i="9" s="1"/>
  <c r="K75" i="7"/>
  <c r="K15" i="12"/>
  <c r="K111" i="12" s="1"/>
  <c r="O111" i="12" s="1"/>
  <c r="B89" i="13" s="1"/>
  <c r="K18" i="12"/>
  <c r="G18" i="12"/>
  <c r="D17" i="12"/>
  <c r="H18" i="12"/>
  <c r="D18" i="12"/>
  <c r="I27" i="8"/>
  <c r="I28" i="8" s="1"/>
  <c r="I17" i="12"/>
  <c r="E17" i="12"/>
  <c r="H27" i="8"/>
  <c r="H28" i="8" s="1"/>
  <c r="H17" i="12"/>
  <c r="J18" i="12"/>
  <c r="F18" i="12"/>
  <c r="G27" i="8"/>
  <c r="G17" i="12"/>
  <c r="C27" i="8"/>
  <c r="C28" i="8" s="1"/>
  <c r="C3" i="8"/>
  <c r="C17" i="12"/>
  <c r="C13" i="1"/>
  <c r="C69" i="7" s="1"/>
  <c r="C123" i="8" s="1"/>
  <c r="L4" i="1"/>
  <c r="G11" i="8"/>
  <c r="I86" i="8"/>
  <c r="I112" i="8" s="1"/>
  <c r="E86" i="8"/>
  <c r="E112" i="8" s="1"/>
  <c r="M83" i="9"/>
  <c r="K88" i="9"/>
  <c r="B107" i="9" s="1"/>
  <c r="K21" i="9"/>
  <c r="J21" i="9"/>
  <c r="I21" i="9"/>
  <c r="K20" i="9"/>
  <c r="I20" i="9"/>
  <c r="K19" i="9"/>
  <c r="I19" i="9"/>
  <c r="J27" i="9" s="1"/>
  <c r="K18" i="9"/>
  <c r="I18" i="9"/>
  <c r="K68" i="9"/>
  <c r="K67" i="9"/>
  <c r="B88" i="9"/>
  <c r="J18" i="9"/>
  <c r="O7" i="8"/>
  <c r="P7" i="8"/>
  <c r="L10" i="8"/>
  <c r="L44" i="8"/>
  <c r="K27" i="8"/>
  <c r="O3" i="8"/>
  <c r="N3" i="8"/>
  <c r="I11" i="8"/>
  <c r="E11" i="8"/>
  <c r="L86" i="8"/>
  <c r="L112" i="8" s="1"/>
  <c r="K86" i="8"/>
  <c r="K112" i="8" s="1"/>
  <c r="G86" i="8"/>
  <c r="G112" i="8" s="1"/>
  <c r="C86" i="8"/>
  <c r="C112" i="8" s="1"/>
  <c r="R8" i="10"/>
  <c r="O8" i="10"/>
  <c r="B68" i="9"/>
  <c r="B67" i="9"/>
  <c r="L11" i="8"/>
  <c r="K11" i="8"/>
  <c r="L89" i="9"/>
  <c r="D14" i="9"/>
  <c r="E14" i="9" s="1"/>
  <c r="D13" i="9"/>
  <c r="E13" i="9" s="1"/>
  <c r="D11" i="9"/>
  <c r="E11" i="9" s="1"/>
  <c r="D12" i="9"/>
  <c r="E12" i="9" s="1"/>
  <c r="K89" i="9"/>
  <c r="L67" i="9"/>
  <c r="L68" i="9"/>
  <c r="F67" i="9"/>
  <c r="F68" i="9"/>
  <c r="T19" i="9"/>
  <c r="T20" i="9"/>
  <c r="P6" i="8"/>
  <c r="O6" i="8"/>
  <c r="H11" i="8"/>
  <c r="D11" i="8"/>
  <c r="J86" i="8"/>
  <c r="J112" i="8" s="1"/>
  <c r="F86" i="8"/>
  <c r="F112" i="8" s="1"/>
  <c r="H30" i="9"/>
  <c r="H33" i="9"/>
  <c r="B27" i="9"/>
  <c r="B33" i="9"/>
  <c r="G88" i="9"/>
  <c r="B108" i="9" s="1"/>
  <c r="J19" i="9"/>
  <c r="K27" i="9" s="1"/>
  <c r="G28" i="8"/>
  <c r="G23" i="10"/>
  <c r="G15" i="10"/>
  <c r="H14" i="10"/>
  <c r="I12" i="10"/>
  <c r="I31" i="8"/>
  <c r="I7" i="8"/>
  <c r="I90" i="8"/>
  <c r="C30" i="8"/>
  <c r="H7" i="8"/>
  <c r="H31" i="8"/>
  <c r="H90" i="8"/>
  <c r="D13" i="1"/>
  <c r="D7" i="8"/>
  <c r="D31" i="8"/>
  <c r="D90" i="8"/>
  <c r="J6" i="8"/>
  <c r="J30" i="8"/>
  <c r="F6" i="8"/>
  <c r="F30" i="8"/>
  <c r="K29" i="8"/>
  <c r="K110" i="8"/>
  <c r="G29" i="8"/>
  <c r="G110" i="8"/>
  <c r="C29" i="8"/>
  <c r="C110" i="8"/>
  <c r="J3" i="8"/>
  <c r="J88" i="8"/>
  <c r="F3" i="8"/>
  <c r="F88" i="8"/>
  <c r="I44" i="8"/>
  <c r="I10" i="8"/>
  <c r="E44" i="8"/>
  <c r="E10" i="8"/>
  <c r="K76" i="7"/>
  <c r="K82" i="7"/>
  <c r="B84" i="7" s="1"/>
  <c r="B77" i="9" s="1"/>
  <c r="K74" i="7"/>
  <c r="K66" i="7"/>
  <c r="K72" i="7"/>
  <c r="K77" i="7"/>
  <c r="K71" i="7"/>
  <c r="C6" i="9" s="1"/>
  <c r="D30" i="9" s="1"/>
  <c r="K73" i="7"/>
  <c r="J27" i="8"/>
  <c r="J28" i="8" s="1"/>
  <c r="G30" i="8"/>
  <c r="G6" i="8"/>
  <c r="D29" i="8"/>
  <c r="D110" i="8"/>
  <c r="G3" i="8"/>
  <c r="G88" i="8"/>
  <c r="F10" i="8"/>
  <c r="F44" i="8"/>
  <c r="J13" i="1"/>
  <c r="J69" i="7" s="1"/>
  <c r="J31" i="8"/>
  <c r="J7" i="8"/>
  <c r="J90" i="8"/>
  <c r="F13" i="1"/>
  <c r="F14" i="1" s="1"/>
  <c r="F31" i="8"/>
  <c r="F7" i="8"/>
  <c r="F90" i="8"/>
  <c r="H30" i="8"/>
  <c r="H6" i="8"/>
  <c r="D30" i="8"/>
  <c r="D6" i="8"/>
  <c r="I29" i="8"/>
  <c r="I110" i="8"/>
  <c r="E29" i="8"/>
  <c r="E110" i="8"/>
  <c r="H3" i="8"/>
  <c r="H88" i="8"/>
  <c r="D3" i="8"/>
  <c r="D88" i="8"/>
  <c r="K10" i="8"/>
  <c r="K44" i="8"/>
  <c r="G10" i="8"/>
  <c r="G44" i="8"/>
  <c r="C44" i="8"/>
  <c r="N44" i="8" s="1"/>
  <c r="H13" i="1"/>
  <c r="H69" i="7" s="1"/>
  <c r="J11" i="8"/>
  <c r="F11" i="8"/>
  <c r="H86" i="8"/>
  <c r="H112" i="8" s="1"/>
  <c r="D86" i="8"/>
  <c r="D112" i="8" s="1"/>
  <c r="D27" i="8"/>
  <c r="D28" i="8" s="1"/>
  <c r="F27" i="8"/>
  <c r="E13" i="1"/>
  <c r="E31" i="8"/>
  <c r="E7" i="8"/>
  <c r="E90" i="8"/>
  <c r="K30" i="8"/>
  <c r="K6" i="8"/>
  <c r="H29" i="8"/>
  <c r="H110" i="8"/>
  <c r="K3" i="8"/>
  <c r="N14" i="9" s="1"/>
  <c r="K88" i="8"/>
  <c r="C88" i="8"/>
  <c r="J10" i="8"/>
  <c r="J44" i="8"/>
  <c r="K13" i="1"/>
  <c r="K31" i="8"/>
  <c r="K7" i="8"/>
  <c r="K90" i="8"/>
  <c r="G13" i="1"/>
  <c r="G31" i="8"/>
  <c r="G7" i="8"/>
  <c r="G90" i="8"/>
  <c r="C31" i="8"/>
  <c r="C90" i="8"/>
  <c r="I6" i="8"/>
  <c r="I30" i="8"/>
  <c r="E6" i="8"/>
  <c r="E30" i="8"/>
  <c r="J29" i="8"/>
  <c r="J110" i="8"/>
  <c r="F29" i="8"/>
  <c r="F110" i="8"/>
  <c r="I3" i="8"/>
  <c r="I88" i="8"/>
  <c r="E3" i="8"/>
  <c r="E88" i="8"/>
  <c r="H44" i="8"/>
  <c r="H10" i="8"/>
  <c r="D44" i="8"/>
  <c r="D10" i="8"/>
  <c r="L82" i="7"/>
  <c r="L77" i="7"/>
  <c r="G6" i="9" s="1"/>
  <c r="L76" i="7"/>
  <c r="F6" i="9" s="1"/>
  <c r="L71" i="7"/>
  <c r="L66" i="7"/>
  <c r="L74" i="7"/>
  <c r="E6" i="9" s="1"/>
  <c r="L72" i="7"/>
  <c r="I13" i="1"/>
  <c r="E27" i="8"/>
  <c r="E28" i="8" s="1"/>
  <c r="I23" i="2"/>
  <c r="E23" i="2"/>
  <c r="J23" i="2"/>
  <c r="E1" i="2"/>
  <c r="E1" i="4"/>
  <c r="E1" i="3"/>
  <c r="H16" i="2"/>
  <c r="H48" i="8" s="1"/>
  <c r="D16" i="2"/>
  <c r="D48" i="8" s="1"/>
  <c r="K23" i="2"/>
  <c r="G16" i="2"/>
  <c r="G48" i="8" s="1"/>
  <c r="F23" i="2"/>
  <c r="C23" i="2"/>
  <c r="I16" i="2"/>
  <c r="I48" i="8" s="1"/>
  <c r="E16" i="2"/>
  <c r="E48" i="8" s="1"/>
  <c r="K16" i="2"/>
  <c r="C16" i="2"/>
  <c r="G23" i="2"/>
  <c r="J16" i="2"/>
  <c r="J48" i="8" s="1"/>
  <c r="F16" i="2"/>
  <c r="F48" i="8" s="1"/>
  <c r="E6" i="1"/>
  <c r="H23" i="2"/>
  <c r="D23" i="2"/>
  <c r="I6" i="1"/>
  <c r="J6" i="1"/>
  <c r="F6" i="1"/>
  <c r="K6" i="1"/>
  <c r="G6" i="1"/>
  <c r="C6" i="1"/>
  <c r="H6" i="1"/>
  <c r="D6" i="1"/>
  <c r="B6" i="1"/>
  <c r="H1" i="1"/>
  <c r="N111" i="12" l="1"/>
  <c r="B90" i="13" s="1"/>
  <c r="C14" i="1"/>
  <c r="D8" i="8"/>
  <c r="F30" i="9"/>
  <c r="E30" i="9"/>
  <c r="J14" i="1"/>
  <c r="F69" i="7"/>
  <c r="F70" i="7" s="1"/>
  <c r="C4" i="9"/>
  <c r="E5" i="9"/>
  <c r="E7" i="9" s="1"/>
  <c r="D5" i="9"/>
  <c r="Q86" i="8"/>
  <c r="D4" i="9"/>
  <c r="G4" i="9"/>
  <c r="K48" i="8"/>
  <c r="L35" i="8" s="1"/>
  <c r="L48" i="8"/>
  <c r="L49" i="8" s="1"/>
  <c r="B24" i="9"/>
  <c r="L90" i="9"/>
  <c r="L91" i="9" s="1"/>
  <c r="K28" i="8"/>
  <c r="A24" i="9"/>
  <c r="G3" i="9"/>
  <c r="J30" i="9"/>
  <c r="J33" i="9"/>
  <c r="F4" i="9"/>
  <c r="N5" i="8"/>
  <c r="P5" i="8"/>
  <c r="O5" i="8"/>
  <c r="O44" i="8"/>
  <c r="G8" i="8"/>
  <c r="K8" i="8"/>
  <c r="O14" i="9" s="1"/>
  <c r="P8" i="8"/>
  <c r="O8" i="8"/>
  <c r="E8" i="8"/>
  <c r="D69" i="7"/>
  <c r="D123" i="8" s="1"/>
  <c r="N5" i="9"/>
  <c r="N3" i="9"/>
  <c r="N4" i="9"/>
  <c r="P21" i="9"/>
  <c r="P20" i="9"/>
  <c r="P19" i="9"/>
  <c r="C3" i="9"/>
  <c r="E3" i="9"/>
  <c r="D3" i="9"/>
  <c r="K30" i="9"/>
  <c r="K33" i="9"/>
  <c r="F3" i="9"/>
  <c r="L19" i="9"/>
  <c r="L18" i="9"/>
  <c r="L21" i="9"/>
  <c r="L20" i="9"/>
  <c r="K90" i="9"/>
  <c r="K91" i="9" s="1"/>
  <c r="P5" i="9"/>
  <c r="P4" i="9"/>
  <c r="P3" i="9"/>
  <c r="D14" i="1"/>
  <c r="F28" i="8"/>
  <c r="K5" i="9"/>
  <c r="K4" i="9"/>
  <c r="K3" i="9"/>
  <c r="C5" i="9"/>
  <c r="E4" i="9"/>
  <c r="P18" i="9"/>
  <c r="F5" i="9"/>
  <c r="G14" i="1"/>
  <c r="H14" i="1"/>
  <c r="I8" i="8"/>
  <c r="F4" i="10"/>
  <c r="E69" i="7"/>
  <c r="E123" i="8" s="1"/>
  <c r="E14" i="1"/>
  <c r="K14" i="1"/>
  <c r="J12" i="10"/>
  <c r="I14" i="10"/>
  <c r="H23" i="10"/>
  <c r="H15" i="10"/>
  <c r="D19" i="1"/>
  <c r="D5" i="8"/>
  <c r="C24" i="2"/>
  <c r="C48" i="8"/>
  <c r="D49" i="8"/>
  <c r="D89" i="8"/>
  <c r="D35" i="8"/>
  <c r="D87" i="8"/>
  <c r="F73" i="8"/>
  <c r="F76" i="8" s="1"/>
  <c r="F61" i="8"/>
  <c r="G19" i="1"/>
  <c r="G5" i="8"/>
  <c r="O112" i="8"/>
  <c r="N112" i="8"/>
  <c r="Q112" i="8"/>
  <c r="P112" i="8"/>
  <c r="D73" i="8"/>
  <c r="D76" i="8" s="1"/>
  <c r="D61" i="8"/>
  <c r="H73" i="8"/>
  <c r="H76" i="8" s="1"/>
  <c r="H61" i="8"/>
  <c r="J19" i="1"/>
  <c r="J5" i="8"/>
  <c r="E89" i="8"/>
  <c r="E49" i="8"/>
  <c r="E35" i="8"/>
  <c r="E87" i="8"/>
  <c r="G89" i="8"/>
  <c r="G35" i="8"/>
  <c r="G87" i="8"/>
  <c r="G49" i="8"/>
  <c r="F123" i="8"/>
  <c r="G73" i="8"/>
  <c r="G76" i="8" s="1"/>
  <c r="G61" i="8"/>
  <c r="K73" i="8"/>
  <c r="K76" i="8" s="1"/>
  <c r="K61" i="8"/>
  <c r="Q44" i="8"/>
  <c r="D24" i="2"/>
  <c r="P44" i="8"/>
  <c r="P86" i="8"/>
  <c r="I69" i="7"/>
  <c r="G69" i="7"/>
  <c r="K19" i="1"/>
  <c r="K5" i="8"/>
  <c r="F89" i="8"/>
  <c r="F49" i="8"/>
  <c r="F35" i="8"/>
  <c r="F87" i="8"/>
  <c r="E73" i="8"/>
  <c r="E76" i="8" s="1"/>
  <c r="E61" i="8"/>
  <c r="J73" i="8"/>
  <c r="J76" i="8" s="1"/>
  <c r="J61" i="8"/>
  <c r="I19" i="1"/>
  <c r="I5" i="8"/>
  <c r="I89" i="8"/>
  <c r="I49" i="8"/>
  <c r="I35" i="8"/>
  <c r="I87" i="8"/>
  <c r="J70" i="7"/>
  <c r="J123" i="8"/>
  <c r="C73" i="8"/>
  <c r="I73" i="8"/>
  <c r="I76" i="8" s="1"/>
  <c r="I61" i="8"/>
  <c r="C19" i="1"/>
  <c r="C5" i="8"/>
  <c r="E19" i="1"/>
  <c r="E5" i="8"/>
  <c r="H19" i="1"/>
  <c r="H5" i="8"/>
  <c r="F19" i="1"/>
  <c r="F5" i="8"/>
  <c r="J89" i="8"/>
  <c r="J49" i="8"/>
  <c r="J35" i="8"/>
  <c r="J87" i="8"/>
  <c r="Q48" i="8"/>
  <c r="H49" i="8"/>
  <c r="H35" i="8"/>
  <c r="H89" i="8"/>
  <c r="H87" i="8"/>
  <c r="H123" i="8"/>
  <c r="H70" i="7"/>
  <c r="H84" i="7"/>
  <c r="H77" i="9" s="1"/>
  <c r="G84" i="7"/>
  <c r="G77" i="9" s="1"/>
  <c r="J84" i="7"/>
  <c r="J77" i="9" s="1"/>
  <c r="F84" i="7"/>
  <c r="F77" i="9" s="1"/>
  <c r="D84" i="7"/>
  <c r="D77" i="9" s="1"/>
  <c r="C84" i="7"/>
  <c r="C77" i="9" s="1"/>
  <c r="E84" i="7"/>
  <c r="E77" i="9" s="1"/>
  <c r="L84" i="7"/>
  <c r="I84" i="7"/>
  <c r="I77" i="9" s="1"/>
  <c r="K84" i="7"/>
  <c r="I14" i="1"/>
  <c r="O86" i="8"/>
  <c r="H8" i="8"/>
  <c r="F8" i="8"/>
  <c r="J8" i="8"/>
  <c r="K69" i="7"/>
  <c r="F24" i="2"/>
  <c r="I24" i="2"/>
  <c r="E24" i="2"/>
  <c r="G24" i="2"/>
  <c r="K24" i="2"/>
  <c r="J24" i="2"/>
  <c r="H24" i="2"/>
  <c r="C3" i="4"/>
  <c r="D3" i="4"/>
  <c r="E3" i="4"/>
  <c r="F3" i="4"/>
  <c r="G3" i="4"/>
  <c r="H3" i="4"/>
  <c r="I3" i="4"/>
  <c r="J3" i="4"/>
  <c r="K3" i="4"/>
  <c r="C3" i="2"/>
  <c r="D3" i="2"/>
  <c r="E3" i="2"/>
  <c r="F3" i="2"/>
  <c r="G3" i="2"/>
  <c r="H3" i="2"/>
  <c r="I3" i="2"/>
  <c r="J3" i="2"/>
  <c r="K3" i="2"/>
  <c r="C3" i="3"/>
  <c r="D3" i="3"/>
  <c r="E3" i="3"/>
  <c r="F3" i="3"/>
  <c r="G3" i="3"/>
  <c r="H3" i="3"/>
  <c r="I3" i="3"/>
  <c r="J3" i="3"/>
  <c r="K3" i="3"/>
  <c r="C3" i="1"/>
  <c r="C1" i="8" s="1"/>
  <c r="D3" i="1"/>
  <c r="D1" i="8" s="1"/>
  <c r="E3" i="1"/>
  <c r="E1" i="8" s="1"/>
  <c r="F3" i="1"/>
  <c r="F1" i="8" s="1"/>
  <c r="G3" i="1"/>
  <c r="G1" i="8" s="1"/>
  <c r="H3" i="1"/>
  <c r="H1" i="8" s="1"/>
  <c r="I3" i="1"/>
  <c r="I1" i="8" s="1"/>
  <c r="J3" i="1"/>
  <c r="J1" i="8" s="1"/>
  <c r="K3" i="1"/>
  <c r="K1" i="8" s="1"/>
  <c r="E126" i="8" l="1"/>
  <c r="C7" i="9"/>
  <c r="R22" i="10"/>
  <c r="D70" i="7"/>
  <c r="O48" i="8"/>
  <c r="K49" i="8"/>
  <c r="K53" i="8" s="1"/>
  <c r="K67" i="8" s="1"/>
  <c r="K89" i="8"/>
  <c r="B5" i="9"/>
  <c r="O20" i="10" s="1"/>
  <c r="K87" i="8"/>
  <c r="P48" i="8"/>
  <c r="H5" i="9"/>
  <c r="H4" i="9"/>
  <c r="H3" i="9"/>
  <c r="K35" i="8"/>
  <c r="L77" i="9"/>
  <c r="K77" i="9"/>
  <c r="N35" i="8"/>
  <c r="I33" i="9" s="1"/>
  <c r="J126" i="8"/>
  <c r="E70" i="7"/>
  <c r="I23" i="10"/>
  <c r="I15" i="10"/>
  <c r="K12" i="10"/>
  <c r="K14" i="10" s="1"/>
  <c r="J14" i="10"/>
  <c r="G36" i="8"/>
  <c r="G63" i="8" s="1"/>
  <c r="G80" i="8" s="1"/>
  <c r="G108" i="8" s="1"/>
  <c r="G26" i="8"/>
  <c r="J36" i="8"/>
  <c r="J63" i="8" s="1"/>
  <c r="J80" i="8" s="1"/>
  <c r="J108" i="8" s="1"/>
  <c r="J26" i="8"/>
  <c r="F36" i="8"/>
  <c r="F63" i="8" s="1"/>
  <c r="F80" i="8" s="1"/>
  <c r="F108" i="8" s="1"/>
  <c r="F26" i="8"/>
  <c r="G70" i="7"/>
  <c r="G123" i="8"/>
  <c r="G126" i="8" s="1"/>
  <c r="G53" i="8"/>
  <c r="G67" i="8" s="1"/>
  <c r="G52" i="8"/>
  <c r="G66" i="8" s="1"/>
  <c r="D52" i="8"/>
  <c r="D53" i="8"/>
  <c r="K36" i="8"/>
  <c r="K63" i="8" s="1"/>
  <c r="K80" i="8" s="1"/>
  <c r="K108" i="8" s="1"/>
  <c r="K26" i="8"/>
  <c r="K70" i="7"/>
  <c r="K123" i="8"/>
  <c r="K126" i="8" s="1"/>
  <c r="F52" i="8"/>
  <c r="F66" i="8" s="1"/>
  <c r="F53" i="8"/>
  <c r="F67" i="8" s="1"/>
  <c r="H36" i="8"/>
  <c r="H63" i="8" s="1"/>
  <c r="H80" i="8" s="1"/>
  <c r="H108" i="8" s="1"/>
  <c r="H26" i="8"/>
  <c r="D36" i="8"/>
  <c r="D63" i="8" s="1"/>
  <c r="D80" i="8" s="1"/>
  <c r="D108" i="8" s="1"/>
  <c r="D26" i="8"/>
  <c r="C76" i="8"/>
  <c r="D126" i="8"/>
  <c r="E53" i="8"/>
  <c r="E67" i="8" s="1"/>
  <c r="E52" i="8"/>
  <c r="E66" i="8" s="1"/>
  <c r="H126" i="8"/>
  <c r="F126" i="8"/>
  <c r="C36" i="8"/>
  <c r="C63" i="8" s="1"/>
  <c r="C80" i="8" s="1"/>
  <c r="C108" i="8" s="1"/>
  <c r="C26" i="8"/>
  <c r="H52" i="8"/>
  <c r="H53" i="8"/>
  <c r="J52" i="8"/>
  <c r="J53" i="8"/>
  <c r="I53" i="8"/>
  <c r="I67" i="8" s="1"/>
  <c r="I52" i="8"/>
  <c r="I66" i="8" s="1"/>
  <c r="I36" i="8"/>
  <c r="I63" i="8" s="1"/>
  <c r="I80" i="8" s="1"/>
  <c r="I108" i="8" s="1"/>
  <c r="I26" i="8"/>
  <c r="E36" i="8"/>
  <c r="E63" i="8" s="1"/>
  <c r="E80" i="8" s="1"/>
  <c r="E108" i="8" s="1"/>
  <c r="E26" i="8"/>
  <c r="I70" i="7"/>
  <c r="I123" i="8"/>
  <c r="I126" i="8" s="1"/>
  <c r="C89" i="8"/>
  <c r="C35" i="8"/>
  <c r="C49" i="8"/>
  <c r="C87" i="8"/>
  <c r="N48" i="8"/>
  <c r="B7" i="4"/>
  <c r="B6" i="4"/>
  <c r="B5" i="4"/>
  <c r="C11" i="8" s="1"/>
  <c r="B4" i="4"/>
  <c r="C10" i="8" s="1"/>
  <c r="B3" i="4"/>
  <c r="K21" i="2"/>
  <c r="J21" i="2"/>
  <c r="I21" i="2"/>
  <c r="H21" i="2"/>
  <c r="G21" i="2"/>
  <c r="F21" i="2"/>
  <c r="E21" i="2"/>
  <c r="D21" i="2"/>
  <c r="C21" i="2"/>
  <c r="B18" i="2"/>
  <c r="B21" i="2" s="1"/>
  <c r="B13" i="2"/>
  <c r="B12" i="2"/>
  <c r="B11" i="2"/>
  <c r="B10" i="2"/>
  <c r="B8" i="2"/>
  <c r="B7" i="2"/>
  <c r="B6" i="2"/>
  <c r="B3" i="2"/>
  <c r="J14" i="3"/>
  <c r="H14" i="3"/>
  <c r="F14" i="3"/>
  <c r="D14" i="3"/>
  <c r="B12" i="3"/>
  <c r="B11" i="3"/>
  <c r="B10" i="3"/>
  <c r="B9" i="3"/>
  <c r="B8" i="3"/>
  <c r="B7" i="3"/>
  <c r="B4" i="3"/>
  <c r="B3" i="3"/>
  <c r="L15" i="1"/>
  <c r="B12" i="1"/>
  <c r="R18" i="12" s="1"/>
  <c r="B5" i="13" s="1"/>
  <c r="B11" i="1"/>
  <c r="B10" i="1"/>
  <c r="B9" i="1"/>
  <c r="B8" i="1"/>
  <c r="B20" i="2"/>
  <c r="B3" i="1"/>
  <c r="O49" i="8" l="1"/>
  <c r="L52" i="8"/>
  <c r="L66" i="8" s="1"/>
  <c r="L53" i="8"/>
  <c r="L67" i="8" s="1"/>
  <c r="Q49" i="8"/>
  <c r="N7" i="8"/>
  <c r="C18" i="12"/>
  <c r="C7" i="8"/>
  <c r="R18" i="10"/>
  <c r="R17" i="10"/>
  <c r="R19" i="10"/>
  <c r="R26" i="10"/>
  <c r="R27" i="10"/>
  <c r="P49" i="8"/>
  <c r="K52" i="8"/>
  <c r="K66" i="8" s="1"/>
  <c r="C6" i="8"/>
  <c r="N6" i="8"/>
  <c r="I4" i="9"/>
  <c r="I3" i="9"/>
  <c r="J5" i="9"/>
  <c r="K23" i="10"/>
  <c r="K15" i="10"/>
  <c r="J23" i="10"/>
  <c r="J15" i="10"/>
  <c r="B13" i="1"/>
  <c r="N8" i="8" s="1"/>
  <c r="B23" i="2"/>
  <c r="J67" i="8"/>
  <c r="Q53" i="8"/>
  <c r="H66" i="8"/>
  <c r="H67" i="8"/>
  <c r="D66" i="8"/>
  <c r="N49" i="8"/>
  <c r="C52" i="8"/>
  <c r="C53" i="8"/>
  <c r="P108" i="8"/>
  <c r="O108" i="8"/>
  <c r="Q108" i="8"/>
  <c r="D67" i="8"/>
  <c r="O53" i="8"/>
  <c r="J66" i="8"/>
  <c r="B16" i="2"/>
  <c r="B24" i="2" s="1"/>
  <c r="B14" i="3"/>
  <c r="E14" i="3"/>
  <c r="I14" i="3"/>
  <c r="C14" i="3"/>
  <c r="G14" i="3"/>
  <c r="K14" i="3"/>
  <c r="K23" i="1"/>
  <c r="G20" i="2"/>
  <c r="I20" i="2"/>
  <c r="K20" i="2"/>
  <c r="D20" i="2"/>
  <c r="F20" i="2"/>
  <c r="H20" i="2"/>
  <c r="J20" i="2"/>
  <c r="C20" i="2"/>
  <c r="E20" i="2"/>
  <c r="L12" i="1"/>
  <c r="L34" i="7" s="1"/>
  <c r="L67" i="7" s="1"/>
  <c r="K24" i="1"/>
  <c r="L11" i="1"/>
  <c r="L33" i="7" s="1"/>
  <c r="L10" i="1"/>
  <c r="L32" i="7" s="1"/>
  <c r="L9" i="1"/>
  <c r="L31" i="7" s="1"/>
  <c r="L8" i="1"/>
  <c r="L7" i="1"/>
  <c r="L6" i="1"/>
  <c r="L28" i="7" s="1"/>
  <c r="L75" i="7" s="1"/>
  <c r="D6" i="9" s="1"/>
  <c r="D7" i="9" s="1"/>
  <c r="A1" i="3"/>
  <c r="A1" i="2"/>
  <c r="A1" i="4" s="1"/>
  <c r="H23" i="1"/>
  <c r="I24" i="1"/>
  <c r="I23" i="1"/>
  <c r="J24" i="1"/>
  <c r="J23" i="1"/>
  <c r="B19" i="1"/>
  <c r="H24" i="1" s="1"/>
  <c r="P53" i="8" l="1"/>
  <c r="L63" i="7"/>
  <c r="L64" i="7" s="1"/>
  <c r="M8" i="1"/>
  <c r="L29" i="7"/>
  <c r="L23" i="7" s="1"/>
  <c r="Q52" i="8"/>
  <c r="P52" i="8"/>
  <c r="O52" i="8"/>
  <c r="Q6" i="8"/>
  <c r="L30" i="8"/>
  <c r="L6" i="8"/>
  <c r="C66" i="8"/>
  <c r="N52" i="8"/>
  <c r="B14" i="1"/>
  <c r="C8" i="8"/>
  <c r="L5" i="8"/>
  <c r="Q5" i="8"/>
  <c r="L23" i="1"/>
  <c r="N23" i="1" s="1"/>
  <c r="N4" i="1" s="1"/>
  <c r="L3" i="8"/>
  <c r="N11" i="9"/>
  <c r="N12" i="9"/>
  <c r="N13" i="9"/>
  <c r="L88" i="8"/>
  <c r="L87" i="8"/>
  <c r="M9" i="1"/>
  <c r="L29" i="8"/>
  <c r="L110" i="8"/>
  <c r="P6" i="9" s="1"/>
  <c r="L13" i="1"/>
  <c r="L7" i="8"/>
  <c r="Q7" i="8"/>
  <c r="L31" i="8"/>
  <c r="N6" i="9" s="1"/>
  <c r="L90" i="8"/>
  <c r="L89" i="8"/>
  <c r="N53" i="8"/>
  <c r="C67" i="8"/>
  <c r="L19" i="1"/>
  <c r="L24" i="1" s="1"/>
  <c r="M24" i="1" s="1"/>
  <c r="L5" i="1"/>
  <c r="N11" i="1"/>
  <c r="M11" i="1"/>
  <c r="N9" i="1"/>
  <c r="N8" i="1"/>
  <c r="L62" i="7" l="1"/>
  <c r="L73" i="7" s="1"/>
  <c r="B97" i="9"/>
  <c r="B7" i="10"/>
  <c r="B6" i="9"/>
  <c r="B8" i="9" s="1"/>
  <c r="L69" i="7"/>
  <c r="N29" i="8"/>
  <c r="O29" i="8"/>
  <c r="F3" i="10"/>
  <c r="L61" i="8"/>
  <c r="H6" i="9" s="1"/>
  <c r="P7" i="9"/>
  <c r="A30" i="9"/>
  <c r="M23" i="1"/>
  <c r="M4" i="1" s="1"/>
  <c r="M6" i="1" s="1"/>
  <c r="N67" i="8"/>
  <c r="Q67" i="8"/>
  <c r="P67" i="8"/>
  <c r="O67" i="8"/>
  <c r="O90" i="8"/>
  <c r="Q90" i="8"/>
  <c r="P90" i="8"/>
  <c r="N30" i="8"/>
  <c r="O30" i="8"/>
  <c r="Q30" i="8"/>
  <c r="P30" i="8"/>
  <c r="L27" i="8"/>
  <c r="K6" i="9" s="1"/>
  <c r="L4" i="8"/>
  <c r="Q4" i="8"/>
  <c r="O89" i="8"/>
  <c r="Q89" i="8"/>
  <c r="P89" i="8"/>
  <c r="N110" i="8"/>
  <c r="Q110" i="8"/>
  <c r="O110" i="8"/>
  <c r="P110" i="8"/>
  <c r="O88" i="8"/>
  <c r="Q88" i="8"/>
  <c r="P88" i="8"/>
  <c r="P29" i="8"/>
  <c r="Q29" i="8"/>
  <c r="N66" i="8"/>
  <c r="O66" i="8"/>
  <c r="Q66" i="8"/>
  <c r="P66" i="8"/>
  <c r="N31" i="8"/>
  <c r="L73" i="8"/>
  <c r="P31" i="8"/>
  <c r="O31" i="8"/>
  <c r="M31" i="8"/>
  <c r="M61" i="8" s="1"/>
  <c r="Q31" i="8"/>
  <c r="L14" i="1"/>
  <c r="O13" i="9"/>
  <c r="L8" i="8"/>
  <c r="Q87" i="8"/>
  <c r="O87" i="8"/>
  <c r="P87" i="8"/>
  <c r="Q14" i="8"/>
  <c r="Q3" i="8"/>
  <c r="Q13" i="8"/>
  <c r="N24" i="1"/>
  <c r="N6" i="1" s="1"/>
  <c r="B7" i="9" l="1"/>
  <c r="J6" i="9"/>
  <c r="G17" i="10"/>
  <c r="G19" i="10" s="1"/>
  <c r="G20" i="10" s="1"/>
  <c r="H17" i="10"/>
  <c r="H19" i="10" s="1"/>
  <c r="H20" i="10" s="1"/>
  <c r="F17" i="10"/>
  <c r="F19" i="10" s="1"/>
  <c r="F20" i="10" s="1"/>
  <c r="K17" i="10"/>
  <c r="K19" i="10" s="1"/>
  <c r="K20" i="10" s="1"/>
  <c r="I17" i="10"/>
  <c r="I19" i="10" s="1"/>
  <c r="I20" i="10" s="1"/>
  <c r="D17" i="10"/>
  <c r="D19" i="10" s="1"/>
  <c r="D20" i="10" s="1"/>
  <c r="B17" i="10"/>
  <c r="B19" i="10" s="1"/>
  <c r="B20" i="10" s="1"/>
  <c r="B21" i="10" s="1"/>
  <c r="J17" i="10"/>
  <c r="J19" i="10" s="1"/>
  <c r="J20" i="10" s="1"/>
  <c r="E17" i="10"/>
  <c r="E19" i="10" s="1"/>
  <c r="E20" i="10" s="1"/>
  <c r="C17" i="10"/>
  <c r="C19" i="10" s="1"/>
  <c r="C20" i="10" s="1"/>
  <c r="B3" i="9"/>
  <c r="J4" i="9" s="1"/>
  <c r="L123" i="8"/>
  <c r="B4" i="9"/>
  <c r="J3" i="9" s="1"/>
  <c r="L70" i="7"/>
  <c r="N27" i="8"/>
  <c r="O27" i="8"/>
  <c r="P27" i="8"/>
  <c r="N7" i="9"/>
  <c r="C33" i="9"/>
  <c r="D33" i="9"/>
  <c r="K7" i="9"/>
  <c r="C30" i="9"/>
  <c r="J8" i="9"/>
  <c r="J7" i="9"/>
  <c r="C27" i="9"/>
  <c r="F27" i="9" s="1"/>
  <c r="O12" i="9"/>
  <c r="L126" i="8"/>
  <c r="Q8" i="8"/>
  <c r="O11" i="9"/>
  <c r="L25" i="1"/>
  <c r="H25" i="1"/>
  <c r="J25" i="1"/>
  <c r="I25" i="1"/>
  <c r="K25" i="1"/>
  <c r="M25" i="1" s="1"/>
  <c r="M14" i="1" s="1"/>
  <c r="L28" i="8"/>
  <c r="Q27" i="8"/>
  <c r="N73" i="8"/>
  <c r="L76" i="8"/>
  <c r="O73" i="8"/>
  <c r="Q73" i="8"/>
  <c r="P73" i="8"/>
  <c r="M10" i="1"/>
  <c r="M12" i="1" s="1"/>
  <c r="M13" i="1" s="1"/>
  <c r="N10" i="1"/>
  <c r="N12" i="1" s="1"/>
  <c r="N13" i="1" s="1"/>
  <c r="N5" i="1"/>
  <c r="M5" i="1"/>
  <c r="Q123" i="8" l="1"/>
  <c r="O123" i="8"/>
  <c r="P123" i="8"/>
  <c r="C16" i="10"/>
  <c r="B24" i="10"/>
  <c r="O126" i="8"/>
  <c r="I6" i="9"/>
  <c r="Q126" i="8"/>
  <c r="N28" i="8"/>
  <c r="P28" i="8"/>
  <c r="O28" i="8"/>
  <c r="P126" i="8"/>
  <c r="M30" i="9"/>
  <c r="G27" i="9"/>
  <c r="G30" i="9"/>
  <c r="G33" i="9"/>
  <c r="N25" i="1"/>
  <c r="N14" i="1" s="1"/>
  <c r="N15" i="1" s="1"/>
  <c r="Q28" i="8"/>
  <c r="N76" i="8"/>
  <c r="P76" i="8"/>
  <c r="O76" i="8"/>
  <c r="Q76" i="8"/>
  <c r="M15" i="1"/>
  <c r="C21" i="10" l="1"/>
  <c r="C24" i="10" s="1"/>
  <c r="B25" i="10"/>
  <c r="B26" i="10"/>
  <c r="C36" i="10" s="1"/>
  <c r="B36" i="10"/>
  <c r="D36" i="10" s="1"/>
  <c r="I8" i="9"/>
  <c r="B30" i="9"/>
  <c r="I7" i="9"/>
  <c r="G36" i="10" l="1"/>
  <c r="I36" i="10" s="1"/>
  <c r="B27" i="10"/>
  <c r="H36" i="10" s="1"/>
  <c r="C26" i="10"/>
  <c r="C25" i="10"/>
  <c r="B37" i="10"/>
  <c r="D16" i="10"/>
  <c r="C37" i="10" l="1"/>
  <c r="D37" i="10"/>
  <c r="G37" i="10"/>
  <c r="C27" i="10"/>
  <c r="D21" i="10"/>
  <c r="D24" i="10" s="1"/>
  <c r="E16" i="10" l="1"/>
  <c r="E21" i="10" s="1"/>
  <c r="E24" i="10" s="1"/>
  <c r="I37" i="10"/>
  <c r="H37" i="10"/>
  <c r="D26" i="10"/>
  <c r="D25" i="10"/>
  <c r="B38" i="10"/>
  <c r="D38" i="10" l="1"/>
  <c r="C38" i="10"/>
  <c r="G38" i="10"/>
  <c r="D27" i="10"/>
  <c r="F16" i="10"/>
  <c r="E25" i="10"/>
  <c r="E26" i="10"/>
  <c r="B39" i="10"/>
  <c r="F21" i="10" l="1"/>
  <c r="F24" i="10" s="1"/>
  <c r="D39" i="10"/>
  <c r="C39" i="10"/>
  <c r="I38" i="10"/>
  <c r="H38" i="10"/>
  <c r="G39" i="10"/>
  <c r="E27" i="10"/>
  <c r="G16" i="10" l="1"/>
  <c r="I39" i="10"/>
  <c r="H39" i="10"/>
  <c r="B40" i="10"/>
  <c r="F26" i="10"/>
  <c r="F25" i="10"/>
  <c r="G40" i="10" l="1"/>
  <c r="F27" i="10"/>
  <c r="G21" i="10"/>
  <c r="G24" i="10" s="1"/>
  <c r="C40" i="10"/>
  <c r="D40" i="10"/>
  <c r="H16" i="10" l="1"/>
  <c r="B41" i="10"/>
  <c r="G26" i="10"/>
  <c r="G25" i="10"/>
  <c r="I40" i="10"/>
  <c r="H40" i="10"/>
  <c r="C41" i="10" l="1"/>
  <c r="D41" i="10"/>
  <c r="G27" i="10"/>
  <c r="G41" i="10"/>
  <c r="H21" i="10"/>
  <c r="H24" i="10" s="1"/>
  <c r="I16" i="10" l="1"/>
  <c r="I21" i="10" s="1"/>
  <c r="I24" i="10" s="1"/>
  <c r="H41" i="10"/>
  <c r="I41" i="10"/>
  <c r="H25" i="10"/>
  <c r="B42" i="10"/>
  <c r="H26" i="10"/>
  <c r="D42" i="10" l="1"/>
  <c r="C42" i="10"/>
  <c r="H27" i="10"/>
  <c r="G42" i="10"/>
  <c r="J16" i="10"/>
  <c r="I25" i="10"/>
  <c r="B43" i="10"/>
  <c r="I26" i="10"/>
  <c r="I42" i="10" l="1"/>
  <c r="H42" i="10"/>
  <c r="C43" i="10"/>
  <c r="D43" i="10"/>
  <c r="I27" i="10"/>
  <c r="G43" i="10"/>
  <c r="J21" i="10"/>
  <c r="J24" i="10" s="1"/>
  <c r="J26" i="10" l="1"/>
  <c r="B44" i="10"/>
  <c r="J25" i="10"/>
  <c r="I43" i="10"/>
  <c r="H43" i="10"/>
  <c r="K16" i="10"/>
  <c r="K21" i="10" s="1"/>
  <c r="K24" i="10" s="1"/>
  <c r="G44" i="10" l="1"/>
  <c r="J27" i="10"/>
  <c r="K26" i="10"/>
  <c r="K25" i="10"/>
  <c r="B45" i="10"/>
  <c r="C44" i="10"/>
  <c r="D44" i="10"/>
  <c r="G45" i="10" l="1"/>
  <c r="K27" i="10"/>
  <c r="D45" i="10"/>
  <c r="O5" i="10" s="1"/>
  <c r="C45" i="10"/>
  <c r="O4" i="10"/>
  <c r="O6" i="10" s="1"/>
  <c r="H44" i="10"/>
  <c r="I44" i="10"/>
  <c r="O7" i="10" l="1"/>
  <c r="O10" i="10" s="1"/>
  <c r="R4" i="10"/>
  <c r="R6" i="10" s="1"/>
  <c r="I45" i="10"/>
  <c r="R5" i="10" s="1"/>
  <c r="H45" i="10"/>
  <c r="R7" i="10" l="1"/>
  <c r="R9" i="10" s="1"/>
  <c r="R15" i="10" s="1"/>
  <c r="O11" i="10"/>
  <c r="O9" i="10"/>
  <c r="O15" i="10" s="1"/>
  <c r="R11" i="10" l="1"/>
  <c r="R10" i="10"/>
</calcChain>
</file>

<file path=xl/comments1.xml><?xml version="1.0" encoding="utf-8"?>
<comments xmlns="http://schemas.openxmlformats.org/spreadsheetml/2006/main">
  <authors>
    <author>Kumar Saurabh</author>
  </authors>
  <commentList>
    <comment ref="B95" authorId="0" shapeId="0">
      <text>
        <r>
          <rPr>
            <b/>
            <sz val="9"/>
            <color indexed="81"/>
            <rFont val="Tahoma"/>
            <family val="2"/>
          </rPr>
          <t>Kumar Saurabh:</t>
        </r>
        <r>
          <rPr>
            <sz val="9"/>
            <color indexed="81"/>
            <rFont val="Tahoma"/>
            <family val="2"/>
          </rPr>
          <t xml:space="preserve">
COGS or Sales?</t>
        </r>
      </text>
    </comment>
    <comment ref="B98" authorId="0" shapeId="0">
      <text>
        <r>
          <rPr>
            <b/>
            <sz val="9"/>
            <color indexed="81"/>
            <rFont val="Tahoma"/>
            <family val="2"/>
          </rPr>
          <t>Kumar Saurabh:</t>
        </r>
        <r>
          <rPr>
            <sz val="9"/>
            <color indexed="81"/>
            <rFont val="Tahoma"/>
            <family val="2"/>
          </rPr>
          <t xml:space="preserve">
COGS or Sales?</t>
        </r>
      </text>
    </comment>
  </commentList>
</comments>
</file>

<file path=xl/comments2.xml><?xml version="1.0" encoding="utf-8"?>
<comments xmlns="http://schemas.openxmlformats.org/spreadsheetml/2006/main">
  <authors>
    <author>Kumar Saurabh</author>
  </authors>
  <commentList>
    <comment ref="A52" authorId="0" shapeId="0">
      <text>
        <r>
          <rPr>
            <b/>
            <sz val="9"/>
            <color indexed="81"/>
            <rFont val="Tahoma"/>
            <family val="2"/>
          </rPr>
          <t>Kumar Saurabh:</t>
        </r>
        <r>
          <rPr>
            <sz val="9"/>
            <color indexed="81"/>
            <rFont val="Tahoma"/>
            <family val="2"/>
          </rPr>
          <t xml:space="preserve">
Trades Receiavbles</t>
        </r>
      </text>
    </comment>
    <comment ref="A57" authorId="0" shapeId="0">
      <text>
        <r>
          <rPr>
            <b/>
            <sz val="9"/>
            <color indexed="81"/>
            <rFont val="Tahoma"/>
            <family val="2"/>
          </rPr>
          <t>Kumar Saurabh:</t>
        </r>
        <r>
          <rPr>
            <sz val="9"/>
            <color indexed="81"/>
            <rFont val="Tahoma"/>
            <family val="2"/>
          </rPr>
          <t xml:space="preserve">
EBIT/Capital Employed where capital employed = total asset - current liability</t>
        </r>
      </text>
    </comment>
  </commentList>
</comments>
</file>

<file path=xl/comments3.xml><?xml version="1.0" encoding="utf-8"?>
<comments xmlns="http://schemas.openxmlformats.org/spreadsheetml/2006/main">
  <authors>
    <author>Kumar Saurabh</author>
    <author/>
  </authors>
  <commentList>
    <comment ref="A43" authorId="0" shapeId="0">
      <text>
        <r>
          <rPr>
            <b/>
            <sz val="9"/>
            <color indexed="81"/>
            <rFont val="Tahoma"/>
            <family val="2"/>
          </rPr>
          <t>Kumar Saurabh:</t>
        </r>
        <r>
          <rPr>
            <sz val="9"/>
            <color indexed="81"/>
            <rFont val="Tahoma"/>
            <family val="2"/>
          </rPr>
          <t xml:space="preserve">
asset/(shareholder equity + liability)</t>
        </r>
      </text>
    </comment>
    <comment ref="A44" authorId="0" shapeId="0">
      <text>
        <r>
          <rPr>
            <b/>
            <sz val="9"/>
            <color indexed="81"/>
            <rFont val="Tahoma"/>
            <family val="2"/>
          </rPr>
          <t>Kumar Saurabh:</t>
        </r>
        <r>
          <rPr>
            <sz val="9"/>
            <color indexed="81"/>
            <rFont val="Tahoma"/>
            <family val="2"/>
          </rPr>
          <t xml:space="preserve">
borrowing/pat</t>
        </r>
      </text>
    </comment>
    <comment ref="A45" authorId="0" shapeId="0">
      <text>
        <r>
          <rPr>
            <b/>
            <sz val="9"/>
            <color indexed="81"/>
            <rFont val="Tahoma"/>
            <family val="2"/>
          </rPr>
          <t>Kumar Saurabh:</t>
        </r>
        <r>
          <rPr>
            <sz val="9"/>
            <color indexed="81"/>
            <rFont val="Tahoma"/>
            <family val="2"/>
          </rPr>
          <t xml:space="preserve">
working capital/pat</t>
        </r>
      </text>
    </comment>
    <comment ref="A46" authorId="1" shapeId="0">
      <text>
        <r>
          <rPr>
            <b/>
            <sz val="9"/>
            <color indexed="8"/>
            <rFont val="Tahoma"/>
            <family val="2"/>
            <charset val="1"/>
          </rPr>
          <t xml:space="preserve">Shrey Sao:
</t>
        </r>
        <r>
          <rPr>
            <sz val="9"/>
            <color indexed="8"/>
            <rFont val="Tahoma"/>
            <family val="2"/>
            <charset val="1"/>
          </rPr>
          <t>measures potential credit risk. Borrowing + other liability</t>
        </r>
      </text>
    </comment>
    <comment ref="A47" authorId="1" shapeId="0">
      <text>
        <r>
          <rPr>
            <b/>
            <sz val="9"/>
            <color indexed="8"/>
            <rFont val="Tahoma"/>
            <family val="2"/>
            <charset val="1"/>
          </rPr>
          <t xml:space="preserve">Shrey Sao:
</t>
        </r>
        <r>
          <rPr>
            <sz val="9"/>
            <color indexed="8"/>
            <rFont val="Tahoma"/>
            <family val="2"/>
            <charset val="1"/>
          </rPr>
          <t>measures current credit risk borrowing/shareholder equity</t>
        </r>
      </text>
    </comment>
    <comment ref="A49" authorId="1" shapeId="0">
      <text>
        <r>
          <rPr>
            <sz val="9"/>
            <color indexed="8"/>
            <rFont val="Tahoma"/>
            <family val="2"/>
            <charset val="1"/>
          </rPr>
          <t xml:space="preserve">
</t>
        </r>
      </text>
    </comment>
    <comment ref="A50" authorId="0" shapeId="0">
      <text>
        <r>
          <rPr>
            <b/>
            <sz val="9"/>
            <color indexed="81"/>
            <rFont val="Tahoma"/>
            <family val="2"/>
          </rPr>
          <t>Kumar Saurabh:</t>
        </r>
        <r>
          <rPr>
            <sz val="9"/>
            <color indexed="81"/>
            <rFont val="Tahoma"/>
            <family val="2"/>
          </rPr>
          <t xml:space="preserve">
how quickly cash is being collcted from debtors</t>
        </r>
      </text>
    </comment>
    <comment ref="A51" authorId="0" shapeId="0">
      <text>
        <r>
          <rPr>
            <b/>
            <sz val="9"/>
            <color indexed="81"/>
            <rFont val="Tahoma"/>
            <family val="2"/>
          </rPr>
          <t>Kumar Saurabh:</t>
        </r>
        <r>
          <rPr>
            <sz val="9"/>
            <color indexed="81"/>
            <rFont val="Tahoma"/>
            <family val="2"/>
          </rPr>
          <t xml:space="preserve">
how quickly inventory is converted to sales</t>
        </r>
      </text>
    </comment>
    <comment ref="A52" authorId="1" shapeId="0">
      <text>
        <r>
          <rPr>
            <b/>
            <sz val="9"/>
            <color indexed="8"/>
            <rFont val="Tahoma"/>
            <family val="2"/>
            <charset val="1"/>
          </rPr>
          <t xml:space="preserve">Shrey Sao:
</t>
        </r>
        <r>
          <rPr>
            <sz val="9"/>
            <color indexed="8"/>
            <rFont val="Tahoma"/>
            <family val="2"/>
            <charset val="1"/>
          </rPr>
          <t>inventory days and this measure the same thing,included because I am comfortable with using it.</t>
        </r>
      </text>
    </comment>
    <comment ref="A64" authorId="1" shapeId="0">
      <text>
        <r>
          <rPr>
            <b/>
            <sz val="9"/>
            <color indexed="8"/>
            <rFont val="Tahoma"/>
            <family val="2"/>
            <charset val="1"/>
          </rPr>
          <t xml:space="preserve">Shrey Sao:
</t>
        </r>
        <r>
          <rPr>
            <sz val="9"/>
            <color indexed="8"/>
            <rFont val="Tahoma"/>
            <family val="2"/>
            <charset val="1"/>
          </rPr>
          <t>The high capital turns is encouraging and suggests the company's transition from being margin oriented to more of sale oriented.</t>
        </r>
      </text>
    </comment>
    <comment ref="A70" authorId="1" shapeId="0">
      <text>
        <r>
          <rPr>
            <b/>
            <sz val="9"/>
            <color indexed="8"/>
            <rFont val="Tahoma"/>
            <family val="2"/>
            <charset val="1"/>
          </rPr>
          <t xml:space="preserve">Shrey Sao:
</t>
        </r>
        <r>
          <rPr>
            <sz val="9"/>
            <color indexed="8"/>
            <rFont val="Tahoma"/>
            <family val="2"/>
            <charset val="1"/>
          </rPr>
          <t xml:space="preserve">The high and improved return ratios indicate that the sale effect has dominated the margin effect,but the growth rate of cost much higher than sales remains a concern coupled with the irratic earning track record over the years.
 </t>
        </r>
      </text>
    </comment>
  </commentList>
</comments>
</file>

<file path=xl/comments4.xml><?xml version="1.0" encoding="utf-8"?>
<comments xmlns="http://schemas.openxmlformats.org/spreadsheetml/2006/main">
  <authors>
    <author>Vishal</author>
    <author>Safal Niveshak</author>
  </authors>
  <commentList>
    <comment ref="A10" authorId="0" shapeId="0">
      <text>
        <r>
          <rPr>
            <b/>
            <sz val="9"/>
            <color indexed="81"/>
            <rFont val="Tahoma"/>
            <family val="2"/>
          </rPr>
          <t>Safal Niveshak:</t>
        </r>
        <r>
          <rPr>
            <sz val="9"/>
            <color indexed="81"/>
            <rFont val="Tahoma"/>
            <family val="2"/>
          </rPr>
          <t xml:space="preserve"> In a 2-stage DCF, we break the next 10 years into two phases of five years each, and then calculate the FCF growth based on growth rates assumed in Cells B9 and B10 below.
</t>
        </r>
      </text>
    </comment>
    <comment ref="A26" authorId="0" shapeId="0">
      <text>
        <r>
          <rPr>
            <b/>
            <sz val="9"/>
            <color indexed="81"/>
            <rFont val="Tahoma"/>
            <family val="2"/>
          </rPr>
          <t xml:space="preserve">Safal Niveshak: </t>
        </r>
        <r>
          <rPr>
            <sz val="9"/>
            <color indexed="81"/>
            <rFont val="Tahoma"/>
            <family val="2"/>
          </rPr>
          <t>Be conservative!
Prefer to value stocks based on the present data rather than what will happen in the future. Anything could happen even in 1 year, and if the growth rate is too high and the company cannot meet those expectations, there is no where to go but down.
The best practice is to keep growth rates as low as possible. If the company looks to be undervalued with 0% growth rate, you have more upside than downside. The higher you set the growth rate, the higher you set up the downside potential. Just be reasonable and use common sense.
On most of the stocks I value, I rarely go above 15% (for the first 5-year period), and that’s only for the safest, cash-generating businesses like Colgate, HUL, Infosys etc. This is approx. 2x India's expected long-term GDP growth rate.
The goal of choosing a growth rate is to find a number which is conservative yet not very low or pessimistic, and close to reality in order to capture potential future gains without eliminating too many investment candidates.</t>
        </r>
      </text>
    </comment>
    <comment ref="A27" authorId="0" shapeId="0">
      <text>
        <r>
          <rPr>
            <b/>
            <sz val="9"/>
            <color indexed="81"/>
            <rFont val="Tahoma"/>
            <family val="2"/>
          </rPr>
          <t xml:space="preserve">Safal Niveshak: </t>
        </r>
        <r>
          <rPr>
            <sz val="9"/>
            <color indexed="81"/>
            <rFont val="Tahoma"/>
            <family val="2"/>
          </rPr>
          <t>Be conservative!
Prefer to value stocks based on the present data rather than what will happen in the future. Anything could happen even in 1 year, and if the growth rate is too high and the company cannot meet those expectations, there is no where to go but down.
The best practice is to keep growth rates as low as possible. If the company looks to be undervalued with 0% growth rate, you have more upside than downside. The higher you set the growth rate, the higher you set up the downside potential. Just be reasonable and use common sense.
On most of the stocks I value, I rarely go above 15% (for the first 5-year period), and that’s only for the safest, cash-generating businesses like Colgate, HUL, Infosys etc. This is approx. 2x India's expected long-term GDP growth rate.
The goal of choosing a growth rate is to find a number which is conservative yet not very low or pessimistic, and close to reality in order to capture potential future gains without eliminating too many investment candidates.</t>
        </r>
      </text>
    </comment>
    <comment ref="A28" authorId="0" shapeId="0">
      <text>
        <r>
          <rPr>
            <b/>
            <sz val="9"/>
            <color indexed="81"/>
            <rFont val="Tahoma"/>
            <family val="2"/>
          </rPr>
          <t xml:space="preserve">Safal Niveshak: </t>
        </r>
        <r>
          <rPr>
            <sz val="9"/>
            <color indexed="81"/>
            <rFont val="Tahoma"/>
            <family val="2"/>
          </rPr>
          <t xml:space="preserve">This is the rate at which you discount the future cash flows to the present value.
So what would be a good rate? Considering that the “average” market return is about 10-15%, a minimum discount rate should be set to 10%. I use 10% as a minimum for stable and predictable companies such as Colgate, Infosys, HUL while 15% is a good return for less predictable companies such as, say Opto Circuits.
</t>
        </r>
        <r>
          <rPr>
            <b/>
            <sz val="9"/>
            <color indexed="81"/>
            <rFont val="Tahoma"/>
            <family val="2"/>
          </rPr>
          <t xml:space="preserve">
</t>
        </r>
        <r>
          <rPr>
            <sz val="9"/>
            <color indexed="81"/>
            <rFont val="Tahoma"/>
            <family val="2"/>
          </rPr>
          <t>Also, do not adjust the entire risk of a investment in its discount rate. In other words, if Opto Circuits is a "riskier" investment that say Titan, adjust for some risk in the cash flow growth estimates and some in the discount rate.
Ignore simple yet junk models like CAPM to get the discount rate. People in the finance world pour out their hearts to obtain the most accurate discount rate by analyzing risk free rates, beta, risk premium and WACC. It's just short of rubbish!
What’s the point in learning every method of hammering a nail when all you have to do is hit it on the head. So do not over-complicate this aspect.
The beauty of old school Graham and Buffett is that their investments are based on common sense, not volatility and other mumbo jumbo.
There is no hard and fast rule for choosing a discount rate. Using a high discount rate to discount the future cash just means you are willing to pay less today for the future cash and vice versa.
Do understand that - “You can’t compensate for risk by using a high discount rate.” 
The important aspect is not deciding upon a discount rate, but in being logical and reasonable about cash projections.
Another way you can look at discount rate is to not using different discount rates for different businesses. It won't really matter what rate you use as long as you are being intellectually honest and conservative about future cash flows.</t>
        </r>
      </text>
    </comment>
    <comment ref="A29" authorId="0" shapeId="0">
      <text>
        <r>
          <rPr>
            <b/>
            <sz val="9"/>
            <color indexed="81"/>
            <rFont val="Tahoma"/>
            <family val="2"/>
          </rPr>
          <t xml:space="preserve">Safal Niveshak: </t>
        </r>
        <r>
          <rPr>
            <sz val="9"/>
            <color indexed="81"/>
            <rFont val="Tahoma"/>
            <family val="2"/>
          </rPr>
          <t xml:space="preserve">This is the rate at which you discount the future cash flows to the present value.
So what would be a good rate? Considering that the “average” market return is about 10-15%, a minimum discount rate should be set to 10%. I use 10% as a minimum for stable and predictable companies such as Colgate, Infosys, HUL while 15% is a good return for less predictable companies such as, say Opto Circuits.
</t>
        </r>
        <r>
          <rPr>
            <b/>
            <sz val="9"/>
            <color indexed="81"/>
            <rFont val="Tahoma"/>
            <family val="2"/>
          </rPr>
          <t xml:space="preserve">
</t>
        </r>
        <r>
          <rPr>
            <sz val="9"/>
            <color indexed="81"/>
            <rFont val="Tahoma"/>
            <family val="2"/>
          </rPr>
          <t>Also, do not adjust the entire risk of a investment in its discount rate. In other words, if Opto Circuits is a "riskier" investment that say Titan, adjust for some risk in the cash flow growth estimates and some in the discount rate.
Ignore simple yet junk models like CAPM to get the discount rate. People in the finance world pour out their hearts to obtain the most accurate discount rate by analyzing risk free rates, beta, risk premium and WACC. It's just short of rubbish!
What’s the point in learning every method of hammering a nail when all you have to do is hit it on the head. So do not over-complicate this aspect.
The beauty of old school Graham and Buffett is that their investments are based on common sense, not volatility and other mumbo jumbo.
There is no hard and fast rule for choosing a discount rate. Using a high discount rate to discount the future cash just means you are willing to pay less today for the future cash and vice versa.
Do understand that - “You can’t compensate for risk by using a high discount rate.” 
The important aspect is not deciding upon a discount rate, but in being logical and reasonable about cash projections.
Another way you can look at discount rate is to not using different discount rates for different businesses. It won't really matter what rate you use as long as you are being intellectually honest and conservative about future cash flows.</t>
        </r>
      </text>
    </comment>
    <comment ref="A30" authorId="0" shapeId="0">
      <text>
        <r>
          <rPr>
            <b/>
            <sz val="9"/>
            <color indexed="81"/>
            <rFont val="Tahoma"/>
            <family val="2"/>
          </rPr>
          <t xml:space="preserve">Safal Niveshak: </t>
        </r>
        <r>
          <rPr>
            <sz val="9"/>
            <color indexed="81"/>
            <rFont val="Tahoma"/>
            <family val="2"/>
          </rPr>
          <t xml:space="preserve">Since it isn’t practical to forecast cash flows for an infinite number of years, it’s usual to end the DCF with a terminal value.
The best terminal growth rate is 0%, and the highest you should go (for safest businesses) is 2%.
</t>
        </r>
      </text>
    </comment>
    <comment ref="A31" authorId="0" shapeId="0">
      <text>
        <r>
          <rPr>
            <b/>
            <sz val="9"/>
            <color indexed="81"/>
            <rFont val="Tahoma"/>
            <family val="2"/>
          </rPr>
          <t xml:space="preserve">Safal Niveshak: </t>
        </r>
        <r>
          <rPr>
            <sz val="9"/>
            <color indexed="81"/>
            <rFont val="Tahoma"/>
            <family val="2"/>
          </rPr>
          <t xml:space="preserve">Since it isn’t practical to forecast cash flows for an infinite number of years, it’s usual to end the DCF with a terminal value.
The best terminal growth rate is 0%, and the highest you should go (for safest businesses) is 2%.
</t>
        </r>
      </text>
    </comment>
    <comment ref="A33" authorId="1" shapeId="0">
      <text>
        <r>
          <rPr>
            <b/>
            <sz val="9"/>
            <color indexed="81"/>
            <rFont val="Tahoma"/>
            <family val="2"/>
          </rPr>
          <t xml:space="preserve">Safal Niveshak: </t>
        </r>
        <r>
          <rPr>
            <sz val="9"/>
            <color indexed="81"/>
            <rFont val="Tahoma"/>
            <family val="2"/>
          </rPr>
          <t xml:space="preserve">If this figure is negative, i.e., in brackets, it means that the company has more Cash than Debt. This is automatically added to the PV of cash flows below to give a complete picture of the company's valuation.
</t>
        </r>
      </text>
    </comment>
  </commentList>
</comments>
</file>

<file path=xl/sharedStrings.xml><?xml version="1.0" encoding="utf-8"?>
<sst xmlns="http://schemas.openxmlformats.org/spreadsheetml/2006/main" count="1103" uniqueCount="822">
  <si>
    <t>COMPANY NAME</t>
  </si>
  <si>
    <t>SCREENER.IN</t>
  </si>
  <si>
    <t>Narration</t>
  </si>
  <si>
    <t>Trailing</t>
  </si>
  <si>
    <t>Best Case</t>
  </si>
  <si>
    <t>Worst Case</t>
  </si>
  <si>
    <t>Sales</t>
  </si>
  <si>
    <t>Expenses</t>
  </si>
  <si>
    <t>Operating Profit</t>
  </si>
  <si>
    <t>Other Income</t>
  </si>
  <si>
    <t>Depreciation</t>
  </si>
  <si>
    <t>Interest</t>
  </si>
  <si>
    <t>Profit before tax</t>
  </si>
  <si>
    <t>Tax</t>
  </si>
  <si>
    <t>Net profit</t>
  </si>
  <si>
    <t>RATIOS:</t>
  </si>
  <si>
    <t>Price to earning</t>
  </si>
  <si>
    <t>Dividend Payout</t>
  </si>
  <si>
    <t>OPM</t>
  </si>
  <si>
    <t>TRENDS:</t>
  </si>
  <si>
    <t>BEST</t>
  </si>
  <si>
    <t>WORST</t>
  </si>
  <si>
    <t>Sales Growth</t>
  </si>
  <si>
    <t>Price to Earning</t>
  </si>
  <si>
    <t>Equity Share Capital</t>
  </si>
  <si>
    <t>Reserves</t>
  </si>
  <si>
    <t>Total</t>
  </si>
  <si>
    <t>Net Block</t>
  </si>
  <si>
    <t>Capital Work in Progress</t>
  </si>
  <si>
    <t>Investments</t>
  </si>
  <si>
    <t>Working Capital</t>
  </si>
  <si>
    <t>Face Value</t>
  </si>
  <si>
    <t>Cash from Operating Activity</t>
  </si>
  <si>
    <t>Cash from Investing Activity</t>
  </si>
  <si>
    <t>Cash from Financing Activity</t>
  </si>
  <si>
    <t>Net Cash Flow</t>
  </si>
  <si>
    <t>PLEASE DO NOT MAKE ANY CHANGES TO THIS SHEET</t>
  </si>
  <si>
    <t>PROFIT &amp; LOSS</t>
  </si>
  <si>
    <t>Report Date</t>
  </si>
  <si>
    <t>Quarters</t>
  </si>
  <si>
    <t>BALANCE SHEET</t>
  </si>
  <si>
    <t>CASH FLOW:</t>
  </si>
  <si>
    <t>Number of shares</t>
  </si>
  <si>
    <t>Current Price</t>
  </si>
  <si>
    <t>Debtors</t>
  </si>
  <si>
    <t>Inventory</t>
  </si>
  <si>
    <t>Debtor Days</t>
  </si>
  <si>
    <t>Inventory Turnover</t>
  </si>
  <si>
    <t>You can customize this workbook as you want.</t>
  </si>
  <si>
    <t>Please don't edit the "Data Sheet" only.</t>
  </si>
  <si>
    <t>After customization, you can upload this back on Screener.</t>
  </si>
  <si>
    <t>Upload on:</t>
  </si>
  <si>
    <t>Download your customized workbooks now onwards.</t>
  </si>
  <si>
    <t>Now whenever you will "Export to excel" from Screener, it will export your customized file.</t>
  </si>
  <si>
    <t>TESTING:</t>
  </si>
  <si>
    <t>This is a testing feature currently.</t>
  </si>
  <si>
    <t>You can report any formula errors on the worksheet at:</t>
  </si>
  <si>
    <t>How to use it?</t>
  </si>
  <si>
    <t>EPS</t>
  </si>
  <si>
    <t>Price</t>
  </si>
  <si>
    <t>Return on Equity</t>
  </si>
  <si>
    <t>Return on Capital Emp</t>
  </si>
  <si>
    <t>LATEST VERSION</t>
  </si>
  <si>
    <t>CURRENT VERSION</t>
  </si>
  <si>
    <t>ATUL LTD</t>
  </si>
  <si>
    <t>META</t>
  </si>
  <si>
    <t>10 YEARS</t>
  </si>
  <si>
    <t>7 YEARS</t>
  </si>
  <si>
    <t>5 YEARS</t>
  </si>
  <si>
    <t>3 YEARS</t>
  </si>
  <si>
    <t>RECENT</t>
  </si>
  <si>
    <t>Dividend Amount</t>
  </si>
  <si>
    <t>Borrowings</t>
  </si>
  <si>
    <t>Other Liabilities</t>
  </si>
  <si>
    <t>Other Assets</t>
  </si>
  <si>
    <t>No. of Equity Shares</t>
  </si>
  <si>
    <t>New Bonus Shares</t>
  </si>
  <si>
    <t>DERIVED:</t>
  </si>
  <si>
    <t>PRICE:</t>
  </si>
  <si>
    <t>Receivables</t>
  </si>
  <si>
    <t>Market Capitalization</t>
  </si>
  <si>
    <t>Raw Material Cost</t>
  </si>
  <si>
    <t>Change in Inventory</t>
  </si>
  <si>
    <t>Power and Fuel</t>
  </si>
  <si>
    <t>Other Mfr. Exp</t>
  </si>
  <si>
    <t>Employee Cost</t>
  </si>
  <si>
    <t>Selling and admin</t>
  </si>
  <si>
    <t>Other Expenses</t>
  </si>
  <si>
    <t>Cash &amp; Bank</t>
  </si>
  <si>
    <t>Face value</t>
  </si>
  <si>
    <t>Adjusted Equity Shares in Cr</t>
  </si>
  <si>
    <t>You can add custom formating, add conditional formating, add your own formulas… do ANYTHING.</t>
  </si>
  <si>
    <t xml:space="preserve"> https://www.screener.in/excel/</t>
  </si>
  <si>
    <t xml:space="preserve"> screener.feedback@dalal-street.in</t>
  </si>
  <si>
    <t>COPY PASTE DATA FROM ANY FINANCIAL WEBSITE: ONLY FOR THE FIELDS MARKED GREEN BELOW</t>
  </si>
  <si>
    <t>CONSOLIDATED</t>
  </si>
  <si>
    <t>Cash &amp; Bank Balance</t>
  </si>
  <si>
    <t>Current Assets</t>
  </si>
  <si>
    <t>Current Liabilities</t>
  </si>
  <si>
    <t>Working Capital (check)</t>
  </si>
  <si>
    <t>COPY PASTE DATA FROM ANNUAL REPORTS: ONLY FOR THE FIELDS MARKED ORANGE BELOW</t>
  </si>
  <si>
    <t>Operating Expenses/Capex</t>
  </si>
  <si>
    <t>Raw Materials</t>
  </si>
  <si>
    <t>Employee cost</t>
  </si>
  <si>
    <t>Advertising and sales promotion</t>
  </si>
  <si>
    <t>Freight, transport and distribution</t>
  </si>
  <si>
    <t>Royalty</t>
  </si>
  <si>
    <t>Power and fuel</t>
  </si>
  <si>
    <t>Miscellaneous expenses</t>
  </si>
  <si>
    <t>R&amp;D Cost</t>
  </si>
  <si>
    <t>Capex</t>
  </si>
  <si>
    <t>Gross Profit</t>
  </si>
  <si>
    <t>EBITDA</t>
  </si>
  <si>
    <t>Depreciation &amp; Amortisation</t>
  </si>
  <si>
    <t>EBIT</t>
  </si>
  <si>
    <t>PBT</t>
  </si>
  <si>
    <t>PAT</t>
  </si>
  <si>
    <t>Dividends</t>
  </si>
  <si>
    <t>Market Cap</t>
  </si>
  <si>
    <t>Current Market Cap</t>
  </si>
  <si>
    <t>Equity</t>
  </si>
  <si>
    <t>Reserves &amp; Surplus</t>
  </si>
  <si>
    <t>Networth</t>
  </si>
  <si>
    <t>Secured Loans</t>
  </si>
  <si>
    <t>Unsecured Loans</t>
  </si>
  <si>
    <t>Current Asset</t>
  </si>
  <si>
    <t>Total Assets</t>
  </si>
  <si>
    <t>Net Fixed Assets</t>
  </si>
  <si>
    <t>Cash</t>
  </si>
  <si>
    <t>Net Other Assets</t>
  </si>
  <si>
    <t>Invested Capital</t>
  </si>
  <si>
    <t>Capital Employed</t>
  </si>
  <si>
    <t>Total Liability</t>
  </si>
  <si>
    <t>Operating Cash Flow</t>
  </si>
  <si>
    <t>Free Cash Flow</t>
  </si>
  <si>
    <t>Tax Rate</t>
  </si>
  <si>
    <t>NOPAT</t>
  </si>
  <si>
    <t>MktCap+Dividend</t>
  </si>
  <si>
    <t>Retained Profit</t>
  </si>
  <si>
    <t>P/E</t>
  </si>
  <si>
    <t>PEG</t>
  </si>
  <si>
    <t>Price/Book</t>
  </si>
  <si>
    <t>Price/operating CashFlow</t>
  </si>
  <si>
    <t>Price/Free Cashflow</t>
  </si>
  <si>
    <t>Price/Sales</t>
  </si>
  <si>
    <t>EV/EBITDA</t>
  </si>
  <si>
    <t>Dividend Yield</t>
  </si>
  <si>
    <t>Enterprise Value</t>
  </si>
  <si>
    <t>Z-Weights</t>
  </si>
  <si>
    <t>Working Capital/Total Assets</t>
  </si>
  <si>
    <t>Retained Profits/Total Assets</t>
  </si>
  <si>
    <t>EBIT/Total Assets</t>
  </si>
  <si>
    <t>Market Cap/Total Liabilities</t>
  </si>
  <si>
    <t>Sales/Total Assets</t>
  </si>
  <si>
    <t>Altman Z-Score</t>
  </si>
  <si>
    <t>Z &gt; 2.99 -“Safe” Zones</t>
  </si>
  <si>
    <t>1.81 &lt; Z &lt; 2.99 -“Grey” Zones</t>
  </si>
  <si>
    <t>Z &lt; 1.81 -“Distress” Zones</t>
  </si>
  <si>
    <t>Growth Ratio</t>
  </si>
  <si>
    <t>Calculation</t>
  </si>
  <si>
    <t>CAGR Overall</t>
  </si>
  <si>
    <t>CAGR 5 Years</t>
  </si>
  <si>
    <t>CAGR 3 Years</t>
  </si>
  <si>
    <t>Indicator 1</t>
  </si>
  <si>
    <t>Indicator 2</t>
  </si>
  <si>
    <t>P&amp;L Items</t>
  </si>
  <si>
    <t>Revenue Growth Rate</t>
  </si>
  <si>
    <t>YoY Change</t>
  </si>
  <si>
    <t>Expense Growth Rate</t>
  </si>
  <si>
    <t>Operating profit Growth Rate</t>
  </si>
  <si>
    <t>PBT Growth Rate</t>
  </si>
  <si>
    <t>PAT Growth Rate</t>
  </si>
  <si>
    <t>EPS Growth Rate</t>
  </si>
  <si>
    <t>Cash Flow Items</t>
  </si>
  <si>
    <t>Operating Cashflow Growth Rate</t>
  </si>
  <si>
    <t>Free Cashflow Growth Rate</t>
  </si>
  <si>
    <t>Balance Sheet Items</t>
  </si>
  <si>
    <t>Accounts Receivable Growth</t>
  </si>
  <si>
    <t>Inventory Growth</t>
  </si>
  <si>
    <t>Equity Share Capital Growth Rate</t>
  </si>
  <si>
    <t>Reserves &amp; Surplus Growth Rate</t>
  </si>
  <si>
    <t>Shareholder's Equity Growth Rate</t>
  </si>
  <si>
    <t>Total Asset Growth Rate</t>
  </si>
  <si>
    <t>Net Fixed Asset Growth Rate</t>
  </si>
  <si>
    <t>Current Asset Growth Rate</t>
  </si>
  <si>
    <t>Total Liability Growth Rate</t>
  </si>
  <si>
    <t>Long Term Borrowing Growth Rate</t>
  </si>
  <si>
    <t>Current Liability Growth Rate</t>
  </si>
  <si>
    <t>Depreciation/NFA</t>
  </si>
  <si>
    <t>Margin Ratio</t>
  </si>
  <si>
    <t>CAGR</t>
  </si>
  <si>
    <t>Min</t>
  </si>
  <si>
    <t>Max</t>
  </si>
  <si>
    <t>Avg.</t>
  </si>
  <si>
    <t>Expense as a % of Revenue</t>
  </si>
  <si>
    <t>COGS/Net Revenue from Operations</t>
  </si>
  <si>
    <t>Operating profit Margin</t>
  </si>
  <si>
    <t>Operating profit/Net Revenue from Operations</t>
  </si>
  <si>
    <t>Interest as a % of Revenue</t>
  </si>
  <si>
    <t>Interest/Net Revenue from Operations</t>
  </si>
  <si>
    <t>PBT Margin</t>
  </si>
  <si>
    <t>PBT/Net Revenue from Operations</t>
  </si>
  <si>
    <t>PAT Margin</t>
  </si>
  <si>
    <t>PAT/Net Revenue from Operations</t>
  </si>
  <si>
    <t>Accounts Receivable as a % of Revenue</t>
  </si>
  <si>
    <t>Inventory as a % of Revenue</t>
  </si>
  <si>
    <t>WC as a % of Revenue</t>
  </si>
  <si>
    <t>Derived Numbers</t>
  </si>
  <si>
    <t>High Price</t>
  </si>
  <si>
    <t>Low Price</t>
  </si>
  <si>
    <t>No. of Employees</t>
  </si>
  <si>
    <t>For IT Companies</t>
  </si>
  <si>
    <t>Share Price</t>
  </si>
  <si>
    <t>Share Price on Recorded Date</t>
  </si>
  <si>
    <t>No. of Shares Outstanding(Crores)</t>
  </si>
  <si>
    <t>Value</t>
  </si>
  <si>
    <t>Share Price* No. of Equity Shares</t>
  </si>
  <si>
    <t>Sum 9 Years</t>
  </si>
  <si>
    <t>Sum 5 Years</t>
  </si>
  <si>
    <t>Sum 3 Years</t>
  </si>
  <si>
    <t>Total Dividend Paid</t>
  </si>
  <si>
    <t>Operating Cash flow</t>
  </si>
  <si>
    <t>CAPEX</t>
  </si>
  <si>
    <t>Change in Net Block + Change in WIP + Depreciation</t>
  </si>
  <si>
    <t>Free Cash Flow without dividend</t>
  </si>
  <si>
    <t>Cashflow from Operations - CAPEX</t>
  </si>
  <si>
    <t>Cashflow from Operations - CAPEX- Dividend Payout</t>
  </si>
  <si>
    <t>Working Capital1</t>
  </si>
  <si>
    <t>Current Assets - Current Liabilities</t>
  </si>
  <si>
    <t>Working Capital2 (Without Cash)</t>
  </si>
  <si>
    <t>Current Assets - Current Liabilities - Cash and Cash Equivalents</t>
  </si>
  <si>
    <t>Invested Capital1 (Equity + Long Debt)</t>
  </si>
  <si>
    <t>Invested Capital2 (Equity + Long Debt- Cash)</t>
  </si>
  <si>
    <t>invested Capital3(Net Block + Work in Progress + WC w/o cash)</t>
  </si>
  <si>
    <t>invested Capital4(Net Block  + WC w/o cash)</t>
  </si>
  <si>
    <t>(Total Asset - Current Liabilities) or (Shareholder's Equity + Debt Liabilities)</t>
  </si>
  <si>
    <t>Gross Asset</t>
  </si>
  <si>
    <t>Net Fixed Asset</t>
  </si>
  <si>
    <t>Depreciation as a % of NPAT</t>
  </si>
  <si>
    <t>NFAT</t>
  </si>
  <si>
    <t>SSGR</t>
  </si>
  <si>
    <t>Return Ratios</t>
  </si>
  <si>
    <t>Return on Invested Capital1</t>
  </si>
  <si>
    <t>Return on Invested Capital2</t>
  </si>
  <si>
    <t>Return on Invested Capital3</t>
  </si>
  <si>
    <t>Return on Invested Capital4</t>
  </si>
  <si>
    <t>Return on Asset</t>
  </si>
  <si>
    <t>PAT/Total Assets</t>
  </si>
  <si>
    <t>Return on Real Assets</t>
  </si>
  <si>
    <t>Return on Capital Employed</t>
  </si>
  <si>
    <t>EBIT/Capital Employed</t>
  </si>
  <si>
    <t>Return on Invested Capital</t>
  </si>
  <si>
    <t>PAT/Shareholder's Equity</t>
  </si>
  <si>
    <t>Profit Margin</t>
  </si>
  <si>
    <t>PAT/Sales</t>
  </si>
  <si>
    <t>Asset turnover</t>
  </si>
  <si>
    <t>Sales/Asset</t>
  </si>
  <si>
    <t>Financial Leverage</t>
  </si>
  <si>
    <t>Asset/Shareholder's Equity</t>
  </si>
  <si>
    <t>ROE by Dupont Analysis</t>
  </si>
  <si>
    <t>Profit Margin*Asset Turnover*Financial Leverage</t>
  </si>
  <si>
    <t>Dividend Paid/Share Price</t>
  </si>
  <si>
    <t>Dividend Payout Ratio</t>
  </si>
  <si>
    <t>Dividend Paid/Net Revenue from Operations</t>
  </si>
  <si>
    <t>Operating Ratio</t>
  </si>
  <si>
    <t>Accounts Recievable as a % of Sales</t>
  </si>
  <si>
    <t>Accounts Receivable/Sales</t>
  </si>
  <si>
    <t>Inventory as a % of Sales</t>
  </si>
  <si>
    <t>Inventory/Sales</t>
  </si>
  <si>
    <t>Cash as a % of Long Term Debt</t>
  </si>
  <si>
    <t>Cash/Long Term Debt</t>
  </si>
  <si>
    <t>Interest as a % of Long Term Debt</t>
  </si>
  <si>
    <t>Reciebales and Inventory as a % of Sales</t>
  </si>
  <si>
    <t>(Receivables+Inventory)/Sales</t>
  </si>
  <si>
    <t>Working Capital Ratio</t>
  </si>
  <si>
    <t>Current Assets/Current Liabilities</t>
  </si>
  <si>
    <t>Working Capital as a % of Sales</t>
  </si>
  <si>
    <t>Working Capital/Sales</t>
  </si>
  <si>
    <t>Capital Employed as a % of Sales</t>
  </si>
  <si>
    <t>Capital Employed/Sales</t>
  </si>
  <si>
    <t>Working Capital as a % of PAT</t>
  </si>
  <si>
    <t>Working Capital/PAT</t>
  </si>
  <si>
    <t>Capital Employed as a % of PAT</t>
  </si>
  <si>
    <t>PAT/Capital Employed</t>
  </si>
  <si>
    <t>Working Capital as a % of CFO</t>
  </si>
  <si>
    <t>Working Capital/CFO</t>
  </si>
  <si>
    <t>Capital Employed as a % of CFO</t>
  </si>
  <si>
    <t>Capital Employed/CFO</t>
  </si>
  <si>
    <t>Working Capital Growth Rate</t>
  </si>
  <si>
    <t>Capital Employed Growth Rate</t>
  </si>
  <si>
    <t>Sales/Inventory</t>
  </si>
  <si>
    <t>Fixed Asset Turnover</t>
  </si>
  <si>
    <t>(Sales/Net Block)*365</t>
  </si>
  <si>
    <t>Revenue per Employee</t>
  </si>
  <si>
    <t>Saless/No. of Employees</t>
  </si>
  <si>
    <t>Days Inventory Outstanding/Inventory Days</t>
  </si>
  <si>
    <t>(Inventory/COGS)*365</t>
  </si>
  <si>
    <t>Days Sales Outstanding/Debtor Days</t>
  </si>
  <si>
    <t>(Accounts Receivable/Total Credit Sales)*365</t>
  </si>
  <si>
    <t>Days Payable Outstanding</t>
  </si>
  <si>
    <t>(Accounts Payable/Cost of Sales)*365</t>
  </si>
  <si>
    <t>Cash Conversion Cycle</t>
  </si>
  <si>
    <t>DIO+DSO-DPO</t>
  </si>
  <si>
    <t>Operating Cycle</t>
  </si>
  <si>
    <t>CFO</t>
  </si>
  <si>
    <t>FCF</t>
  </si>
  <si>
    <t>CFO-Capex</t>
  </si>
  <si>
    <t>Leverage Ratio</t>
  </si>
  <si>
    <t>Debt Equity Ratio</t>
  </si>
  <si>
    <t>Total Debt/Total Equity</t>
  </si>
  <si>
    <t>Interest Coverage Ratio</t>
  </si>
  <si>
    <t>EBIT/Interest Expense</t>
  </si>
  <si>
    <t>Cashflow to Debt Ratio</t>
  </si>
  <si>
    <t>Operating Cashflow/Total Debt</t>
  </si>
  <si>
    <t>Current Ratio</t>
  </si>
  <si>
    <t>Quick Ratio</t>
  </si>
  <si>
    <t>(Current Assets - Inventories)/Current Liabilities</t>
  </si>
  <si>
    <t>Cash Ratio</t>
  </si>
  <si>
    <t>(Cash + Cash Equivalent + Invested Funds)/ Current Liabilities</t>
  </si>
  <si>
    <t>Short Term Debt Coverage</t>
  </si>
  <si>
    <t>Operating Cash flow/Short Term Debt</t>
  </si>
  <si>
    <t>CAPEX Coverage</t>
  </si>
  <si>
    <t>Operating Cash Flow/CAPEX</t>
  </si>
  <si>
    <t>Operating Cash flow to Sales Ratio</t>
  </si>
  <si>
    <t>Operating Cashflow/Net Sales</t>
  </si>
  <si>
    <t>Free Cash Flow to Sales Ratio</t>
  </si>
  <si>
    <t>Free Cashflow/Net Sales</t>
  </si>
  <si>
    <t>Valuation Ratio</t>
  </si>
  <si>
    <t>Market Value of Common Stock + Market Value of Preferred Stock + Market Value of Debt + Minority Interest - Cash and Investments</t>
  </si>
  <si>
    <t>Book Value</t>
  </si>
  <si>
    <t>P/E Ratio</t>
  </si>
  <si>
    <t>Share Price/Diluted EPS</t>
  </si>
  <si>
    <t>P/B Ratio</t>
  </si>
  <si>
    <t>Share Price/Book Value per Share</t>
  </si>
  <si>
    <t>Enterprise Value/EBITDA</t>
  </si>
  <si>
    <t>PEG Ratio</t>
  </si>
  <si>
    <t>(P/E)/EPS Growth Rate</t>
  </si>
  <si>
    <t>Market Cap to Sales Ratio</t>
  </si>
  <si>
    <t>Market Capitalization/Net Revenue from Operations</t>
  </si>
  <si>
    <t>Cash per Share</t>
  </si>
  <si>
    <t>Cash and Bank Balance/no. of Outstanding Equity Shares</t>
  </si>
  <si>
    <t>Cash as a % of Share Price</t>
  </si>
  <si>
    <t>Cash per Share/Share Price</t>
  </si>
  <si>
    <t>Banking Ratio</t>
  </si>
  <si>
    <t>NIM</t>
  </si>
  <si>
    <t>(Interest Return - Interest Expense)/Average Earning Assets</t>
  </si>
  <si>
    <t>Gross NPA %</t>
  </si>
  <si>
    <t>As per Annual Report</t>
  </si>
  <si>
    <t>Net NPA %</t>
  </si>
  <si>
    <t>Capital Adequacy Ratio</t>
  </si>
  <si>
    <t>Corporate Governance Ratio</t>
  </si>
  <si>
    <t>CEO Salary as a % of PAT</t>
  </si>
  <si>
    <t>CEO Salary/PAT</t>
  </si>
  <si>
    <t>CEO Salary as a % of OCF</t>
  </si>
  <si>
    <t>CEO Salary/OCF</t>
  </si>
  <si>
    <t>CEO Salary as a % of FCF</t>
  </si>
  <si>
    <t>CEO Salary/FCF</t>
  </si>
  <si>
    <t>Promoter's Share</t>
  </si>
  <si>
    <t>Pledged Share</t>
  </si>
  <si>
    <t>Unnecessary expenses</t>
  </si>
  <si>
    <t>Unnecessary Diversification</t>
  </si>
  <si>
    <t>Historical Quick Resignations</t>
  </si>
  <si>
    <t>HISTORICAL VALUATIONS</t>
  </si>
  <si>
    <t>OPERATING AND FINANCIAL PARAMETERS</t>
  </si>
  <si>
    <t>P/B</t>
  </si>
  <si>
    <t>P/SALES</t>
  </si>
  <si>
    <t>DIVIDEND YIELD</t>
  </si>
  <si>
    <t>Earnings Yield</t>
  </si>
  <si>
    <t>COGS</t>
  </si>
  <si>
    <t>TAX</t>
  </si>
  <si>
    <t>INTEREST COVERAGE</t>
  </si>
  <si>
    <t>DEBT/EQUITY</t>
  </si>
  <si>
    <t>CURRENT RATIO</t>
  </si>
  <si>
    <t>WC/SALES</t>
  </si>
  <si>
    <t>INVENTORY DAYS</t>
  </si>
  <si>
    <t>DEBTOR DAYS</t>
  </si>
  <si>
    <t>INVENTORY TURNOVER</t>
  </si>
  <si>
    <t>DEBTOR TURNOVER</t>
  </si>
  <si>
    <t>INVENTORY %</t>
  </si>
  <si>
    <t>ACCOUNTS RECIVABLE %</t>
  </si>
  <si>
    <t>ASSET TURNOVER</t>
  </si>
  <si>
    <t>ROA</t>
  </si>
  <si>
    <t>LEVERAGE</t>
  </si>
  <si>
    <t>ROE</t>
  </si>
  <si>
    <t>ROCE</t>
  </si>
  <si>
    <t>SALARY/PAT</t>
  </si>
  <si>
    <t>PROMOTER SHAREHOLDING</t>
  </si>
  <si>
    <t>FII</t>
  </si>
  <si>
    <t>DII</t>
  </si>
  <si>
    <t>CREDIT RATING</t>
  </si>
  <si>
    <t>MIN</t>
  </si>
  <si>
    <t>MAX</t>
  </si>
  <si>
    <t>AVERGE</t>
  </si>
  <si>
    <t>CURRENT</t>
  </si>
  <si>
    <t>DISCOUNT TO AVG.</t>
  </si>
  <si>
    <t>BEST PRACTICE DISCOUNT</t>
  </si>
  <si>
    <t>DELTA NETWORTH</t>
  </si>
  <si>
    <t>DELTA MKTCAP</t>
  </si>
  <si>
    <t>IMPACT*</t>
  </si>
  <si>
    <t>CFO/PAT</t>
  </si>
  <si>
    <t>Dividend</t>
  </si>
  <si>
    <t>FCF without Div.</t>
  </si>
  <si>
    <t>FCF/CFO</t>
  </si>
  <si>
    <t>SALES GROWTH</t>
  </si>
  <si>
    <t>EPS GROWTH</t>
  </si>
  <si>
    <t>AR GROWTH</t>
  </si>
  <si>
    <t>INVENTORY GROWTH</t>
  </si>
  <si>
    <t>10/9 YR</t>
  </si>
  <si>
    <t>5 YR</t>
  </si>
  <si>
    <t>3 YR</t>
  </si>
  <si>
    <t>1 YR</t>
  </si>
  <si>
    <t>* IMPACT – Every Rupee retained added xx.yy in incremental market value</t>
  </si>
  <si>
    <t>SALES</t>
  </si>
  <si>
    <t>GROSS PROFIT</t>
  </si>
  <si>
    <t>DIVIDEND</t>
  </si>
  <si>
    <t>ROIC</t>
  </si>
  <si>
    <t>ROIIC</t>
  </si>
  <si>
    <t>EPA</t>
  </si>
  <si>
    <t>EPA/Sales</t>
  </si>
  <si>
    <t>MKTCAP</t>
  </si>
  <si>
    <t>NETWORTH</t>
  </si>
  <si>
    <t>TOTAL RETURNS</t>
  </si>
  <si>
    <t>SALARY</t>
  </si>
  <si>
    <t>PRE-TAX BOND</t>
  </si>
  <si>
    <t>10 YR CAGR</t>
  </si>
  <si>
    <t>LongTerm Bond</t>
  </si>
  <si>
    <t>5 YR CAGR</t>
  </si>
  <si>
    <t>LTB Quote</t>
  </si>
  <si>
    <t>3 YR CAGR</t>
  </si>
  <si>
    <t>Quoting @</t>
  </si>
  <si>
    <t>1 YR GROWTH</t>
  </si>
  <si>
    <t>Gross Margin</t>
  </si>
  <si>
    <t>PAT/NPM Margin</t>
  </si>
  <si>
    <t>Receivable as a % of Sales</t>
  </si>
  <si>
    <t>Interest Coverage</t>
  </si>
  <si>
    <t>Debt/Equity</t>
  </si>
  <si>
    <t>CFO 3 Year Average</t>
  </si>
  <si>
    <t>CFO/PAT 5 Year Average</t>
  </si>
  <si>
    <t>FCF/CFO 5 Year Average</t>
  </si>
  <si>
    <t>Promoter Share</t>
  </si>
  <si>
    <t>5 Years Sales Growth</t>
  </si>
  <si>
    <t>5 Years PAT Growth</t>
  </si>
  <si>
    <t>5 Years EPS Growth</t>
  </si>
  <si>
    <t>Dividend CAGR</t>
  </si>
  <si>
    <t>Sales Growth vs Peers</t>
  </si>
  <si>
    <t>PAT CAGR/Sales CAGR</t>
  </si>
  <si>
    <t>Average SSGR%</t>
  </si>
  <si>
    <t>5 Year ROIC</t>
  </si>
  <si>
    <t>5 Year ROIIC</t>
  </si>
  <si>
    <t>5 Year EPA</t>
  </si>
  <si>
    <t>5 Year EPA/Sales</t>
  </si>
  <si>
    <t>X years Salary/X Years PAT</t>
  </si>
  <si>
    <t>Capacity to Sales Growth</t>
  </si>
  <si>
    <t>Sales Volume to Sales Growth</t>
  </si>
  <si>
    <t>10 Year FCF Growth Rate</t>
  </si>
  <si>
    <t>EY</t>
  </si>
  <si>
    <t>Market Cap to Retained Earings</t>
  </si>
  <si>
    <t>Not Required</t>
  </si>
  <si>
    <t>Revenue Trend</t>
  </si>
  <si>
    <t>EPS Trend</t>
  </si>
  <si>
    <t>GM% Trend</t>
  </si>
  <si>
    <t>PAT % Trend</t>
  </si>
  <si>
    <t>Receivables Trend</t>
  </si>
  <si>
    <t>Inventory Trend</t>
  </si>
  <si>
    <t>SSGR Trend</t>
  </si>
  <si>
    <t>ROIC Trend</t>
  </si>
  <si>
    <t>WC/Sales Trend</t>
  </si>
  <si>
    <t>EPA Trend</t>
  </si>
  <si>
    <t>EPA/Sales Trend</t>
  </si>
  <si>
    <t>Debt Equity Trend</t>
  </si>
  <si>
    <t>ROA Trend</t>
  </si>
  <si>
    <t>Promoter Share Trend</t>
  </si>
  <si>
    <t>Salary Gr./PAT Gr. Trend</t>
  </si>
  <si>
    <t xml:space="preserve">    </t>
  </si>
  <si>
    <t>Long term debt/Earning</t>
  </si>
  <si>
    <t>Current liablility/Earning</t>
  </si>
  <si>
    <t>Total liability/Earning</t>
  </si>
  <si>
    <t>Inventory Days</t>
  </si>
  <si>
    <t>Inventory turnover</t>
  </si>
  <si>
    <t>Cash In/Cash Out Ratio</t>
  </si>
  <si>
    <t>CAPEX/FCF</t>
  </si>
  <si>
    <t>FCF/PAT</t>
  </si>
  <si>
    <t xml:space="preserve"> </t>
  </si>
  <si>
    <t>EBITDA Margin</t>
  </si>
  <si>
    <t>Net Margin</t>
  </si>
  <si>
    <t>Free Cash Flow/Sales</t>
  </si>
  <si>
    <t>Capital Turns</t>
  </si>
  <si>
    <t>Fixed Asset Turns</t>
  </si>
  <si>
    <t>Total Asset Turns</t>
  </si>
  <si>
    <t>RoA</t>
  </si>
  <si>
    <t>RoE</t>
  </si>
  <si>
    <t>RoCE</t>
  </si>
  <si>
    <t>RoIC</t>
  </si>
  <si>
    <t>RoIIC(1yr)</t>
  </si>
  <si>
    <t>RoIIC(3yr)</t>
  </si>
  <si>
    <t>RoIIC (5yr)</t>
  </si>
  <si>
    <t>RoIIC(10yr)</t>
  </si>
  <si>
    <t>Share Capital Increase/Decrease</t>
  </si>
  <si>
    <t>Inventory Increase/Sales Increase</t>
  </si>
  <si>
    <t>Debtors Increase/Sales Increase</t>
  </si>
  <si>
    <t>Capex/Depreciation</t>
  </si>
  <si>
    <t>Cash/Assets</t>
  </si>
  <si>
    <t>EBIT/Invested Capital</t>
  </si>
  <si>
    <t>WACC</t>
  </si>
  <si>
    <t>MktCap</t>
  </si>
  <si>
    <t>MktCap Change</t>
  </si>
  <si>
    <t>MktCap Change - EPA</t>
  </si>
  <si>
    <t>Capex/Cash Flows 10 yr</t>
  </si>
  <si>
    <t>Capex/Cash Flows 7 yr</t>
  </si>
  <si>
    <t>Capex/Cash Flows 5 yr</t>
  </si>
  <si>
    <t>Capex/Cash Flows 3 yr</t>
  </si>
  <si>
    <t>Capex/Depreciation 10 yr</t>
  </si>
  <si>
    <t>3 Yr EBITDA Margin (avg)</t>
  </si>
  <si>
    <t>5 Yr EBITDA Margin (Avg)</t>
  </si>
  <si>
    <t>3 Yr Capital Turnover (Avg)</t>
  </si>
  <si>
    <t>5 Yr Capital Turnover (Avg)</t>
  </si>
  <si>
    <t>3 Yr ROIC (Avg)</t>
  </si>
  <si>
    <t>5 Yr ROIC (Avg)</t>
  </si>
  <si>
    <t>3 Yr Invested Capital (Avg)</t>
  </si>
  <si>
    <t>5 Yr Invested Capital (Avg)</t>
  </si>
  <si>
    <t>3 yr EPA/Sales (avg)</t>
  </si>
  <si>
    <t>5 yr EPA/Sales (Avg)</t>
  </si>
  <si>
    <t>Figures in Rs Crore | Enter values only in red cells</t>
  </si>
  <si>
    <t>Current PAT Margin</t>
  </si>
  <si>
    <t>Current CFO/PAT</t>
  </si>
  <si>
    <t>NORMAL</t>
  </si>
  <si>
    <t>CONSERVATIVE</t>
  </si>
  <si>
    <t>Average FCF</t>
  </si>
  <si>
    <t>Average PAT Margin</t>
  </si>
  <si>
    <t>Average CFO/PAT</t>
  </si>
  <si>
    <t>Terminal Year</t>
  </si>
  <si>
    <t>Historical FCF Growth Rate</t>
  </si>
  <si>
    <t>Current Dividend/PAT</t>
  </si>
  <si>
    <t>PV of Year 1-10 Cash Flows</t>
  </si>
  <si>
    <t>Margin of Safety</t>
  </si>
  <si>
    <t>Average Dividend/PAT</t>
  </si>
  <si>
    <t>Maintenance Capex</t>
  </si>
  <si>
    <t>Terminal Value</t>
  </si>
  <si>
    <t>Historical CAPEX/NFA</t>
  </si>
  <si>
    <t>Current FCF</t>
  </si>
  <si>
    <t>Total PV of Cash Flows</t>
  </si>
  <si>
    <t>Current Revenue Growth</t>
  </si>
  <si>
    <t>Average Revenue Growth</t>
  </si>
  <si>
    <t>Number of Shares</t>
  </si>
  <si>
    <t>DCF Value / Share (Rs)</t>
  </si>
  <si>
    <t>Years</t>
  </si>
  <si>
    <t>PV Contribution</t>
  </si>
  <si>
    <t>TV Contribution</t>
  </si>
  <si>
    <t>Revenue</t>
  </si>
  <si>
    <t>Maintenance Capex %</t>
  </si>
  <si>
    <t>Investment Capex Multiple</t>
  </si>
  <si>
    <t>Investment Capex %</t>
  </si>
  <si>
    <t>Total CAPEX as a % of NFA</t>
  </si>
  <si>
    <t>Dividend Growth</t>
  </si>
  <si>
    <t>FCF Normal</t>
  </si>
  <si>
    <t>FCF Conservative</t>
  </si>
  <si>
    <t>FCF Growth Rate Normal</t>
  </si>
  <si>
    <t>FCF Growth Rate Conservative</t>
  </si>
  <si>
    <t>Discount Rate Normal</t>
  </si>
  <si>
    <t>Discount Rate Conservative</t>
  </si>
  <si>
    <t>Terminal Growth Rate Normal</t>
  </si>
  <si>
    <t>Terminal Growth Rate Conservative</t>
  </si>
  <si>
    <t>Shares Outstanding (Crore)</t>
  </si>
  <si>
    <t>Net Debt Level</t>
  </si>
  <si>
    <t>MODERATE</t>
  </si>
  <si>
    <t>Year</t>
  </si>
  <si>
    <t>Growth</t>
  </si>
  <si>
    <t>Present Value</t>
  </si>
  <si>
    <t>WRONG</t>
  </si>
  <si>
    <t>5 Year Sustainable SSGR</t>
  </si>
  <si>
    <t>MCAP TO CFO</t>
  </si>
  <si>
    <t>MCAP to CFO</t>
  </si>
  <si>
    <t>No. of Shares</t>
  </si>
  <si>
    <t>Last 2 Quarter Profit</t>
  </si>
  <si>
    <t>Last 2 Quarter Growth Rate</t>
  </si>
  <si>
    <t>Previous Year Next 2 Quarter Profit</t>
  </si>
  <si>
    <t>Total Profit Forecast Moderate</t>
  </si>
  <si>
    <t>Gorwth Multiple Conservative</t>
  </si>
  <si>
    <t>Growth Multiple Aggressive</t>
  </si>
  <si>
    <t>Gorwth Multiple Moderate</t>
  </si>
  <si>
    <t>Next 2 Quarter Profit Aggressive</t>
  </si>
  <si>
    <t>Next 2 Quarter Profit Moderate</t>
  </si>
  <si>
    <t>Next 2 Quarter Profit Conservative</t>
  </si>
  <si>
    <t>Total Profit Forecast Aggesive</t>
  </si>
  <si>
    <t>Total Profit Forecast Conservative</t>
  </si>
  <si>
    <t>EPS Forecast Aggressive</t>
  </si>
  <si>
    <t>EPS Forecast Moderate</t>
  </si>
  <si>
    <t>EPS Forecast Conservative</t>
  </si>
  <si>
    <t>Aggressive PE 2 Quarters Forward</t>
  </si>
  <si>
    <t>Moderate PE 2 Quarters Forward</t>
  </si>
  <si>
    <t>Conservative PE 2 Quarters Forward</t>
  </si>
  <si>
    <t>Current Share Price</t>
  </si>
  <si>
    <t>TTM PE Historical</t>
  </si>
  <si>
    <t>PE Attractiveness Aggressive</t>
  </si>
  <si>
    <t>PE Attractiveness Moderate</t>
  </si>
  <si>
    <t>PE Attractiveness Conservative</t>
  </si>
  <si>
    <t>Discount Moderate</t>
  </si>
  <si>
    <t>Discount Conservative</t>
  </si>
  <si>
    <t>Current P/B</t>
  </si>
  <si>
    <t>Histrorical P/B</t>
  </si>
  <si>
    <t>P/B Discount TTM</t>
  </si>
  <si>
    <t>Share Capital Annual Growth Rate</t>
  </si>
  <si>
    <t>P/B Discount NTM</t>
  </si>
  <si>
    <t>Forward P/B</t>
  </si>
  <si>
    <t>PE Aggresion Multiple</t>
  </si>
  <si>
    <t>PE Normal Multiple</t>
  </si>
  <si>
    <t>PE Conservative Multiple</t>
  </si>
  <si>
    <t>Revenue Growth</t>
  </si>
  <si>
    <t>PAT Growth</t>
  </si>
  <si>
    <t>Capex/Share Capital</t>
  </si>
  <si>
    <t>Gross Fixed Asset/Revenue</t>
  </si>
  <si>
    <t>Net Fixed Asset/Revenue</t>
  </si>
  <si>
    <t>Gross Fixed Asset/Assets</t>
  </si>
  <si>
    <t>Net Fixed Asset/Asset</t>
  </si>
  <si>
    <t>Gross Fixed Asset/Shareholder Equity</t>
  </si>
  <si>
    <t>Net Fixed Asset/Shareholder Equity</t>
  </si>
  <si>
    <t>Investment/Shareholder Equity</t>
  </si>
  <si>
    <t>Other Asset/Shareholder Equity</t>
  </si>
  <si>
    <t>Capital work in progress/Shareholder Equity</t>
  </si>
  <si>
    <t>Capital Work in progress/Gross Fixed Asset</t>
  </si>
  <si>
    <t>Capital Work in progress/Net Fixed Asset</t>
  </si>
  <si>
    <t>Capex/Gross Fixed Asset</t>
  </si>
  <si>
    <t>Capex/Net Fixed Asset</t>
  </si>
  <si>
    <t>Balance Sheet Ratios</t>
  </si>
  <si>
    <t>Liquidity Ratios</t>
  </si>
  <si>
    <t>Debt to Equity</t>
  </si>
  <si>
    <t>Leverage</t>
  </si>
  <si>
    <t>Operating Ratios</t>
  </si>
  <si>
    <t>Debtor Turnover</t>
  </si>
  <si>
    <t>Credit Days</t>
  </si>
  <si>
    <t>Credit Turnover</t>
  </si>
  <si>
    <t>Cash-in/Cashout</t>
  </si>
  <si>
    <t>CFO/Sales</t>
  </si>
  <si>
    <t>CAPEX/PAT</t>
  </si>
  <si>
    <t>Dividend/PAT</t>
  </si>
  <si>
    <t>FCF/Sales</t>
  </si>
  <si>
    <t>Return on Assets</t>
  </si>
  <si>
    <t>Asset Turnover</t>
  </si>
  <si>
    <t>Total Asset Turnover</t>
  </si>
  <si>
    <t>Return on Capital</t>
  </si>
  <si>
    <t>Short term Debt Coverage</t>
  </si>
  <si>
    <t>3-Year CAGR</t>
  </si>
  <si>
    <t>5-Year CAGR</t>
  </si>
  <si>
    <t>Overall CAGR</t>
  </si>
  <si>
    <t>Expense</t>
  </si>
  <si>
    <t>Other Expense</t>
  </si>
  <si>
    <t>FCF including Dividend</t>
  </si>
  <si>
    <t>Payables</t>
  </si>
  <si>
    <t>Receivables as a % of Sales</t>
  </si>
  <si>
    <t>CFO-PAT</t>
  </si>
  <si>
    <t>Depreciation/Gross Asset</t>
  </si>
  <si>
    <t>Depreciation/Net Asset</t>
  </si>
  <si>
    <t>Cash to Long Term debt Ratio</t>
  </si>
  <si>
    <t>Cash to Short Term Debt Ratio</t>
  </si>
  <si>
    <t>Cash/Shareholders's Equity</t>
  </si>
  <si>
    <t>Short Term/Long Term Debt</t>
  </si>
  <si>
    <t>Working Capital/Sales (including cash)</t>
  </si>
  <si>
    <t>Profitability Ratios</t>
  </si>
  <si>
    <t>COGS/Sales</t>
  </si>
  <si>
    <t>EBIT Margin</t>
  </si>
  <si>
    <t>Other Income as a % of Sales</t>
  </si>
  <si>
    <t>Change in Inventory as a % of Sales</t>
  </si>
  <si>
    <t>Power and Fuel as a % of Sales</t>
  </si>
  <si>
    <t>Other Mfr. Exp as a % of Sales</t>
  </si>
  <si>
    <t>Employee Cost as a % of Sales</t>
  </si>
  <si>
    <t>Selling and admin as a % of Sales</t>
  </si>
  <si>
    <t>Other Expenses as a % of Sales</t>
  </si>
  <si>
    <t>Depreciation as a % of Sales</t>
  </si>
  <si>
    <t>Sales/Invested Capital</t>
  </si>
  <si>
    <t>PAT/invested Capital</t>
  </si>
  <si>
    <t>CFO/Invested Capital</t>
  </si>
  <si>
    <t>FCF/Invested Capital</t>
  </si>
  <si>
    <t>Incremental Sales/Incremental Invested Capital</t>
  </si>
  <si>
    <t>Incremental PAT/Incremental Invested Capital</t>
  </si>
  <si>
    <t>Incremental CFO/Incremental Invested Capital</t>
  </si>
  <si>
    <t>Incremental FCF/Incremental Invested Capital</t>
  </si>
  <si>
    <t>Cash Return on Assets</t>
  </si>
  <si>
    <t>Are they hiring more people or increase in salary of existing employees</t>
  </si>
  <si>
    <t>Why inventory is building up</t>
  </si>
  <si>
    <t>Why asset turnover is declining?</t>
  </si>
  <si>
    <t>Why fixed asset turnover is decling?</t>
  </si>
  <si>
    <t>Why so high</t>
  </si>
  <si>
    <t>Strong CAPEX this year. Will beenfits flow</t>
  </si>
  <si>
    <t>Reason for margin improvement</t>
  </si>
  <si>
    <t>Going forward, will it reduce</t>
  </si>
  <si>
    <t>Why it has become so low?</t>
  </si>
  <si>
    <t>Why increasing</t>
  </si>
  <si>
    <t>Compare with competitors</t>
  </si>
  <si>
    <t>Why it has reduced?</t>
  </si>
  <si>
    <t>What has driven?</t>
  </si>
  <si>
    <t>Reasons for improvement in last 3 years</t>
  </si>
  <si>
    <t>Capex employed recently. When it will pay up?</t>
  </si>
  <si>
    <t>Why declined?</t>
  </si>
  <si>
    <t>How come increased?</t>
  </si>
  <si>
    <t>CFO/Enterprise Value</t>
  </si>
  <si>
    <t>3 Year Average/Sum</t>
  </si>
  <si>
    <t>5 Year Average/Sum</t>
  </si>
  <si>
    <t>Overall Average/Sum</t>
  </si>
  <si>
    <t>Parameter</t>
  </si>
  <si>
    <t>Revenue CAGR Overall</t>
  </si>
  <si>
    <t>Revenue CAGR 5 Years</t>
  </si>
  <si>
    <t>Revenue CAGR 3 Years</t>
  </si>
  <si>
    <t>PAT CAGR Overall</t>
  </si>
  <si>
    <t>PAT CAGR 5 Years</t>
  </si>
  <si>
    <t>PAT CAGR 3 Years</t>
  </si>
  <si>
    <t>Receivables Overall Avg.</t>
  </si>
  <si>
    <t>Receivables 5 Year Avg.</t>
  </si>
  <si>
    <t>Receivables 3 Year Avg.</t>
  </si>
  <si>
    <t>Inventory Overall Avg.</t>
  </si>
  <si>
    <t>Inventory 5 Year Avg.</t>
  </si>
  <si>
    <t>Inventory 3 Year Avg.</t>
  </si>
  <si>
    <t>Gross Margin Overall Avg.</t>
  </si>
  <si>
    <t>Gross Margin 5 Year Avg.</t>
  </si>
  <si>
    <t>Gross Margin 3 Year Avg.</t>
  </si>
  <si>
    <t>EBIT Margin Overall Avg.</t>
  </si>
  <si>
    <t>EBIT Margin 5 Year Avg.</t>
  </si>
  <si>
    <t>EBIT Margin 3 Year Avg.</t>
  </si>
  <si>
    <t>PAT% Overall Avg.</t>
  </si>
  <si>
    <t>PAT% 5 Year Avg.</t>
  </si>
  <si>
    <t>PAT% 3 Year Avg.</t>
  </si>
  <si>
    <t>Tax Rate Overall Avg.</t>
  </si>
  <si>
    <t>Tax Rate 5 Year Avg.</t>
  </si>
  <si>
    <t>Tax Rate 3 Year Avg.</t>
  </si>
  <si>
    <t>Gross Asset to Revenue Overall Avg.</t>
  </si>
  <si>
    <t>Gross Asset to Revenue 5 Year Avg.</t>
  </si>
  <si>
    <t>Gross Asset to Revenue 3 Year Avg.</t>
  </si>
  <si>
    <t>Net Asset to Revenue Overall Avg.</t>
  </si>
  <si>
    <t>Net Asset to Revenue 5 Year Avg.</t>
  </si>
  <si>
    <t>Net Asset to Revenue 3 Year Avg.</t>
  </si>
  <si>
    <t>CAPEX to Net Asset Overall Avg.</t>
  </si>
  <si>
    <t>CAPEX to Net Asset 5 Year Avg.</t>
  </si>
  <si>
    <t>CAPEX to Net Asset 3 Year Avg.</t>
  </si>
  <si>
    <t>CWIP to Net Asset Overall Avg.</t>
  </si>
  <si>
    <t>CWIP to Net Asset 5 Year Avg.</t>
  </si>
  <si>
    <t>CWIP to Net Asset 3 Year Avg.</t>
  </si>
  <si>
    <t>Debt to Equity Overall Avg.</t>
  </si>
  <si>
    <t>Debt to Equity Overall 5 Year Avg.</t>
  </si>
  <si>
    <t>Current Ratio Overall 3 Year Avg.</t>
  </si>
  <si>
    <t>Current Ratio Overall Avg.</t>
  </si>
  <si>
    <t>Current Ratio Overall 5 Year Avg.</t>
  </si>
  <si>
    <t>Debt to Equity Overall 3 Year Avg.</t>
  </si>
  <si>
    <t>Dep. to Gross Asset Overall Avg.</t>
  </si>
  <si>
    <t>Dep. to Gross Asset Overall 5 Year Avg.</t>
  </si>
  <si>
    <t>Dep. to Net Asset Overall Avg.</t>
  </si>
  <si>
    <t>Dep. to Net Asset Overall 5 Year Avg.</t>
  </si>
  <si>
    <t>Dep. to Net Asset Overall 3 Year Avg.</t>
  </si>
  <si>
    <t>WC to Sales Overall Avg.</t>
  </si>
  <si>
    <t>WC to Sales Overall 5 Year Avg.</t>
  </si>
  <si>
    <t>WC to Sales Overall 3 Year Avg.</t>
  </si>
  <si>
    <t>Debtor Days Overall Avg.</t>
  </si>
  <si>
    <t>Debtor Days Overall 5 Year Avg.</t>
  </si>
  <si>
    <t>Debtor Days Overall 3 Year Avg.</t>
  </si>
  <si>
    <t>Debtor Turnover Overall Avg.</t>
  </si>
  <si>
    <t>Debtor Turnover Overall 5 Year Avg.</t>
  </si>
  <si>
    <t>Debtor Turnover Overall 3 Year Avg.</t>
  </si>
  <si>
    <t>Inventory Days Overall Avg.</t>
  </si>
  <si>
    <t>Inventory Days Overall 5 Year Avg.</t>
  </si>
  <si>
    <t>Inventory Days Overall 3 Year Avg.</t>
  </si>
  <si>
    <t>Inventory Turnover Overall Avg.</t>
  </si>
  <si>
    <t>Inventory Turnover Overall 5 Year Avg.</t>
  </si>
  <si>
    <t>Inventory Turnover Overall 3 Year Avg.</t>
  </si>
  <si>
    <t>Cash ROA Overall Avg.</t>
  </si>
  <si>
    <t>Cash ROA Overall 5 Year Avg.</t>
  </si>
  <si>
    <t>Cash ROA Overall 3 Year Avg.</t>
  </si>
  <si>
    <t>ROA Overall Avg.</t>
  </si>
  <si>
    <t>ROA Overall 5 Year Avg.</t>
  </si>
  <si>
    <t>ROA Overall 3 Year Avg.</t>
  </si>
  <si>
    <t>Asset turnover Overall Avg.</t>
  </si>
  <si>
    <t>Asset turnover Overall 5 Year Avg.</t>
  </si>
  <si>
    <t>Asset turnover Overall 3 Year Avg.</t>
  </si>
  <si>
    <t>CFO/APT Overall Avg.</t>
  </si>
  <si>
    <t>CFO/APT Overall 5 Year Avg.</t>
  </si>
  <si>
    <t>CFO/APT Overall 3 Year Avg.</t>
  </si>
  <si>
    <t>CFO/Sales Overall Avg.</t>
  </si>
  <si>
    <t>CFO/Sales Overall 5 Year Avg.</t>
  </si>
  <si>
    <t>CFO/Sales Overall 3 Year Avg.</t>
  </si>
  <si>
    <t>FCF/PAT Overall Avg.</t>
  </si>
  <si>
    <t>FCF/PAT Overall 5 Year Avg.</t>
  </si>
  <si>
    <t>FCF/PAT Overall 3 Year Avg.</t>
  </si>
  <si>
    <t>ROE Overall Avg.</t>
  </si>
  <si>
    <t>ROE Overall 5 Year Avg.</t>
  </si>
  <si>
    <t>ROE Overall 3 Year Avg.</t>
  </si>
  <si>
    <t>ROCE Overall Avg.</t>
  </si>
  <si>
    <t>ROCE Overall 5 Year Avg.</t>
  </si>
  <si>
    <t>ROCE Overall 3 Year Avg.</t>
  </si>
  <si>
    <t>CFO/EV Overall Avg.</t>
  </si>
  <si>
    <t>CFO/EV Overall 5 Year Avg.</t>
  </si>
  <si>
    <t>CFO/EV Overall 3 Year Avg.</t>
  </si>
  <si>
    <t>Sales/IC Overall Avg.</t>
  </si>
  <si>
    <t>Sales/IC Overall 5 Year Avg.</t>
  </si>
  <si>
    <t>Sales/IC Overall 3 Year Avg.</t>
  </si>
  <si>
    <t>PAT/IC Overall Avg.</t>
  </si>
  <si>
    <t>PAT/IC Overall 5 Year Avg.</t>
  </si>
  <si>
    <t>PAT/IC Overall 3 Year Avg.</t>
  </si>
  <si>
    <t>CFO/IC Overall Avg.</t>
  </si>
  <si>
    <t>CFO/IC Overall 5 Year Avg.</t>
  </si>
  <si>
    <t>CFO/IC Overall 3 Year Avg.</t>
  </si>
  <si>
    <t>FCF/IC Overall Avg.</t>
  </si>
  <si>
    <t>FCF/IC Overall 5 Year Avg.</t>
  </si>
  <si>
    <t>FCF/IC Overall 3 Year Avg.</t>
  </si>
  <si>
    <t>Inc. Sales/IC Overall 5 Year Avg.</t>
  </si>
  <si>
    <t>Inc. Sales/IC Overall 3 Year Avg.</t>
  </si>
  <si>
    <t>Inc. PAT/IC Overall Avg.</t>
  </si>
  <si>
    <t>Inc. PAT/IC Overall 5 Year Avg.</t>
  </si>
  <si>
    <t>Inc. PAT/IC Overall 3 Year Avg.</t>
  </si>
  <si>
    <t>Inc. CFO/IC Overall Avg.</t>
  </si>
  <si>
    <t>Inc. CFO/IC Overall 5 Year Avg.</t>
  </si>
  <si>
    <t>Inc. CFO/IC Overall 3 Year Avg.</t>
  </si>
  <si>
    <t>Inc. FCF/IC Overall Avg.</t>
  </si>
  <si>
    <t>Inc. FCF/IC Overall 5 Year Avg.</t>
  </si>
  <si>
    <t>Inc. FCF/IC Overall 3 Year Avg.</t>
  </si>
  <si>
    <t>Divident Tield Overall Avg.</t>
  </si>
  <si>
    <t>Divident Tield Overall 5 Year Avg.</t>
  </si>
  <si>
    <t>Divident Tield Overall 3 Year Avg.</t>
  </si>
  <si>
    <t>Dividend Payout Overall Avg.</t>
  </si>
  <si>
    <t>Dividend Payout Overall 5 Year Avg.</t>
  </si>
  <si>
    <t>Dividend Payout Overall 3 Year Avg.</t>
  </si>
  <si>
    <t>Values</t>
  </si>
  <si>
    <t>Current</t>
  </si>
  <si>
    <t>Overall</t>
  </si>
  <si>
    <t>5 Year</t>
  </si>
  <si>
    <t>3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</si>
</sst>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_ * #,##0.00_ ;_ * \-#,##0.00_ ;_ * &quot;-&quot;??_ ;_ @_ "/>
    <numFmt numFmtId="165" formatCode="[$-409]mmm\-yy;@"/>
    <numFmt numFmtId="166" formatCode="dd/mm/yy"/>
    <numFmt numFmtId="167" formatCode="_(* #,##0.0_);_(* \(#,##0.0\);_(* &quot;-&quot;??_);_(@_)"/>
    <numFmt numFmtId="168" formatCode="[$-409]d\-mmm\-yy;@"/>
    <numFmt numFmtId="169" formatCode="0.0"/>
    <numFmt numFmtId="170" formatCode="0.0%"/>
    <numFmt numFmtId="171" formatCode="_(* #,##0_);_(* \(#,##0\);_(* &quot;-&quot;??_);_(@_)"/>
    <numFmt numFmtId="172" formatCode="0.000"/>
  </numFmts>
  <fonts count="54" x14ac:knownFonts="1">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u/>
      <sz val="11"/>
      <color theme="10"/>
      <name val="Calibri"/>
      <family val="2"/>
    </font>
    <font>
      <sz val="11"/>
      <color theme="0"/>
      <name val="Calibri"/>
      <family val="2"/>
      <scheme val="minor"/>
    </font>
    <font>
      <b/>
      <u/>
      <sz val="11"/>
      <color theme="10"/>
      <name val="Calibri"/>
      <family val="2"/>
    </font>
    <font>
      <b/>
      <sz val="16"/>
      <color theme="1"/>
      <name val="Calibri"/>
      <family val="2"/>
      <scheme val="minor"/>
    </font>
    <font>
      <b/>
      <sz val="11"/>
      <color rgb="FFFF0000"/>
      <name val="Calibri"/>
      <family val="2"/>
      <scheme val="minor"/>
    </font>
    <font>
      <sz val="11"/>
      <name val="Calibri"/>
      <family val="2"/>
      <scheme val="minor"/>
    </font>
    <font>
      <b/>
      <sz val="11"/>
      <name val="Calibri"/>
      <family val="2"/>
      <charset val="1"/>
    </font>
    <font>
      <sz val="11"/>
      <name val="Calibri"/>
      <family val="2"/>
      <charset val="1"/>
    </font>
    <font>
      <b/>
      <sz val="11"/>
      <color indexed="9"/>
      <name val="Calibri"/>
      <family val="2"/>
      <charset val="1"/>
    </font>
    <font>
      <sz val="10"/>
      <name val="Calibri"/>
      <family val="2"/>
      <charset val="1"/>
    </font>
    <font>
      <b/>
      <sz val="10"/>
      <name val="Calibri"/>
      <family val="2"/>
      <charset val="1"/>
    </font>
    <font>
      <sz val="10"/>
      <color indexed="59"/>
      <name val="Calibri"/>
      <family val="2"/>
      <charset val="1"/>
    </font>
    <font>
      <sz val="9"/>
      <name val="Arial"/>
      <family val="2"/>
      <charset val="1"/>
    </font>
    <font>
      <sz val="10"/>
      <color indexed="8"/>
      <name val="Calibri"/>
      <family val="2"/>
      <charset val="1"/>
    </font>
    <font>
      <b/>
      <sz val="9"/>
      <color indexed="81"/>
      <name val="Tahoma"/>
      <family val="2"/>
    </font>
    <font>
      <sz val="9"/>
      <color indexed="81"/>
      <name val="Tahoma"/>
      <family val="2"/>
    </font>
    <font>
      <sz val="10"/>
      <name val="Arial"/>
      <family val="2"/>
    </font>
    <font>
      <sz val="11"/>
      <color indexed="8"/>
      <name val="Calibri"/>
      <family val="2"/>
      <charset val="1"/>
    </font>
    <font>
      <b/>
      <u/>
      <sz val="14"/>
      <color theme="1"/>
      <name val="Calibri"/>
      <family val="2"/>
      <scheme val="minor"/>
    </font>
    <font>
      <b/>
      <u/>
      <sz val="13"/>
      <color theme="1"/>
      <name val="Calibri"/>
      <family val="2"/>
      <scheme val="minor"/>
    </font>
    <font>
      <i/>
      <sz val="11"/>
      <color theme="1"/>
      <name val="Calibri"/>
      <family val="2"/>
      <scheme val="minor"/>
    </font>
    <font>
      <i/>
      <sz val="8"/>
      <color theme="1"/>
      <name val="Calibri"/>
      <family val="2"/>
      <scheme val="minor"/>
    </font>
    <font>
      <sz val="8"/>
      <color theme="1"/>
      <name val="Calibri"/>
      <family val="2"/>
      <scheme val="minor"/>
    </font>
    <font>
      <b/>
      <i/>
      <sz val="8"/>
      <color theme="1"/>
      <name val="Calibri"/>
      <family val="2"/>
      <scheme val="minor"/>
    </font>
    <font>
      <b/>
      <i/>
      <sz val="11"/>
      <color theme="1"/>
      <name val="Calibri"/>
      <family val="2"/>
      <scheme val="minor"/>
    </font>
    <font>
      <b/>
      <sz val="9"/>
      <color indexed="9"/>
      <name val="Calibri"/>
      <family val="2"/>
      <charset val="1"/>
    </font>
    <font>
      <sz val="9"/>
      <name val="Calibri"/>
      <family val="2"/>
      <charset val="1"/>
    </font>
    <font>
      <b/>
      <sz val="9"/>
      <color theme="1"/>
      <name val="Calibri"/>
      <family val="2"/>
      <charset val="1"/>
    </font>
    <font>
      <b/>
      <sz val="9"/>
      <name val="Calibri"/>
      <family val="2"/>
      <charset val="1"/>
    </font>
    <font>
      <sz val="9"/>
      <color indexed="9"/>
      <name val="Calibri"/>
      <family val="2"/>
      <charset val="1"/>
    </font>
    <font>
      <b/>
      <sz val="9"/>
      <color indexed="8"/>
      <name val="Calibri"/>
      <family val="2"/>
      <charset val="1"/>
    </font>
    <font>
      <b/>
      <sz val="9"/>
      <color theme="1"/>
      <name val="Calibri"/>
      <family val="2"/>
    </font>
    <font>
      <sz val="9"/>
      <color theme="1"/>
      <name val="Calibri"/>
      <family val="2"/>
      <charset val="1"/>
    </font>
    <font>
      <sz val="9"/>
      <color indexed="8"/>
      <name val="Calibri"/>
      <family val="2"/>
      <charset val="1"/>
    </font>
    <font>
      <b/>
      <sz val="9"/>
      <color indexed="8"/>
      <name val="Tahoma"/>
      <family val="2"/>
      <charset val="1"/>
    </font>
    <font>
      <sz val="9"/>
      <color indexed="8"/>
      <name val="Tahoma"/>
      <family val="2"/>
      <charset val="1"/>
    </font>
    <font>
      <b/>
      <sz val="10"/>
      <name val="Arial"/>
      <family val="2"/>
    </font>
    <font>
      <sz val="10"/>
      <color theme="1"/>
      <name val="Calibri"/>
      <family val="2"/>
      <scheme val="minor"/>
    </font>
    <font>
      <i/>
      <sz val="10"/>
      <color rgb="FFC00000"/>
      <name val="Arial"/>
      <family val="2"/>
    </font>
    <font>
      <b/>
      <sz val="10"/>
      <color theme="1"/>
      <name val="Calibri"/>
      <family val="2"/>
      <scheme val="minor"/>
    </font>
    <font>
      <sz val="10"/>
      <color theme="1"/>
      <name val="Arial"/>
      <family val="2"/>
    </font>
    <font>
      <b/>
      <sz val="10"/>
      <color theme="0"/>
      <name val="Arial"/>
      <family val="2"/>
    </font>
    <font>
      <sz val="9"/>
      <color theme="1"/>
      <name val="Calibri"/>
      <family val="2"/>
      <scheme val="minor"/>
    </font>
    <font>
      <b/>
      <sz val="9"/>
      <color theme="0"/>
      <name val="Calibri"/>
      <family val="2"/>
      <scheme val="minor"/>
    </font>
    <font>
      <sz val="9"/>
      <color theme="5" tint="0.39997558519241921"/>
      <name val="Calibri"/>
      <family val="2"/>
      <scheme val="minor"/>
    </font>
    <font>
      <sz val="9"/>
      <color rgb="FF00B050"/>
      <name val="Calibri"/>
      <family val="2"/>
      <scheme val="minor"/>
    </font>
    <font>
      <sz val="9"/>
      <color rgb="FFFF0000"/>
      <name val="Calibri"/>
      <family val="2"/>
      <scheme val="minor"/>
    </font>
    <font>
      <i/>
      <sz val="9"/>
      <color theme="1"/>
      <name val="Calibri"/>
      <family val="2"/>
      <scheme val="minor"/>
    </font>
    <font>
      <b/>
      <u/>
      <sz val="9"/>
      <color theme="1"/>
      <name val="Calibri"/>
      <family val="2"/>
      <scheme val="minor"/>
    </font>
    <font>
      <b/>
      <sz val="9"/>
      <color theme="1"/>
      <name val="Calibri"/>
      <family val="2"/>
      <scheme val="minor"/>
    </font>
  </fonts>
  <fills count="26">
    <fill>
      <patternFill patternType="none"/>
    </fill>
    <fill>
      <patternFill patternType="gray125"/>
    </fill>
    <fill>
      <patternFill patternType="solid">
        <fgColor theme="4" tint="0.39997558519241921"/>
        <bgColor indexed="65"/>
      </patternFill>
    </fill>
    <fill>
      <patternFill patternType="solid">
        <fgColor theme="6" tint="0.39997558519241921"/>
        <bgColor indexed="65"/>
      </patternFill>
    </fill>
    <fill>
      <patternFill patternType="solid">
        <fgColor theme="9"/>
      </patternFill>
    </fill>
    <fill>
      <patternFill patternType="solid">
        <fgColor rgb="FF0275D8"/>
        <bgColor indexed="64"/>
      </patternFill>
    </fill>
    <fill>
      <patternFill patternType="solid">
        <fgColor indexed="16"/>
        <bgColor indexed="37"/>
      </patternFill>
    </fill>
    <fill>
      <patternFill patternType="solid">
        <fgColor indexed="50"/>
        <bgColor indexed="55"/>
      </patternFill>
    </fill>
    <fill>
      <patternFill patternType="solid">
        <fgColor indexed="30"/>
        <bgColor indexed="40"/>
      </patternFill>
    </fill>
    <fill>
      <patternFill patternType="solid">
        <fgColor indexed="41"/>
        <bgColor indexed="31"/>
      </patternFill>
    </fill>
    <fill>
      <patternFill patternType="solid">
        <fgColor indexed="51"/>
        <bgColor indexed="52"/>
      </patternFill>
    </fill>
    <fill>
      <patternFill patternType="solid">
        <fgColor indexed="40"/>
        <bgColor indexed="30"/>
      </patternFill>
    </fill>
    <fill>
      <patternFill patternType="solid">
        <fgColor rgb="FFFFC000"/>
        <bgColor indexed="64"/>
      </patternFill>
    </fill>
    <fill>
      <patternFill patternType="solid">
        <fgColor rgb="FFFFFF00"/>
        <bgColor indexed="64"/>
      </patternFill>
    </fill>
    <fill>
      <patternFill patternType="solid">
        <fgColor theme="0" tint="-0.249977111117893"/>
        <bgColor indexed="25"/>
      </patternFill>
    </fill>
    <fill>
      <patternFill patternType="solid">
        <fgColor indexed="61"/>
        <bgColor indexed="25"/>
      </patternFill>
    </fill>
    <fill>
      <patternFill patternType="solid">
        <fgColor theme="0"/>
        <bgColor indexed="25"/>
      </patternFill>
    </fill>
    <fill>
      <patternFill patternType="solid">
        <fgColor indexed="19"/>
        <bgColor indexed="23"/>
      </patternFill>
    </fill>
    <fill>
      <patternFill patternType="solid">
        <fgColor theme="0"/>
        <bgColor indexed="64"/>
      </patternFill>
    </fill>
    <fill>
      <patternFill patternType="solid">
        <fgColor theme="0"/>
        <bgColor indexed="23"/>
      </patternFill>
    </fill>
    <fill>
      <patternFill patternType="solid">
        <fgColor indexed="9"/>
        <bgColor indexed="27"/>
      </patternFill>
    </fill>
    <fill>
      <patternFill patternType="solid">
        <fgColor rgb="FF0275D8"/>
        <bgColor indexed="31"/>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C5C5"/>
        <bgColor indexed="64"/>
      </patternFill>
    </fill>
    <fill>
      <patternFill patternType="solid">
        <fgColor theme="1"/>
        <bgColor indexed="64"/>
      </patternFill>
    </fill>
  </fills>
  <borders count="29">
    <border>
      <left/>
      <right/>
      <top/>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diagonal/>
    </border>
    <border>
      <left style="hair">
        <color indexed="8"/>
      </left>
      <right style="hair">
        <color indexed="8"/>
      </right>
      <top/>
      <bottom style="hair">
        <color indexed="8"/>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style="hair">
        <color indexed="8"/>
      </left>
      <right style="hair">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64"/>
      </right>
      <top/>
      <bottom/>
      <diagonal/>
    </border>
    <border>
      <left/>
      <right/>
      <top style="thin">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top/>
      <bottom style="medium">
        <color indexed="64"/>
      </bottom>
      <diagonal/>
    </border>
  </borders>
  <cellStyleXfs count="9">
    <xf numFmtId="0" fontId="0" fillId="0" borderId="0"/>
    <xf numFmtId="164" fontId="3" fillId="0" borderId="0" applyFont="0" applyFill="0" applyBorder="0" applyAlignment="0" applyProtection="0"/>
    <xf numFmtId="0" fontId="4" fillId="0" borderId="0" applyNumberFormat="0" applyFill="0" applyBorder="0" applyAlignment="0" applyProtection="0">
      <alignment vertical="top"/>
      <protection locked="0"/>
    </xf>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9" fontId="3" fillId="0" borderId="0" applyFont="0" applyFill="0" applyBorder="0" applyAlignment="0" applyProtection="0"/>
    <xf numFmtId="0" fontId="20" fillId="0" borderId="0"/>
    <xf numFmtId="9" fontId="21" fillId="0" borderId="0"/>
  </cellStyleXfs>
  <cellXfs count="385">
    <xf numFmtId="0" fontId="0" fillId="0" borderId="0" xfId="0"/>
    <xf numFmtId="164" fontId="1" fillId="0" borderId="0" xfId="1" applyFont="1" applyBorder="1"/>
    <xf numFmtId="0" fontId="1" fillId="0" borderId="0" xfId="0" applyFont="1" applyFill="1" applyBorder="1"/>
    <xf numFmtId="0" fontId="8" fillId="0" borderId="0" xfId="0" applyFont="1" applyFill="1" applyBorder="1" applyAlignment="1"/>
    <xf numFmtId="0" fontId="1" fillId="0" borderId="0" xfId="0" applyFont="1" applyFill="1" applyBorder="1" applyAlignment="1"/>
    <xf numFmtId="164" fontId="0" fillId="0" borderId="0" xfId="1" applyFont="1" applyBorder="1"/>
    <xf numFmtId="0" fontId="0" fillId="0" borderId="0" xfId="0" applyFont="1" applyBorder="1"/>
    <xf numFmtId="10" fontId="0" fillId="0" borderId="0" xfId="0" applyNumberFormat="1" applyFont="1" applyBorder="1"/>
    <xf numFmtId="0" fontId="1" fillId="0" borderId="0" xfId="0" applyFont="1" applyBorder="1"/>
    <xf numFmtId="164" fontId="3" fillId="0" borderId="0" xfId="1" applyFont="1" applyBorder="1"/>
    <xf numFmtId="9" fontId="3" fillId="0" borderId="0" xfId="1" applyNumberFormat="1" applyFont="1" applyBorder="1"/>
    <xf numFmtId="0" fontId="0" fillId="0" borderId="0" xfId="0" applyBorder="1"/>
    <xf numFmtId="164" fontId="2" fillId="2" borderId="0" xfId="3" applyNumberFormat="1" applyFont="1" applyBorder="1"/>
    <xf numFmtId="164" fontId="2" fillId="3" borderId="0" xfId="4" applyNumberFormat="1" applyFont="1" applyBorder="1"/>
    <xf numFmtId="9" fontId="1" fillId="0" borderId="0" xfId="6" applyFont="1" applyBorder="1"/>
    <xf numFmtId="0" fontId="2" fillId="5" borderId="0" xfId="0" applyFont="1" applyFill="1" applyBorder="1"/>
    <xf numFmtId="165" fontId="2" fillId="5" borderId="0" xfId="0" applyNumberFormat="1" applyFont="1" applyFill="1" applyBorder="1" applyAlignment="1">
      <alignment horizontal="center"/>
    </xf>
    <xf numFmtId="0" fontId="2" fillId="5" borderId="0" xfId="0" applyFont="1" applyFill="1" applyBorder="1" applyAlignment="1">
      <alignment horizontal="center"/>
    </xf>
    <xf numFmtId="0" fontId="0" fillId="0" borderId="0" xfId="0" applyFill="1" applyBorder="1"/>
    <xf numFmtId="164" fontId="0" fillId="0" borderId="0" xfId="1" applyNumberFormat="1" applyFont="1" applyBorder="1" applyAlignment="1">
      <alignment horizontal="center"/>
    </xf>
    <xf numFmtId="164" fontId="1" fillId="0" borderId="0" xfId="1" applyNumberFormat="1" applyFont="1" applyBorder="1" applyAlignment="1">
      <alignment horizontal="center"/>
    </xf>
    <xf numFmtId="164" fontId="0" fillId="0" borderId="0" xfId="1" applyNumberFormat="1" applyFont="1" applyBorder="1"/>
    <xf numFmtId="10" fontId="1" fillId="0" borderId="0" xfId="0" applyNumberFormat="1" applyFont="1" applyBorder="1"/>
    <xf numFmtId="165" fontId="2" fillId="5" borderId="0" xfId="1" applyNumberFormat="1" applyFont="1" applyFill="1" applyBorder="1"/>
    <xf numFmtId="165" fontId="9" fillId="0" borderId="0" xfId="1" applyNumberFormat="1" applyFont="1" applyFill="1" applyBorder="1"/>
    <xf numFmtId="0" fontId="7" fillId="0" borderId="0" xfId="0" applyFont="1" applyBorder="1"/>
    <xf numFmtId="0" fontId="0" fillId="0" borderId="0" xfId="0" applyBorder="1" applyAlignment="1">
      <alignment horizontal="left"/>
    </xf>
    <xf numFmtId="0" fontId="6" fillId="0" borderId="0" xfId="2" applyFont="1" applyBorder="1" applyAlignment="1" applyProtection="1">
      <alignment horizontal="left"/>
    </xf>
    <xf numFmtId="0" fontId="6" fillId="0" borderId="0" xfId="2" applyFont="1" applyBorder="1" applyAlignment="1" applyProtection="1"/>
    <xf numFmtId="0" fontId="0" fillId="0" borderId="0" xfId="0" applyFont="1" applyFill="1" applyBorder="1"/>
    <xf numFmtId="0" fontId="9" fillId="0" borderId="0" xfId="0" applyFont="1" applyFill="1" applyBorder="1"/>
    <xf numFmtId="43" fontId="0" fillId="0" borderId="0" xfId="1" applyNumberFormat="1" applyFont="1" applyBorder="1"/>
    <xf numFmtId="0" fontId="10" fillId="0" borderId="0" xfId="0" applyFont="1" applyBorder="1"/>
    <xf numFmtId="0" fontId="11" fillId="0" borderId="0" xfId="0" applyFont="1" applyBorder="1"/>
    <xf numFmtId="0" fontId="13" fillId="7" borderId="0" xfId="0" applyFont="1" applyFill="1"/>
    <xf numFmtId="0" fontId="13" fillId="0" borderId="0" xfId="0" applyFont="1"/>
    <xf numFmtId="166" fontId="12" fillId="8" borderId="1" xfId="0" applyNumberFormat="1" applyFont="1" applyFill="1" applyBorder="1" applyAlignment="1">
      <alignment horizontal="center"/>
    </xf>
    <xf numFmtId="0" fontId="14" fillId="0" borderId="1" xfId="0" applyFont="1" applyBorder="1"/>
    <xf numFmtId="0" fontId="13" fillId="0" borderId="1" xfId="0" applyFont="1" applyBorder="1"/>
    <xf numFmtId="0" fontId="13" fillId="0" borderId="1" xfId="0" applyFont="1" applyFill="1" applyBorder="1" applyAlignment="1">
      <alignment horizontal="left" wrapText="1"/>
    </xf>
    <xf numFmtId="4" fontId="15" fillId="0" borderId="2" xfId="0" applyNumberFormat="1" applyFont="1" applyFill="1" applyBorder="1" applyAlignment="1">
      <alignment horizontal="right" vertical="center" wrapText="1"/>
    </xf>
    <xf numFmtId="0" fontId="16" fillId="10" borderId="3" xfId="0" applyFont="1" applyFill="1" applyBorder="1" applyAlignment="1">
      <alignment horizontal="right" vertical="center" wrapText="1"/>
    </xf>
    <xf numFmtId="0" fontId="12" fillId="11" borderId="3" xfId="0" applyFont="1" applyFill="1" applyBorder="1"/>
    <xf numFmtId="166" fontId="12" fillId="8" borderId="3" xfId="0" applyNumberFormat="1" applyFont="1" applyFill="1" applyBorder="1" applyAlignment="1">
      <alignment horizontal="center"/>
    </xf>
    <xf numFmtId="0" fontId="13" fillId="0" borderId="3" xfId="0" applyFont="1" applyFill="1" applyBorder="1"/>
    <xf numFmtId="2" fontId="13" fillId="0" borderId="3" xfId="0" applyNumberFormat="1" applyFont="1" applyFill="1" applyBorder="1"/>
    <xf numFmtId="2" fontId="13" fillId="0" borderId="3" xfId="0" applyNumberFormat="1" applyFont="1" applyFill="1" applyBorder="1" applyAlignment="1">
      <alignment horizontal="right"/>
    </xf>
    <xf numFmtId="10" fontId="13" fillId="0" borderId="0" xfId="0" applyNumberFormat="1" applyFont="1" applyFill="1"/>
    <xf numFmtId="0" fontId="13" fillId="12" borderId="3" xfId="0" applyFont="1" applyFill="1" applyBorder="1"/>
    <xf numFmtId="166" fontId="12" fillId="8" borderId="4" xfId="0" applyNumberFormat="1" applyFont="1" applyFill="1" applyBorder="1" applyAlignment="1">
      <alignment horizontal="center"/>
    </xf>
    <xf numFmtId="0" fontId="13" fillId="0" borderId="2" xfId="0" applyFont="1" applyBorder="1"/>
    <xf numFmtId="164" fontId="13" fillId="0" borderId="2" xfId="0" applyNumberFormat="1" applyFont="1" applyBorder="1"/>
    <xf numFmtId="43" fontId="13" fillId="0" borderId="2" xfId="0" applyNumberFormat="1" applyFont="1" applyBorder="1"/>
    <xf numFmtId="0" fontId="13" fillId="7" borderId="5" xfId="0" applyFont="1" applyFill="1" applyBorder="1"/>
    <xf numFmtId="0" fontId="13" fillId="0" borderId="2" xfId="0" applyFont="1" applyFill="1" applyBorder="1"/>
    <xf numFmtId="9" fontId="11" fillId="0" borderId="0" xfId="6" applyFont="1"/>
    <xf numFmtId="0" fontId="13" fillId="12" borderId="2" xfId="0" applyFont="1" applyFill="1" applyBorder="1"/>
    <xf numFmtId="0" fontId="13" fillId="13" borderId="2" xfId="0" applyFont="1" applyFill="1" applyBorder="1"/>
    <xf numFmtId="0" fontId="11" fillId="0" borderId="2" xfId="0" applyFont="1" applyBorder="1"/>
    <xf numFmtId="2" fontId="13" fillId="0" borderId="2" xfId="0" applyNumberFormat="1" applyFont="1" applyBorder="1"/>
    <xf numFmtId="9" fontId="17" fillId="0" borderId="2" xfId="6" applyFont="1" applyBorder="1"/>
    <xf numFmtId="0" fontId="13" fillId="0" borderId="3" xfId="0" applyFont="1" applyFill="1" applyBorder="1" applyAlignment="1">
      <alignment horizontal="left"/>
    </xf>
    <xf numFmtId="0" fontId="13" fillId="0" borderId="3" xfId="0" applyFont="1" applyBorder="1"/>
    <xf numFmtId="0" fontId="13" fillId="0" borderId="2" xfId="0" applyFont="1" applyFill="1" applyBorder="1" applyAlignment="1"/>
    <xf numFmtId="2" fontId="13" fillId="0" borderId="2" xfId="0" applyNumberFormat="1" applyFont="1" applyFill="1" applyBorder="1" applyAlignment="1">
      <alignment horizontal="center" vertical="center"/>
    </xf>
    <xf numFmtId="2" fontId="13" fillId="0" borderId="2" xfId="0" applyNumberFormat="1" applyFont="1" applyBorder="1" applyAlignment="1">
      <alignment horizontal="center" vertical="center"/>
    </xf>
    <xf numFmtId="10" fontId="13" fillId="0" borderId="2" xfId="0" applyNumberFormat="1" applyFont="1" applyBorder="1"/>
    <xf numFmtId="0" fontId="13" fillId="0" borderId="0" xfId="0" applyFont="1" applyBorder="1"/>
    <xf numFmtId="10" fontId="13" fillId="0" borderId="0" xfId="0" applyNumberFormat="1" applyFont="1" applyBorder="1"/>
    <xf numFmtId="167" fontId="13" fillId="0" borderId="0" xfId="0" applyNumberFormat="1" applyFont="1" applyBorder="1"/>
    <xf numFmtId="164" fontId="10" fillId="0" borderId="0" xfId="0" applyNumberFormat="1" applyFont="1" applyBorder="1"/>
    <xf numFmtId="164" fontId="12" fillId="8" borderId="1" xfId="0" applyNumberFormat="1" applyFont="1" applyFill="1" applyBorder="1" applyAlignment="1">
      <alignment horizontal="center"/>
    </xf>
    <xf numFmtId="164" fontId="12" fillId="8" borderId="4" xfId="0" applyNumberFormat="1" applyFont="1" applyFill="1" applyBorder="1" applyAlignment="1">
      <alignment horizontal="center"/>
    </xf>
    <xf numFmtId="164" fontId="13" fillId="0" borderId="2" xfId="0" applyNumberFormat="1" applyFont="1" applyFill="1" applyBorder="1"/>
    <xf numFmtId="164" fontId="11" fillId="0" borderId="2" xfId="0" applyNumberFormat="1" applyFont="1" applyBorder="1"/>
    <xf numFmtId="0" fontId="22" fillId="0" borderId="0" xfId="0" applyFont="1" applyAlignment="1">
      <alignment horizontal="left" vertical="center"/>
    </xf>
    <xf numFmtId="0" fontId="1" fillId="0" borderId="0" xfId="0" applyFont="1" applyAlignment="1">
      <alignment wrapText="1"/>
    </xf>
    <xf numFmtId="168" fontId="1" fillId="0" borderId="0" xfId="0" applyNumberFormat="1" applyFont="1"/>
    <xf numFmtId="0" fontId="1" fillId="0" borderId="0" xfId="0" applyFont="1"/>
    <xf numFmtId="0" fontId="1" fillId="0" borderId="0" xfId="0" applyFont="1" applyAlignment="1">
      <alignment horizontal="center" vertical="center"/>
    </xf>
    <xf numFmtId="0" fontId="23" fillId="0" borderId="0" xfId="0" applyFont="1" applyAlignment="1">
      <alignment horizontal="left" vertical="center"/>
    </xf>
    <xf numFmtId="0" fontId="24" fillId="0" borderId="0" xfId="0" applyFont="1" applyAlignment="1">
      <alignment horizontal="left" vertical="center"/>
    </xf>
    <xf numFmtId="0" fontId="25" fillId="0" borderId="0" xfId="0" applyFont="1" applyAlignment="1">
      <alignment wrapText="1"/>
    </xf>
    <xf numFmtId="9" fontId="0" fillId="0" borderId="0" xfId="6" applyFont="1" applyAlignment="1">
      <alignment horizontal="center" vertical="center"/>
    </xf>
    <xf numFmtId="0" fontId="24" fillId="0" borderId="0" xfId="0" applyFont="1" applyFill="1" applyAlignment="1">
      <alignment horizontal="left" vertical="center"/>
    </xf>
    <xf numFmtId="168" fontId="1" fillId="0" borderId="0" xfId="0" applyNumberFormat="1" applyFont="1" applyAlignment="1">
      <alignment horizontal="center" vertical="center"/>
    </xf>
    <xf numFmtId="9" fontId="0" fillId="0" borderId="0" xfId="0" applyNumberFormat="1" applyAlignment="1">
      <alignment horizontal="center" vertical="center"/>
    </xf>
    <xf numFmtId="9" fontId="0" fillId="0" borderId="0" xfId="0" applyNumberFormat="1"/>
    <xf numFmtId="168" fontId="1" fillId="0" borderId="0" xfId="6" applyNumberFormat="1" applyFont="1" applyAlignment="1">
      <alignment horizontal="center" vertical="center"/>
    </xf>
    <xf numFmtId="1" fontId="3" fillId="0" borderId="0" xfId="6" applyNumberFormat="1" applyFont="1" applyAlignment="1">
      <alignment horizontal="center" vertical="center"/>
    </xf>
    <xf numFmtId="1" fontId="3" fillId="13" borderId="0" xfId="6" applyNumberFormat="1" applyFont="1" applyFill="1" applyAlignment="1">
      <alignment horizontal="center" vertical="center"/>
    </xf>
    <xf numFmtId="0" fontId="0" fillId="0" borderId="0" xfId="0" applyFill="1" applyAlignment="1">
      <alignment horizontal="center" vertical="center"/>
    </xf>
    <xf numFmtId="0" fontId="26" fillId="0" borderId="0" xfId="0" applyFont="1" applyAlignment="1">
      <alignment wrapText="1"/>
    </xf>
    <xf numFmtId="0" fontId="0" fillId="0" borderId="0" xfId="0" applyFill="1" applyAlignment="1">
      <alignment horizontal="center"/>
    </xf>
    <xf numFmtId="1" fontId="0" fillId="0" borderId="0" xfId="0" applyNumberFormat="1" applyFill="1" applyAlignment="1">
      <alignment horizontal="center" vertical="center"/>
    </xf>
    <xf numFmtId="0" fontId="0" fillId="0" borderId="0" xfId="0" applyAlignment="1">
      <alignment horizontal="center" vertical="center"/>
    </xf>
    <xf numFmtId="169" fontId="0" fillId="0" borderId="0" xfId="0" applyNumberFormat="1" applyFill="1" applyAlignment="1">
      <alignment horizontal="center" vertical="center"/>
    </xf>
    <xf numFmtId="169" fontId="0" fillId="0" borderId="0" xfId="6" applyNumberFormat="1" applyFont="1" applyAlignment="1">
      <alignment horizontal="center" vertical="center"/>
    </xf>
    <xf numFmtId="169" fontId="0" fillId="0" borderId="0" xfId="0" applyNumberFormat="1"/>
    <xf numFmtId="1" fontId="0" fillId="0" borderId="0" xfId="6" applyNumberFormat="1" applyFont="1" applyAlignment="1">
      <alignment horizontal="center" vertical="center"/>
    </xf>
    <xf numFmtId="9" fontId="0" fillId="0" borderId="0" xfId="6" applyFont="1" applyFill="1" applyAlignment="1">
      <alignment horizontal="center" vertical="center"/>
    </xf>
    <xf numFmtId="2" fontId="0" fillId="0" borderId="0" xfId="6" applyNumberFormat="1" applyFont="1" applyFill="1" applyAlignment="1">
      <alignment horizontal="center" vertical="center"/>
    </xf>
    <xf numFmtId="9" fontId="1" fillId="0" borderId="0" xfId="6" applyFont="1" applyAlignment="1">
      <alignment horizontal="center" vertical="center"/>
    </xf>
    <xf numFmtId="170" fontId="0" fillId="0" borderId="0" xfId="6" applyNumberFormat="1" applyFont="1" applyAlignment="1">
      <alignment horizontal="center" vertical="center"/>
    </xf>
    <xf numFmtId="0" fontId="27" fillId="0" borderId="0" xfId="0" applyFont="1" applyAlignment="1">
      <alignment wrapText="1"/>
    </xf>
    <xf numFmtId="2" fontId="0" fillId="0" borderId="0" xfId="0" applyNumberFormat="1" applyAlignment="1">
      <alignment horizontal="center" vertical="center"/>
    </xf>
    <xf numFmtId="9" fontId="0" fillId="0" borderId="0" xfId="6" applyFont="1"/>
    <xf numFmtId="2" fontId="0" fillId="0" borderId="0" xfId="6" applyNumberFormat="1" applyFont="1" applyAlignment="1">
      <alignment horizontal="center" vertical="center"/>
    </xf>
    <xf numFmtId="169" fontId="0" fillId="0" borderId="0" xfId="0" applyNumberFormat="1" applyAlignment="1">
      <alignment horizontal="center" vertical="center"/>
    </xf>
    <xf numFmtId="9" fontId="3" fillId="0" borderId="0" xfId="6" applyFont="1" applyAlignment="1">
      <alignment horizontal="center" vertical="center"/>
    </xf>
    <xf numFmtId="0" fontId="0" fillId="0" borderId="0" xfId="0" applyAlignment="1">
      <alignment horizontal="left" vertical="center"/>
    </xf>
    <xf numFmtId="1" fontId="0" fillId="0" borderId="0" xfId="0" applyNumberFormat="1" applyAlignment="1">
      <alignment horizontal="center" vertical="center"/>
    </xf>
    <xf numFmtId="0" fontId="28" fillId="0" borderId="0" xfId="0" applyFont="1" applyAlignment="1">
      <alignment horizontal="left" vertical="center"/>
    </xf>
    <xf numFmtId="164" fontId="0" fillId="0" borderId="0" xfId="6" applyNumberFormat="1" applyFont="1" applyAlignment="1">
      <alignment horizontal="center" vertical="center"/>
    </xf>
    <xf numFmtId="164" fontId="0" fillId="0" borderId="0" xfId="0" applyNumberFormat="1" applyFill="1" applyAlignment="1">
      <alignment horizontal="center" vertical="center"/>
    </xf>
    <xf numFmtId="164" fontId="0" fillId="0" borderId="0" xfId="0" applyNumberFormat="1" applyFill="1" applyAlignment="1">
      <alignment horizontal="center"/>
    </xf>
    <xf numFmtId="164" fontId="3" fillId="0" borderId="0" xfId="6" applyNumberFormat="1" applyFont="1" applyAlignment="1">
      <alignment horizontal="center" vertical="center"/>
    </xf>
    <xf numFmtId="164" fontId="0" fillId="0" borderId="0" xfId="0" applyNumberFormat="1"/>
    <xf numFmtId="10" fontId="3" fillId="0" borderId="0" xfId="6" applyNumberFormat="1" applyFont="1" applyAlignment="1">
      <alignment horizontal="center" vertical="center"/>
    </xf>
    <xf numFmtId="2" fontId="3" fillId="0" borderId="0" xfId="6" applyNumberFormat="1" applyFont="1" applyAlignment="1">
      <alignment horizontal="center" vertical="center"/>
    </xf>
    <xf numFmtId="10" fontId="0" fillId="0" borderId="0" xfId="6" applyNumberFormat="1" applyFont="1" applyAlignment="1">
      <alignment horizontal="center" vertical="center"/>
    </xf>
    <xf numFmtId="0" fontId="30" fillId="0" borderId="0" xfId="7" applyFont="1" applyAlignment="1">
      <alignment wrapText="1"/>
    </xf>
    <xf numFmtId="0" fontId="30" fillId="0" borderId="10" xfId="7" applyFont="1" applyBorder="1" applyAlignment="1">
      <alignment wrapText="1"/>
    </xf>
    <xf numFmtId="0" fontId="31" fillId="14" borderId="10" xfId="7" applyFont="1" applyFill="1" applyBorder="1" applyAlignment="1">
      <alignment horizontal="center" wrapText="1"/>
    </xf>
    <xf numFmtId="0" fontId="32" fillId="0" borderId="3" xfId="7" applyFont="1" applyBorder="1" applyAlignment="1">
      <alignment wrapText="1"/>
    </xf>
    <xf numFmtId="2" fontId="33" fillId="15" borderId="3" xfId="7" applyNumberFormat="1" applyFont="1" applyFill="1" applyBorder="1" applyAlignment="1">
      <alignment horizontal="center" wrapText="1"/>
    </xf>
    <xf numFmtId="10" fontId="33" fillId="15" borderId="3" xfId="7" applyNumberFormat="1" applyFont="1" applyFill="1" applyBorder="1" applyAlignment="1">
      <alignment horizontal="center" wrapText="1"/>
    </xf>
    <xf numFmtId="1" fontId="33" fillId="15" borderId="3" xfId="7" applyNumberFormat="1" applyFont="1" applyFill="1" applyBorder="1" applyAlignment="1">
      <alignment horizontal="center" wrapText="1"/>
    </xf>
    <xf numFmtId="2" fontId="33" fillId="15" borderId="0" xfId="7" applyNumberFormat="1" applyFont="1" applyFill="1" applyBorder="1" applyAlignment="1">
      <alignment horizontal="center" wrapText="1"/>
    </xf>
    <xf numFmtId="10" fontId="33" fillId="15" borderId="0" xfId="7" applyNumberFormat="1" applyFont="1" applyFill="1" applyBorder="1" applyAlignment="1">
      <alignment horizontal="center" wrapText="1"/>
    </xf>
    <xf numFmtId="169" fontId="33" fillId="15" borderId="0" xfId="7" applyNumberFormat="1" applyFont="1" applyFill="1" applyBorder="1" applyAlignment="1">
      <alignment horizontal="center" wrapText="1"/>
    </xf>
    <xf numFmtId="9" fontId="33" fillId="15" borderId="0" xfId="6" applyFont="1" applyFill="1" applyBorder="1" applyAlignment="1">
      <alignment horizontal="center" wrapText="1"/>
    </xf>
    <xf numFmtId="169" fontId="33" fillId="15" borderId="3" xfId="7" applyNumberFormat="1" applyFont="1" applyFill="1" applyBorder="1" applyAlignment="1">
      <alignment horizontal="center" wrapText="1"/>
    </xf>
    <xf numFmtId="9" fontId="33" fillId="15" borderId="3" xfId="6" applyFont="1" applyFill="1" applyBorder="1" applyAlignment="1">
      <alignment horizontal="center" wrapText="1"/>
    </xf>
    <xf numFmtId="0" fontId="32" fillId="0" borderId="2" xfId="7" applyFont="1" applyBorder="1" applyAlignment="1">
      <alignment wrapText="1"/>
    </xf>
    <xf numFmtId="2" fontId="33" fillId="15" borderId="2" xfId="7" applyNumberFormat="1" applyFont="1" applyFill="1" applyBorder="1" applyAlignment="1">
      <alignment horizontal="center" wrapText="1"/>
    </xf>
    <xf numFmtId="10" fontId="33" fillId="15" borderId="2" xfId="7" applyNumberFormat="1" applyFont="1" applyFill="1" applyBorder="1" applyAlignment="1">
      <alignment horizontal="center" wrapText="1"/>
    </xf>
    <xf numFmtId="0" fontId="30" fillId="0" borderId="2" xfId="7" applyFont="1" applyBorder="1" applyAlignment="1">
      <alignment wrapText="1"/>
    </xf>
    <xf numFmtId="169" fontId="33" fillId="15" borderId="2" xfId="7" applyNumberFormat="1" applyFont="1" applyFill="1" applyBorder="1" applyAlignment="1">
      <alignment horizontal="center" wrapText="1"/>
    </xf>
    <xf numFmtId="9" fontId="33" fillId="15" borderId="2" xfId="6" applyFont="1" applyFill="1" applyBorder="1" applyAlignment="1">
      <alignment horizontal="center" wrapText="1"/>
    </xf>
    <xf numFmtId="0" fontId="32" fillId="0" borderId="11" xfId="7" applyFont="1" applyBorder="1" applyAlignment="1">
      <alignment wrapText="1"/>
    </xf>
    <xf numFmtId="2" fontId="33" fillId="15" borderId="11" xfId="7" applyNumberFormat="1" applyFont="1" applyFill="1" applyBorder="1" applyAlignment="1">
      <alignment horizontal="center" wrapText="1"/>
    </xf>
    <xf numFmtId="10" fontId="33" fillId="15" borderId="11" xfId="7" applyNumberFormat="1" applyFont="1" applyFill="1" applyBorder="1" applyAlignment="1">
      <alignment horizontal="center" wrapText="1"/>
    </xf>
    <xf numFmtId="1" fontId="33" fillId="15" borderId="11" xfId="7" applyNumberFormat="1" applyFont="1" applyFill="1" applyBorder="1" applyAlignment="1">
      <alignment horizontal="center" wrapText="1"/>
    </xf>
    <xf numFmtId="169" fontId="33" fillId="15" borderId="11" xfId="7" applyNumberFormat="1" applyFont="1" applyFill="1" applyBorder="1" applyAlignment="1">
      <alignment horizontal="center" wrapText="1"/>
    </xf>
    <xf numFmtId="9" fontId="33" fillId="15" borderId="11" xfId="6" applyFont="1" applyFill="1" applyBorder="1" applyAlignment="1">
      <alignment horizontal="center" wrapText="1"/>
    </xf>
    <xf numFmtId="170" fontId="31" fillId="15" borderId="2" xfId="7" applyNumberFormat="1" applyFont="1" applyFill="1" applyBorder="1" applyAlignment="1">
      <alignment horizontal="center" vertical="center" wrapText="1"/>
    </xf>
    <xf numFmtId="170" fontId="31" fillId="16" borderId="2" xfId="7" applyNumberFormat="1" applyFont="1" applyFill="1" applyBorder="1" applyAlignment="1">
      <alignment horizontal="center" vertical="center" wrapText="1"/>
    </xf>
    <xf numFmtId="10" fontId="32" fillId="0" borderId="2" xfId="7" applyNumberFormat="1" applyFont="1" applyBorder="1" applyAlignment="1">
      <alignment horizontal="center" vertical="center" wrapText="1"/>
    </xf>
    <xf numFmtId="0" fontId="32" fillId="0" borderId="2" xfId="7" applyFont="1" applyBorder="1" applyAlignment="1">
      <alignment horizontal="center" vertical="center" wrapText="1"/>
    </xf>
    <xf numFmtId="2" fontId="32" fillId="0" borderId="2" xfId="7" applyNumberFormat="1" applyFont="1" applyBorder="1" applyAlignment="1">
      <alignment horizontal="center" vertical="center" wrapText="1"/>
    </xf>
    <xf numFmtId="170" fontId="32" fillId="0" borderId="2" xfId="7" applyNumberFormat="1" applyFont="1" applyBorder="1" applyAlignment="1">
      <alignment horizontal="center" vertical="center" wrapText="1"/>
    </xf>
    <xf numFmtId="0" fontId="30" fillId="0" borderId="0" xfId="7" applyFont="1" applyBorder="1" applyAlignment="1">
      <alignment horizontal="center" wrapText="1"/>
    </xf>
    <xf numFmtId="0" fontId="30" fillId="0" borderId="0" xfId="7" applyFont="1" applyBorder="1" applyAlignment="1">
      <alignment wrapText="1"/>
    </xf>
    <xf numFmtId="0" fontId="32" fillId="0" borderId="0" xfId="7" applyFont="1" applyBorder="1" applyAlignment="1">
      <alignment wrapText="1"/>
    </xf>
    <xf numFmtId="0" fontId="29" fillId="8" borderId="3" xfId="7" applyFont="1" applyFill="1" applyBorder="1" applyAlignment="1">
      <alignment horizontal="center" wrapText="1"/>
    </xf>
    <xf numFmtId="0" fontId="29" fillId="8" borderId="12" xfId="7" applyFont="1" applyFill="1" applyBorder="1" applyAlignment="1">
      <alignment horizontal="center" wrapText="1"/>
    </xf>
    <xf numFmtId="0" fontId="34" fillId="0" borderId="3" xfId="7" applyFont="1" applyFill="1" applyBorder="1" applyAlignment="1">
      <alignment horizontal="right" wrapText="1"/>
    </xf>
    <xf numFmtId="1" fontId="33" fillId="15" borderId="3" xfId="7" applyNumberFormat="1" applyFont="1" applyFill="1" applyBorder="1" applyAlignment="1">
      <alignment horizontal="center" vertical="center" wrapText="1"/>
    </xf>
    <xf numFmtId="2" fontId="33" fillId="15" borderId="3" xfId="7" applyNumberFormat="1" applyFont="1" applyFill="1" applyBorder="1" applyAlignment="1">
      <alignment horizontal="center" vertical="center" wrapText="1"/>
    </xf>
    <xf numFmtId="2" fontId="29" fillId="15" borderId="3" xfId="7" applyNumberFormat="1" applyFont="1" applyFill="1" applyBorder="1" applyAlignment="1">
      <alignment horizontal="center" wrapText="1"/>
    </xf>
    <xf numFmtId="169" fontId="29" fillId="15" borderId="3" xfId="7" applyNumberFormat="1" applyFont="1" applyFill="1" applyBorder="1" applyAlignment="1">
      <alignment horizontal="center" wrapText="1"/>
    </xf>
    <xf numFmtId="9" fontId="29" fillId="15" borderId="3" xfId="6" applyFont="1" applyFill="1" applyBorder="1" applyAlignment="1">
      <alignment horizontal="center" wrapText="1"/>
    </xf>
    <xf numFmtId="0" fontId="30" fillId="0" borderId="7" xfId="7" applyFont="1" applyBorder="1" applyAlignment="1">
      <alignment horizontal="left" wrapText="1"/>
    </xf>
    <xf numFmtId="0" fontId="29" fillId="8" borderId="1" xfId="7" applyFont="1" applyFill="1" applyBorder="1" applyAlignment="1">
      <alignment horizontal="center" wrapText="1"/>
    </xf>
    <xf numFmtId="0" fontId="29" fillId="8" borderId="2" xfId="7" applyFont="1" applyFill="1" applyBorder="1" applyAlignment="1">
      <alignment horizontal="center" wrapText="1"/>
    </xf>
    <xf numFmtId="0" fontId="32" fillId="0" borderId="1" xfId="7" applyFont="1" applyBorder="1" applyAlignment="1">
      <alignment horizontal="right" wrapText="1"/>
    </xf>
    <xf numFmtId="170" fontId="29" fillId="17" borderId="3" xfId="7" applyNumberFormat="1" applyFont="1" applyFill="1" applyBorder="1" applyAlignment="1">
      <alignment horizontal="center" vertical="center" wrapText="1"/>
    </xf>
    <xf numFmtId="170" fontId="33" fillId="15" borderId="3" xfId="7" applyNumberFormat="1" applyFont="1" applyFill="1" applyBorder="1" applyAlignment="1">
      <alignment horizontal="center" wrapText="1"/>
    </xf>
    <xf numFmtId="0" fontId="33" fillId="15" borderId="3" xfId="7" applyFont="1" applyFill="1" applyBorder="1" applyAlignment="1">
      <alignment wrapText="1"/>
    </xf>
    <xf numFmtId="9" fontId="33" fillId="15" borderId="3" xfId="7" applyNumberFormat="1" applyFont="1" applyFill="1" applyBorder="1" applyAlignment="1">
      <alignment horizontal="center" wrapText="1"/>
    </xf>
    <xf numFmtId="0" fontId="33" fillId="15" borderId="0" xfId="7" applyFont="1" applyFill="1" applyAlignment="1">
      <alignment wrapText="1"/>
    </xf>
    <xf numFmtId="0" fontId="33" fillId="15" borderId="3" xfId="7" applyFont="1" applyFill="1" applyBorder="1" applyAlignment="1">
      <alignment horizontal="left" wrapText="1"/>
    </xf>
    <xf numFmtId="10" fontId="29" fillId="17" borderId="3" xfId="7" applyNumberFormat="1" applyFont="1" applyFill="1" applyBorder="1" applyAlignment="1">
      <alignment horizontal="center" vertical="center" wrapText="1"/>
    </xf>
    <xf numFmtId="0" fontId="32" fillId="18" borderId="0" xfId="7" applyFont="1" applyFill="1" applyBorder="1" applyAlignment="1">
      <alignment horizontal="right" wrapText="1"/>
    </xf>
    <xf numFmtId="170" fontId="31" fillId="16" borderId="0" xfId="7" applyNumberFormat="1" applyFont="1" applyFill="1" applyBorder="1" applyAlignment="1">
      <alignment horizontal="center" vertical="center" wrapText="1"/>
    </xf>
    <xf numFmtId="170" fontId="29" fillId="19" borderId="0" xfId="7" applyNumberFormat="1" applyFont="1" applyFill="1" applyBorder="1" applyAlignment="1">
      <alignment horizontal="center" vertical="center" wrapText="1"/>
    </xf>
    <xf numFmtId="170" fontId="33" fillId="16" borderId="0" xfId="7" applyNumberFormat="1" applyFont="1" applyFill="1" applyBorder="1" applyAlignment="1">
      <alignment horizontal="center" wrapText="1"/>
    </xf>
    <xf numFmtId="0" fontId="30" fillId="18" borderId="0" xfId="7" applyFont="1" applyFill="1" applyAlignment="1">
      <alignment wrapText="1"/>
    </xf>
    <xf numFmtId="0" fontId="29" fillId="8" borderId="2" xfId="7" applyFont="1" applyFill="1" applyBorder="1" applyAlignment="1">
      <alignment horizontal="center" vertical="center" wrapText="1"/>
    </xf>
    <xf numFmtId="169" fontId="31" fillId="16" borderId="2" xfId="7" applyNumberFormat="1" applyFont="1" applyFill="1" applyBorder="1" applyAlignment="1">
      <alignment horizontal="center" vertical="center" wrapText="1"/>
    </xf>
    <xf numFmtId="1" fontId="32" fillId="18" borderId="2" xfId="7" applyNumberFormat="1" applyFont="1" applyFill="1" applyBorder="1" applyAlignment="1">
      <alignment horizontal="center" vertical="center" wrapText="1"/>
    </xf>
    <xf numFmtId="169" fontId="32" fillId="18" borderId="2" xfId="7" applyNumberFormat="1" applyFont="1" applyFill="1" applyBorder="1" applyAlignment="1">
      <alignment horizontal="center" vertical="center" wrapText="1"/>
    </xf>
    <xf numFmtId="2" fontId="32" fillId="18" borderId="2" xfId="7" applyNumberFormat="1" applyFont="1" applyFill="1" applyBorder="1" applyAlignment="1">
      <alignment horizontal="center" vertical="center" wrapText="1"/>
    </xf>
    <xf numFmtId="170" fontId="35" fillId="16" borderId="2" xfId="7" applyNumberFormat="1" applyFont="1" applyFill="1" applyBorder="1" applyAlignment="1">
      <alignment horizontal="center" vertical="center" wrapText="1"/>
    </xf>
    <xf numFmtId="169" fontId="31" fillId="16" borderId="0" xfId="7" applyNumberFormat="1" applyFont="1" applyFill="1" applyBorder="1" applyAlignment="1">
      <alignment horizontal="center" vertical="center" wrapText="1"/>
    </xf>
    <xf numFmtId="1" fontId="32" fillId="18" borderId="0" xfId="7" applyNumberFormat="1" applyFont="1" applyFill="1" applyBorder="1" applyAlignment="1">
      <alignment horizontal="center" vertical="center" wrapText="1"/>
    </xf>
    <xf numFmtId="169" fontId="32" fillId="18" borderId="0" xfId="7" applyNumberFormat="1" applyFont="1" applyFill="1" applyBorder="1" applyAlignment="1">
      <alignment horizontal="center" vertical="center" wrapText="1"/>
    </xf>
    <xf numFmtId="2" fontId="32" fillId="18" borderId="0" xfId="7" applyNumberFormat="1" applyFont="1" applyFill="1" applyBorder="1" applyAlignment="1">
      <alignment horizontal="center" vertical="center" wrapText="1"/>
    </xf>
    <xf numFmtId="170" fontId="32" fillId="18" borderId="2" xfId="7" applyNumberFormat="1" applyFont="1" applyFill="1" applyBorder="1" applyAlignment="1">
      <alignment horizontal="center" vertical="center" wrapText="1"/>
    </xf>
    <xf numFmtId="0" fontId="30" fillId="18" borderId="2" xfId="7" applyFont="1" applyFill="1" applyBorder="1" applyAlignment="1">
      <alignment wrapText="1"/>
    </xf>
    <xf numFmtId="169" fontId="31" fillId="19" borderId="2" xfId="7" applyNumberFormat="1" applyFont="1" applyFill="1" applyBorder="1" applyAlignment="1">
      <alignment horizontal="center" vertical="center" wrapText="1"/>
    </xf>
    <xf numFmtId="170" fontId="31" fillId="19" borderId="2" xfId="7" applyNumberFormat="1" applyFont="1" applyFill="1" applyBorder="1" applyAlignment="1">
      <alignment horizontal="center" vertical="center" wrapText="1"/>
    </xf>
    <xf numFmtId="170" fontId="36" fillId="16" borderId="2" xfId="7" applyNumberFormat="1" applyFont="1" applyFill="1" applyBorder="1" applyAlignment="1">
      <alignment horizontal="center" wrapText="1"/>
    </xf>
    <xf numFmtId="170" fontId="33" fillId="16" borderId="2" xfId="7" applyNumberFormat="1" applyFont="1" applyFill="1" applyBorder="1" applyAlignment="1">
      <alignment horizontal="center" wrapText="1"/>
    </xf>
    <xf numFmtId="170" fontId="32" fillId="18" borderId="0" xfId="7" applyNumberFormat="1" applyFont="1" applyFill="1" applyBorder="1" applyAlignment="1">
      <alignment horizontal="center" vertical="center" wrapText="1"/>
    </xf>
    <xf numFmtId="0" fontId="30" fillId="18" borderId="0" xfId="7" applyFont="1" applyFill="1" applyBorder="1" applyAlignment="1">
      <alignment wrapText="1"/>
    </xf>
    <xf numFmtId="169" fontId="31" fillId="19" borderId="0" xfId="7" applyNumberFormat="1" applyFont="1" applyFill="1" applyBorder="1" applyAlignment="1">
      <alignment horizontal="center" vertical="center" wrapText="1"/>
    </xf>
    <xf numFmtId="170" fontId="31" fillId="19" borderId="0" xfId="7" applyNumberFormat="1" applyFont="1" applyFill="1" applyBorder="1" applyAlignment="1">
      <alignment horizontal="center" vertical="center" wrapText="1"/>
    </xf>
    <xf numFmtId="170" fontId="36" fillId="16" borderId="0" xfId="7" applyNumberFormat="1" applyFont="1" applyFill="1" applyBorder="1" applyAlignment="1">
      <alignment horizontal="center" wrapText="1"/>
    </xf>
    <xf numFmtId="169" fontId="32" fillId="0" borderId="2" xfId="7" applyNumberFormat="1" applyFont="1" applyBorder="1" applyAlignment="1">
      <alignment horizontal="center" vertical="center" wrapText="1"/>
    </xf>
    <xf numFmtId="170" fontId="30" fillId="0" borderId="2" xfId="7" applyNumberFormat="1" applyFont="1" applyBorder="1" applyAlignment="1">
      <alignment horizontal="center" vertical="center" wrapText="1"/>
    </xf>
    <xf numFmtId="169" fontId="32" fillId="0" borderId="0" xfId="7" applyNumberFormat="1" applyFont="1" applyBorder="1" applyAlignment="1">
      <alignment horizontal="center" vertical="center" wrapText="1"/>
    </xf>
    <xf numFmtId="2" fontId="32" fillId="0" borderId="0" xfId="7" applyNumberFormat="1" applyFont="1" applyAlignment="1">
      <alignment horizontal="center" vertical="center" wrapText="1"/>
    </xf>
    <xf numFmtId="10" fontId="32" fillId="0" borderId="0" xfId="7" applyNumberFormat="1" applyFont="1" applyAlignment="1">
      <alignment horizontal="center" vertical="center" wrapText="1"/>
    </xf>
    <xf numFmtId="170" fontId="32" fillId="0" borderId="0" xfId="7" applyNumberFormat="1" applyFont="1" applyAlignment="1">
      <alignment horizontal="center" vertical="center" wrapText="1"/>
    </xf>
    <xf numFmtId="170" fontId="30" fillId="0" borderId="0" xfId="7" applyNumberFormat="1" applyFont="1" applyAlignment="1">
      <alignment horizontal="center" wrapText="1"/>
    </xf>
    <xf numFmtId="0" fontId="32" fillId="0" borderId="0" xfId="7" applyFont="1" applyAlignment="1">
      <alignment horizontal="center" vertical="center" wrapText="1"/>
    </xf>
    <xf numFmtId="0" fontId="30" fillId="18" borderId="2" xfId="7" applyFont="1" applyFill="1" applyBorder="1" applyAlignment="1">
      <alignment horizontal="center" vertical="center" wrapText="1"/>
    </xf>
    <xf numFmtId="10" fontId="32" fillId="0" borderId="0" xfId="7" applyNumberFormat="1" applyFont="1" applyBorder="1" applyAlignment="1">
      <alignment wrapText="1"/>
    </xf>
    <xf numFmtId="14" fontId="29" fillId="8" borderId="1" xfId="7" applyNumberFormat="1" applyFont="1" applyFill="1" applyBorder="1" applyAlignment="1">
      <alignment horizontal="center" wrapText="1"/>
    </xf>
    <xf numFmtId="2" fontId="29" fillId="15" borderId="1" xfId="7" applyNumberFormat="1" applyFont="1" applyFill="1" applyBorder="1" applyAlignment="1">
      <alignment horizontal="center" vertical="center" wrapText="1"/>
    </xf>
    <xf numFmtId="169" fontId="29" fillId="15" borderId="1" xfId="7" applyNumberFormat="1" applyFont="1" applyFill="1" applyBorder="1" applyAlignment="1">
      <alignment horizontal="center" vertical="center" wrapText="1"/>
    </xf>
    <xf numFmtId="9" fontId="30" fillId="0" borderId="0" xfId="6" applyFont="1" applyAlignment="1">
      <alignment wrapText="1"/>
    </xf>
    <xf numFmtId="0" fontId="32" fillId="20" borderId="1" xfId="7" applyFont="1" applyFill="1" applyBorder="1" applyAlignment="1">
      <alignment horizontal="right" wrapText="1"/>
    </xf>
    <xf numFmtId="0" fontId="32" fillId="0" borderId="0" xfId="7" applyFont="1" applyAlignment="1">
      <alignment wrapText="1"/>
    </xf>
    <xf numFmtId="1" fontId="29" fillId="15" borderId="1" xfId="7" applyNumberFormat="1" applyFont="1" applyFill="1" applyBorder="1" applyAlignment="1">
      <alignment horizontal="center" vertical="center" wrapText="1"/>
    </xf>
    <xf numFmtId="0" fontId="32" fillId="0" borderId="0" xfId="7" applyFont="1" applyBorder="1" applyAlignment="1">
      <alignment horizontal="right" wrapText="1"/>
    </xf>
    <xf numFmtId="0" fontId="32" fillId="0" borderId="0" xfId="7" applyFont="1" applyAlignment="1">
      <alignment horizontal="right" wrapText="1"/>
    </xf>
    <xf numFmtId="0" fontId="32" fillId="0" borderId="1" xfId="7" applyFont="1" applyFill="1" applyBorder="1" applyAlignment="1">
      <alignment horizontal="right" wrapText="1"/>
    </xf>
    <xf numFmtId="10" fontId="33" fillId="17" borderId="1" xfId="7" applyNumberFormat="1" applyFont="1" applyFill="1" applyBorder="1" applyAlignment="1">
      <alignment horizontal="center" vertical="center" wrapText="1"/>
    </xf>
    <xf numFmtId="170" fontId="33" fillId="17" borderId="1" xfId="7" applyNumberFormat="1" applyFont="1" applyFill="1" applyBorder="1" applyAlignment="1">
      <alignment horizontal="center" vertical="center" wrapText="1"/>
    </xf>
    <xf numFmtId="10" fontId="30" fillId="0" borderId="0" xfId="7" applyNumberFormat="1" applyFont="1" applyAlignment="1">
      <alignment wrapText="1"/>
    </xf>
    <xf numFmtId="10" fontId="29" fillId="17" borderId="1" xfId="7" applyNumberFormat="1" applyFont="1" applyFill="1" applyBorder="1" applyAlignment="1">
      <alignment horizontal="center" vertical="center" wrapText="1"/>
    </xf>
    <xf numFmtId="170" fontId="29" fillId="17" borderId="1" xfId="7" applyNumberFormat="1" applyFont="1" applyFill="1" applyBorder="1" applyAlignment="1">
      <alignment horizontal="center" vertical="center" wrapText="1"/>
    </xf>
    <xf numFmtId="170" fontId="29" fillId="17" borderId="16" xfId="7" applyNumberFormat="1" applyFont="1" applyFill="1" applyBorder="1" applyAlignment="1">
      <alignment vertical="center" wrapText="1"/>
    </xf>
    <xf numFmtId="10" fontId="29" fillId="17" borderId="1" xfId="7" applyNumberFormat="1" applyFont="1" applyFill="1" applyBorder="1" applyAlignment="1">
      <alignment wrapText="1"/>
    </xf>
    <xf numFmtId="10" fontId="29" fillId="17" borderId="14" xfId="7" applyNumberFormat="1" applyFont="1" applyFill="1" applyBorder="1" applyAlignment="1">
      <alignment horizontal="center" wrapText="1"/>
    </xf>
    <xf numFmtId="10" fontId="29" fillId="17" borderId="15" xfId="7" applyNumberFormat="1" applyFont="1" applyFill="1" applyBorder="1" applyAlignment="1">
      <alignment horizontal="center" wrapText="1"/>
    </xf>
    <xf numFmtId="10" fontId="29" fillId="17" borderId="16" xfId="7" applyNumberFormat="1" applyFont="1" applyFill="1" applyBorder="1" applyAlignment="1">
      <alignment horizontal="center" wrapText="1"/>
    </xf>
    <xf numFmtId="0" fontId="30" fillId="21" borderId="1" xfId="7" applyFont="1" applyFill="1" applyBorder="1" applyAlignment="1">
      <alignment wrapText="1"/>
    </xf>
    <xf numFmtId="14" fontId="30" fillId="21" borderId="1" xfId="7" applyNumberFormat="1" applyFont="1" applyFill="1" applyBorder="1" applyAlignment="1">
      <alignment wrapText="1"/>
    </xf>
    <xf numFmtId="0" fontId="30" fillId="0" borderId="1" xfId="7" applyFont="1" applyFill="1" applyBorder="1" applyAlignment="1">
      <alignment horizontal="left" wrapText="1"/>
    </xf>
    <xf numFmtId="2" fontId="30" fillId="0" borderId="1" xfId="7" applyNumberFormat="1" applyFont="1" applyFill="1" applyBorder="1" applyAlignment="1">
      <alignment horizontal="center" vertical="center" wrapText="1"/>
    </xf>
    <xf numFmtId="169" fontId="30" fillId="0" borderId="1" xfId="7" applyNumberFormat="1" applyFont="1" applyFill="1" applyBorder="1" applyAlignment="1">
      <alignment horizontal="center" vertical="center" wrapText="1"/>
    </xf>
    <xf numFmtId="0" fontId="30" fillId="0" borderId="1" xfId="7" applyFont="1" applyBorder="1" applyAlignment="1">
      <alignment wrapText="1"/>
    </xf>
    <xf numFmtId="10" fontId="30" fillId="0" borderId="1" xfId="7" applyNumberFormat="1" applyFont="1" applyBorder="1" applyAlignment="1">
      <alignment horizontal="center" vertical="center" wrapText="1"/>
    </xf>
    <xf numFmtId="2" fontId="30" fillId="0" borderId="1" xfId="7" applyNumberFormat="1" applyFont="1" applyBorder="1" applyAlignment="1">
      <alignment horizontal="center" vertical="center" wrapText="1"/>
    </xf>
    <xf numFmtId="9" fontId="30" fillId="0" borderId="1" xfId="6" applyFont="1" applyBorder="1" applyAlignment="1">
      <alignment horizontal="center" vertical="center" wrapText="1"/>
    </xf>
    <xf numFmtId="9" fontId="30" fillId="0" borderId="0" xfId="7" applyNumberFormat="1" applyFont="1" applyAlignment="1">
      <alignment horizontal="center" vertical="center" wrapText="1"/>
    </xf>
    <xf numFmtId="0" fontId="30" fillId="0" borderId="1" xfId="7" applyFont="1" applyFill="1" applyBorder="1" applyAlignment="1">
      <alignment wrapText="1"/>
    </xf>
    <xf numFmtId="43" fontId="30" fillId="0" borderId="1" xfId="7" applyNumberFormat="1" applyFont="1" applyFill="1" applyBorder="1" applyAlignment="1">
      <alignment horizontal="center" vertical="center" wrapText="1"/>
    </xf>
    <xf numFmtId="0" fontId="30" fillId="0" borderId="3" xfId="7" applyFont="1" applyFill="1" applyBorder="1" applyAlignment="1">
      <alignment wrapText="1"/>
    </xf>
    <xf numFmtId="0" fontId="30" fillId="0" borderId="3" xfId="7" applyFont="1" applyFill="1" applyBorder="1" applyAlignment="1">
      <alignment horizontal="center" vertical="center" wrapText="1"/>
    </xf>
    <xf numFmtId="43" fontId="30" fillId="0" borderId="3" xfId="7" applyNumberFormat="1" applyFont="1" applyFill="1" applyBorder="1" applyAlignment="1">
      <alignment horizontal="center" vertical="center" wrapText="1"/>
    </xf>
    <xf numFmtId="0" fontId="30" fillId="0" borderId="3" xfId="7" applyFont="1" applyBorder="1" applyAlignment="1">
      <alignment wrapText="1"/>
    </xf>
    <xf numFmtId="2" fontId="30" fillId="0" borderId="3" xfId="7" applyNumberFormat="1" applyFont="1" applyBorder="1" applyAlignment="1">
      <alignment horizontal="center" vertical="center" wrapText="1"/>
    </xf>
    <xf numFmtId="2" fontId="30" fillId="0" borderId="0" xfId="7" applyNumberFormat="1" applyFont="1" applyBorder="1" applyAlignment="1">
      <alignment wrapText="1"/>
    </xf>
    <xf numFmtId="10" fontId="30" fillId="0" borderId="3" xfId="7" applyNumberFormat="1" applyFont="1" applyFill="1" applyBorder="1" applyAlignment="1">
      <alignment horizontal="center" vertical="center" wrapText="1"/>
    </xf>
    <xf numFmtId="2" fontId="30" fillId="0" borderId="0" xfId="7" applyNumberFormat="1" applyFont="1" applyFill="1" applyBorder="1" applyAlignment="1">
      <alignment wrapText="1"/>
    </xf>
    <xf numFmtId="2" fontId="30" fillId="0" borderId="0" xfId="7" applyNumberFormat="1" applyFont="1" applyFill="1" applyAlignment="1">
      <alignment wrapText="1"/>
    </xf>
    <xf numFmtId="10" fontId="30" fillId="0" borderId="0" xfId="7" applyNumberFormat="1" applyFont="1" applyFill="1" applyAlignment="1">
      <alignment wrapText="1"/>
    </xf>
    <xf numFmtId="0" fontId="30" fillId="0" borderId="0" xfId="7" applyFont="1" applyFill="1" applyAlignment="1">
      <alignment wrapText="1"/>
    </xf>
    <xf numFmtId="0" fontId="30" fillId="0" borderId="0" xfId="7" applyFont="1" applyAlignment="1">
      <alignment horizontal="center" vertical="center" wrapText="1"/>
    </xf>
    <xf numFmtId="10" fontId="30" fillId="0" borderId="2" xfId="7" applyNumberFormat="1" applyFont="1" applyBorder="1" applyAlignment="1">
      <alignment horizontal="center" vertical="center" wrapText="1"/>
    </xf>
    <xf numFmtId="2" fontId="30" fillId="0" borderId="2" xfId="7" applyNumberFormat="1" applyFont="1" applyBorder="1" applyAlignment="1">
      <alignment horizontal="center" vertical="center" wrapText="1"/>
    </xf>
    <xf numFmtId="10" fontId="37" fillId="0" borderId="2" xfId="8" applyNumberFormat="1" applyFont="1" applyBorder="1" applyAlignment="1">
      <alignment horizontal="center" vertical="center" wrapText="1"/>
    </xf>
    <xf numFmtId="164" fontId="29" fillId="8" borderId="1" xfId="7" applyNumberFormat="1" applyFont="1" applyFill="1" applyBorder="1" applyAlignment="1">
      <alignment horizontal="center" wrapText="1"/>
    </xf>
    <xf numFmtId="164" fontId="30" fillId="0" borderId="1" xfId="7" applyNumberFormat="1" applyFont="1" applyBorder="1" applyAlignment="1">
      <alignment horizontal="center" vertical="center" wrapText="1"/>
    </xf>
    <xf numFmtId="164" fontId="30" fillId="0" borderId="1" xfId="6" applyNumberFormat="1" applyFont="1" applyBorder="1" applyAlignment="1">
      <alignment horizontal="center" vertical="center" wrapText="1"/>
    </xf>
    <xf numFmtId="0" fontId="41" fillId="0" borderId="0" xfId="0" applyFont="1"/>
    <xf numFmtId="0" fontId="43" fillId="0" borderId="0" xfId="0" applyFont="1" applyAlignment="1">
      <alignment horizontal="left" vertical="center"/>
    </xf>
    <xf numFmtId="9" fontId="0" fillId="23" borderId="0" xfId="6" applyFont="1" applyFill="1" applyAlignment="1">
      <alignment horizontal="center" vertical="center"/>
    </xf>
    <xf numFmtId="0" fontId="20" fillId="0" borderId="23" xfId="0" applyFont="1" applyBorder="1" applyAlignment="1">
      <alignment horizontal="left"/>
    </xf>
    <xf numFmtId="171" fontId="20" fillId="0" borderId="24" xfId="0" applyNumberFormat="1" applyFont="1" applyBorder="1" applyAlignment="1">
      <alignment horizontal="center"/>
    </xf>
    <xf numFmtId="0" fontId="44" fillId="0" borderId="0" xfId="0" applyFont="1"/>
    <xf numFmtId="9" fontId="41" fillId="23" borderId="0" xfId="0" applyNumberFormat="1" applyFont="1" applyFill="1" applyAlignment="1">
      <alignment horizontal="center" vertical="center"/>
    </xf>
    <xf numFmtId="1" fontId="0" fillId="0" borderId="0" xfId="0" applyNumberFormat="1"/>
    <xf numFmtId="0" fontId="20" fillId="0" borderId="23" xfId="0" quotePrefix="1" applyFont="1" applyBorder="1" applyAlignment="1">
      <alignment horizontal="left"/>
    </xf>
    <xf numFmtId="9" fontId="41" fillId="24" borderId="0" xfId="0" applyNumberFormat="1" applyFont="1" applyFill="1" applyAlignment="1">
      <alignment horizontal="center" vertical="center"/>
    </xf>
    <xf numFmtId="9" fontId="0" fillId="24" borderId="0" xfId="0" applyNumberFormat="1" applyFill="1" applyAlignment="1">
      <alignment horizontal="center" vertical="center"/>
    </xf>
    <xf numFmtId="9" fontId="41" fillId="0" borderId="0" xfId="0" applyNumberFormat="1" applyFont="1" applyAlignment="1">
      <alignment horizontal="center" vertical="center"/>
    </xf>
    <xf numFmtId="43" fontId="20" fillId="0" borderId="24" xfId="0" applyNumberFormat="1" applyFont="1" applyBorder="1" applyAlignment="1">
      <alignment horizontal="center"/>
    </xf>
    <xf numFmtId="0" fontId="45" fillId="25" borderId="20" xfId="0" applyFont="1" applyFill="1" applyBorder="1" applyAlignment="1">
      <alignment horizontal="left"/>
    </xf>
    <xf numFmtId="171" fontId="45" fillId="25" borderId="22" xfId="0" applyNumberFormat="1" applyFont="1" applyFill="1" applyBorder="1" applyAlignment="1">
      <alignment horizontal="center"/>
    </xf>
    <xf numFmtId="0" fontId="44" fillId="0" borderId="0" xfId="0" applyFont="1" applyAlignment="1">
      <alignment horizontal="left"/>
    </xf>
    <xf numFmtId="0" fontId="40" fillId="23" borderId="25" xfId="0" applyNumberFormat="1" applyFont="1" applyFill="1" applyBorder="1" applyAlignment="1">
      <alignment horizontal="center"/>
    </xf>
    <xf numFmtId="0" fontId="40" fillId="23" borderId="26" xfId="0" applyNumberFormat="1" applyFont="1" applyFill="1" applyBorder="1" applyAlignment="1">
      <alignment horizontal="center"/>
    </xf>
    <xf numFmtId="49" fontId="40" fillId="23" borderId="25" xfId="0" applyNumberFormat="1" applyFont="1" applyFill="1" applyBorder="1" applyAlignment="1">
      <alignment horizontal="center"/>
    </xf>
    <xf numFmtId="0" fontId="20" fillId="0" borderId="27" xfId="0" applyFont="1" applyFill="1" applyBorder="1" applyAlignment="1">
      <alignment horizontal="left"/>
    </xf>
    <xf numFmtId="9" fontId="41" fillId="0" borderId="0" xfId="6" applyFont="1"/>
    <xf numFmtId="1" fontId="41" fillId="23" borderId="0" xfId="0" applyNumberFormat="1" applyFont="1" applyFill="1" applyAlignment="1">
      <alignment horizontal="center" vertical="center"/>
    </xf>
    <xf numFmtId="170" fontId="0" fillId="24" borderId="0" xfId="6" applyNumberFormat="1" applyFont="1" applyFill="1" applyAlignment="1">
      <alignment horizontal="center" vertical="center"/>
    </xf>
    <xf numFmtId="169" fontId="20" fillId="23" borderId="0" xfId="0" applyNumberFormat="1" applyFont="1" applyFill="1" applyBorder="1" applyAlignment="1">
      <alignment horizontal="center"/>
    </xf>
    <xf numFmtId="9" fontId="20" fillId="24" borderId="0" xfId="6" applyFont="1" applyFill="1" applyBorder="1" applyAlignment="1">
      <alignment horizontal="center"/>
    </xf>
    <xf numFmtId="169" fontId="20" fillId="24" borderId="0" xfId="0" applyNumberFormat="1" applyFont="1" applyFill="1" applyBorder="1" applyAlignment="1">
      <alignment horizontal="center"/>
    </xf>
    <xf numFmtId="9" fontId="20" fillId="23" borderId="0" xfId="6" applyFont="1" applyFill="1" applyBorder="1" applyAlignment="1">
      <alignment horizontal="center"/>
    </xf>
    <xf numFmtId="9" fontId="3" fillId="24" borderId="0" xfId="6" applyFont="1" applyFill="1" applyAlignment="1">
      <alignment horizontal="center" vertical="center"/>
    </xf>
    <xf numFmtId="0" fontId="41" fillId="0" borderId="0" xfId="0" applyFont="1" applyAlignment="1">
      <alignment horizontal="center" vertical="center"/>
    </xf>
    <xf numFmtId="2" fontId="41" fillId="23" borderId="0" xfId="0" applyNumberFormat="1" applyFont="1" applyFill="1" applyAlignment="1">
      <alignment horizontal="center" vertical="center"/>
    </xf>
    <xf numFmtId="0" fontId="20" fillId="0" borderId="0" xfId="0" applyFont="1"/>
    <xf numFmtId="0" fontId="40" fillId="23" borderId="17" xfId="0" applyFont="1" applyFill="1" applyBorder="1" applyAlignment="1">
      <alignment horizontal="center"/>
    </xf>
    <xf numFmtId="0" fontId="40" fillId="23" borderId="18" xfId="0" applyFont="1" applyFill="1" applyBorder="1" applyAlignment="1">
      <alignment horizontal="center"/>
    </xf>
    <xf numFmtId="0" fontId="40" fillId="23" borderId="19" xfId="0" applyFont="1" applyFill="1" applyBorder="1" applyAlignment="1">
      <alignment horizontal="center"/>
    </xf>
    <xf numFmtId="0" fontId="20" fillId="0" borderId="23" xfId="0" applyFont="1" applyBorder="1" applyAlignment="1">
      <alignment horizontal="center"/>
    </xf>
    <xf numFmtId="38" fontId="20" fillId="0" borderId="2" xfId="0" applyNumberFormat="1" applyFont="1" applyBorder="1" applyAlignment="1">
      <alignment horizontal="center" vertical="center"/>
    </xf>
    <xf numFmtId="9" fontId="20" fillId="0" borderId="2" xfId="0" applyNumberFormat="1" applyFont="1" applyBorder="1" applyAlignment="1">
      <alignment horizontal="center" vertical="center"/>
    </xf>
    <xf numFmtId="167" fontId="20" fillId="0" borderId="24" xfId="0" applyNumberFormat="1" applyFont="1" applyBorder="1" applyAlignment="1">
      <alignment horizontal="center" vertical="center"/>
    </xf>
    <xf numFmtId="0" fontId="20" fillId="0" borderId="20" xfId="0" applyFont="1" applyBorder="1" applyAlignment="1">
      <alignment horizontal="center"/>
    </xf>
    <xf numFmtId="167" fontId="20" fillId="0" borderId="22" xfId="0" applyNumberFormat="1" applyFont="1" applyBorder="1" applyAlignment="1">
      <alignment horizontal="center" vertical="center"/>
    </xf>
    <xf numFmtId="38" fontId="20" fillId="0" borderId="21" xfId="0" applyNumberFormat="1" applyFont="1" applyBorder="1" applyAlignment="1">
      <alignment horizontal="center" vertical="center"/>
    </xf>
    <xf numFmtId="38" fontId="20" fillId="0" borderId="2" xfId="0" applyNumberFormat="1" applyFont="1" applyBorder="1" applyAlignment="1">
      <alignment horizontal="center"/>
    </xf>
    <xf numFmtId="9" fontId="20" fillId="0" borderId="2" xfId="0" applyNumberFormat="1" applyFont="1" applyBorder="1" applyAlignment="1">
      <alignment horizontal="center"/>
    </xf>
    <xf numFmtId="10" fontId="0" fillId="0" borderId="0" xfId="0" applyNumberFormat="1"/>
    <xf numFmtId="164" fontId="0" fillId="23" borderId="0" xfId="0" applyNumberFormat="1" applyFill="1" applyAlignment="1">
      <alignment horizontal="center" vertical="center"/>
    </xf>
    <xf numFmtId="10" fontId="0" fillId="0" borderId="0" xfId="0" applyNumberFormat="1" applyAlignment="1">
      <alignment horizontal="center" vertical="center"/>
    </xf>
    <xf numFmtId="10" fontId="33" fillId="15" borderId="0" xfId="6" applyNumberFormat="1" applyFont="1" applyFill="1" applyBorder="1" applyAlignment="1">
      <alignment horizontal="center" wrapText="1"/>
    </xf>
    <xf numFmtId="10" fontId="33" fillId="15" borderId="3" xfId="6" applyNumberFormat="1" applyFont="1" applyFill="1" applyBorder="1" applyAlignment="1">
      <alignment horizontal="center" wrapText="1"/>
    </xf>
    <xf numFmtId="10" fontId="33" fillId="15" borderId="2" xfId="6" applyNumberFormat="1" applyFont="1" applyFill="1" applyBorder="1" applyAlignment="1">
      <alignment horizontal="center" wrapText="1"/>
    </xf>
    <xf numFmtId="10" fontId="33" fillId="15" borderId="11" xfId="6" applyNumberFormat="1" applyFont="1" applyFill="1" applyBorder="1" applyAlignment="1">
      <alignment horizontal="center" wrapText="1"/>
    </xf>
    <xf numFmtId="9" fontId="30" fillId="13" borderId="0" xfId="6" applyFont="1" applyFill="1" applyBorder="1" applyAlignment="1">
      <alignment wrapText="1"/>
    </xf>
    <xf numFmtId="2" fontId="0" fillId="0" borderId="0" xfId="6" applyNumberFormat="1" applyFont="1"/>
    <xf numFmtId="43" fontId="0" fillId="0" borderId="0" xfId="0" applyNumberFormat="1" applyAlignment="1">
      <alignment horizontal="center" vertical="center"/>
    </xf>
    <xf numFmtId="167" fontId="0" fillId="0" borderId="0" xfId="0" applyNumberFormat="1" applyAlignment="1">
      <alignment horizontal="center" vertical="center"/>
    </xf>
    <xf numFmtId="0" fontId="20" fillId="0" borderId="0" xfId="0" applyFont="1" applyFill="1" applyBorder="1" applyAlignment="1">
      <alignment horizontal="left"/>
    </xf>
    <xf numFmtId="1" fontId="0" fillId="0" borderId="0" xfId="0" applyNumberFormat="1" applyAlignment="1"/>
    <xf numFmtId="0" fontId="45" fillId="25" borderId="0" xfId="0" applyFont="1" applyFill="1" applyBorder="1" applyAlignment="1">
      <alignment horizontal="left"/>
    </xf>
    <xf numFmtId="0" fontId="2" fillId="25" borderId="0" xfId="0" applyFont="1" applyFill="1"/>
    <xf numFmtId="9" fontId="2" fillId="25" borderId="0" xfId="6" applyFont="1" applyFill="1" applyAlignment="1">
      <alignment horizontal="center" vertical="center"/>
    </xf>
    <xf numFmtId="2" fontId="0" fillId="0" borderId="0" xfId="0" applyNumberFormat="1" applyAlignment="1">
      <alignment horizontal="center"/>
    </xf>
    <xf numFmtId="0" fontId="0" fillId="18" borderId="0" xfId="0" applyFont="1" applyFill="1"/>
    <xf numFmtId="172" fontId="0" fillId="0" borderId="0" xfId="0" applyNumberFormat="1" applyAlignment="1">
      <alignment horizontal="center" vertical="center"/>
    </xf>
    <xf numFmtId="170" fontId="5" fillId="25" borderId="0" xfId="6" applyNumberFormat="1" applyFont="1" applyFill="1" applyAlignment="1">
      <alignment horizontal="center" vertical="center"/>
    </xf>
    <xf numFmtId="0" fontId="0" fillId="22" borderId="0" xfId="0" applyFill="1"/>
    <xf numFmtId="0" fontId="0" fillId="22" borderId="0" xfId="0" applyFill="1" applyAlignment="1">
      <alignment horizontal="center" vertical="center"/>
    </xf>
    <xf numFmtId="169" fontId="13" fillId="0" borderId="2" xfId="0" applyNumberFormat="1" applyFont="1" applyBorder="1"/>
    <xf numFmtId="0" fontId="46" fillId="0" borderId="0" xfId="0" applyFont="1"/>
    <xf numFmtId="165" fontId="47" fillId="5" borderId="0" xfId="0" applyNumberFormat="1" applyFont="1" applyFill="1" applyBorder="1" applyAlignment="1">
      <alignment horizontal="center"/>
    </xf>
    <xf numFmtId="1" fontId="46" fillId="0" borderId="0" xfId="0" applyNumberFormat="1" applyFont="1" applyAlignment="1">
      <alignment horizontal="center" vertical="center"/>
    </xf>
    <xf numFmtId="169" fontId="46" fillId="0" borderId="0" xfId="0" applyNumberFormat="1" applyFont="1" applyAlignment="1">
      <alignment horizontal="center" vertical="center"/>
    </xf>
    <xf numFmtId="9" fontId="46" fillId="0" borderId="0" xfId="6" applyFont="1" applyAlignment="1">
      <alignment horizontal="center" vertical="center"/>
    </xf>
    <xf numFmtId="9" fontId="48" fillId="0" borderId="0" xfId="6" applyFont="1" applyAlignment="1">
      <alignment horizontal="center" vertical="center"/>
    </xf>
    <xf numFmtId="9" fontId="46" fillId="0" borderId="0" xfId="6" applyFont="1"/>
    <xf numFmtId="9" fontId="49" fillId="0" borderId="0" xfId="6" applyFont="1" applyAlignment="1">
      <alignment horizontal="center" vertical="center"/>
    </xf>
    <xf numFmtId="9" fontId="50" fillId="0" borderId="0" xfId="6" applyFont="1" applyAlignment="1">
      <alignment horizontal="center" vertical="center"/>
    </xf>
    <xf numFmtId="0" fontId="51" fillId="0" borderId="0" xfId="0" applyFont="1"/>
    <xf numFmtId="170" fontId="46" fillId="0" borderId="0" xfId="6" applyNumberFormat="1" applyFont="1" applyAlignment="1">
      <alignment horizontal="center" vertical="center"/>
    </xf>
    <xf numFmtId="170" fontId="49" fillId="0" borderId="0" xfId="6" applyNumberFormat="1" applyFont="1" applyAlignment="1">
      <alignment horizontal="center" vertical="center"/>
    </xf>
    <xf numFmtId="0" fontId="51" fillId="0" borderId="0" xfId="0" applyFont="1" applyAlignment="1">
      <alignment wrapText="1"/>
    </xf>
    <xf numFmtId="0" fontId="52" fillId="0" borderId="0" xfId="0" applyFont="1" applyAlignment="1">
      <alignment vertical="center"/>
    </xf>
    <xf numFmtId="164" fontId="46" fillId="0" borderId="0" xfId="1" applyFont="1" applyBorder="1"/>
    <xf numFmtId="170" fontId="50" fillId="0" borderId="0" xfId="6" applyNumberFormat="1" applyFont="1" applyAlignment="1">
      <alignment horizontal="center" vertical="center"/>
    </xf>
    <xf numFmtId="169" fontId="46" fillId="0" borderId="0" xfId="0" applyNumberFormat="1" applyFont="1"/>
    <xf numFmtId="0" fontId="52" fillId="0" borderId="0" xfId="0" applyFont="1"/>
    <xf numFmtId="169" fontId="49" fillId="0" borderId="0" xfId="0" applyNumberFormat="1" applyFont="1" applyAlignment="1">
      <alignment horizontal="center" vertical="center"/>
    </xf>
    <xf numFmtId="169" fontId="46" fillId="0" borderId="0" xfId="6" applyNumberFormat="1" applyFont="1" applyAlignment="1">
      <alignment horizontal="center" vertical="center"/>
    </xf>
    <xf numFmtId="1" fontId="49" fillId="0" borderId="0" xfId="0" applyNumberFormat="1" applyFont="1" applyAlignment="1">
      <alignment horizontal="center" vertical="center"/>
    </xf>
    <xf numFmtId="1" fontId="50" fillId="0" borderId="0" xfId="0" applyNumberFormat="1" applyFont="1" applyAlignment="1">
      <alignment horizontal="center" vertical="center"/>
    </xf>
    <xf numFmtId="170" fontId="48" fillId="0" borderId="0" xfId="6" applyNumberFormat="1" applyFont="1" applyAlignment="1">
      <alignment horizontal="center" vertical="center"/>
    </xf>
    <xf numFmtId="169" fontId="50" fillId="0" borderId="0" xfId="0" applyNumberFormat="1" applyFont="1" applyAlignment="1">
      <alignment horizontal="center" vertical="center"/>
    </xf>
    <xf numFmtId="169" fontId="50" fillId="0" borderId="0" xfId="6" applyNumberFormat="1" applyFont="1" applyAlignment="1">
      <alignment horizontal="center" vertical="center"/>
    </xf>
    <xf numFmtId="0" fontId="51" fillId="0" borderId="0" xfId="0" applyFont="1" applyAlignment="1">
      <alignment horizontal="left" vertical="center"/>
    </xf>
    <xf numFmtId="2" fontId="46" fillId="0" borderId="0" xfId="6" applyNumberFormat="1" applyFont="1" applyAlignment="1">
      <alignment horizontal="center" vertical="center"/>
    </xf>
    <xf numFmtId="2" fontId="50" fillId="0" borderId="0" xfId="6" applyNumberFormat="1" applyFont="1" applyAlignment="1">
      <alignment horizontal="center" vertical="center"/>
    </xf>
    <xf numFmtId="169" fontId="49" fillId="0" borderId="0" xfId="6" applyNumberFormat="1" applyFont="1" applyAlignment="1">
      <alignment horizontal="center" vertical="center"/>
    </xf>
    <xf numFmtId="0" fontId="53" fillId="0" borderId="0" xfId="0" applyFont="1"/>
    <xf numFmtId="9" fontId="46" fillId="0" borderId="0" xfId="0" applyNumberFormat="1" applyFont="1" applyAlignment="1">
      <alignment horizontal="center" vertical="center"/>
    </xf>
    <xf numFmtId="164" fontId="4" fillId="0" borderId="0" xfId="2" applyNumberFormat="1" applyBorder="1" applyAlignment="1" applyProtection="1">
      <alignment horizontal="center"/>
    </xf>
    <xf numFmtId="164" fontId="2" fillId="4" borderId="0" xfId="5" applyNumberFormat="1" applyFont="1" applyBorder="1" applyAlignment="1">
      <alignment horizontal="center"/>
    </xf>
    <xf numFmtId="0" fontId="13" fillId="9" borderId="5" xfId="0" applyFont="1" applyFill="1" applyBorder="1" applyAlignment="1"/>
    <xf numFmtId="0" fontId="13" fillId="9" borderId="4" xfId="0" applyFont="1" applyFill="1" applyBorder="1" applyAlignment="1"/>
    <xf numFmtId="0" fontId="12" fillId="6" borderId="0" xfId="0" applyFont="1" applyFill="1" applyBorder="1" applyAlignment="1">
      <alignment horizontal="center"/>
    </xf>
    <xf numFmtId="0" fontId="13" fillId="9" borderId="1" xfId="0" applyFont="1" applyFill="1" applyBorder="1" applyAlignment="1"/>
    <xf numFmtId="0" fontId="13" fillId="0" borderId="6" xfId="0" applyFont="1" applyBorder="1" applyAlignment="1">
      <alignment horizontal="center"/>
    </xf>
    <xf numFmtId="0" fontId="13" fillId="0" borderId="7" xfId="0" applyFont="1" applyBorder="1" applyAlignment="1">
      <alignment horizontal="center"/>
    </xf>
    <xf numFmtId="0" fontId="13" fillId="0" borderId="8" xfId="0" applyFont="1" applyBorder="1" applyAlignment="1">
      <alignment horizontal="center"/>
    </xf>
    <xf numFmtId="0" fontId="13" fillId="9" borderId="9" xfId="0" applyFont="1" applyFill="1" applyBorder="1" applyAlignment="1"/>
    <xf numFmtId="170" fontId="29" fillId="17" borderId="14" xfId="7" applyNumberFormat="1" applyFont="1" applyFill="1" applyBorder="1" applyAlignment="1">
      <alignment horizontal="center" vertical="center" wrapText="1"/>
    </xf>
    <xf numFmtId="170" fontId="29" fillId="17" borderId="15" xfId="7" applyNumberFormat="1" applyFont="1" applyFill="1" applyBorder="1" applyAlignment="1">
      <alignment horizontal="center" vertical="center" wrapText="1"/>
    </xf>
    <xf numFmtId="170" fontId="29" fillId="17" borderId="16" xfId="7" applyNumberFormat="1" applyFont="1" applyFill="1" applyBorder="1" applyAlignment="1">
      <alignment horizontal="center" vertical="center" wrapText="1"/>
    </xf>
    <xf numFmtId="0" fontId="29" fillId="8" borderId="2" xfId="7" applyFont="1" applyFill="1" applyBorder="1" applyAlignment="1">
      <alignment horizontal="center" vertical="center" wrapText="1"/>
    </xf>
    <xf numFmtId="0" fontId="30" fillId="0" borderId="13" xfId="7" applyFont="1" applyBorder="1" applyAlignment="1">
      <alignment horizontal="center" wrapText="1"/>
    </xf>
    <xf numFmtId="0" fontId="30" fillId="9" borderId="1" xfId="7" applyFont="1" applyFill="1" applyBorder="1" applyAlignment="1">
      <alignment horizontal="right" wrapText="1"/>
    </xf>
    <xf numFmtId="0" fontId="40" fillId="22" borderId="17" xfId="0" applyFont="1" applyFill="1" applyBorder="1" applyAlignment="1">
      <alignment horizontal="center" vertical="center"/>
    </xf>
    <xf numFmtId="0" fontId="40" fillId="22" borderId="18" xfId="0" applyFont="1" applyFill="1" applyBorder="1" applyAlignment="1">
      <alignment horizontal="center" vertical="center"/>
    </xf>
    <xf numFmtId="0" fontId="40" fillId="22" borderId="19" xfId="0" applyFont="1" applyFill="1" applyBorder="1" applyAlignment="1">
      <alignment horizontal="center" vertical="center"/>
    </xf>
    <xf numFmtId="0" fontId="40" fillId="22" borderId="20" xfId="0" applyFont="1" applyFill="1" applyBorder="1" applyAlignment="1">
      <alignment horizontal="center" vertical="center"/>
    </xf>
    <xf numFmtId="0" fontId="40" fillId="22" borderId="21" xfId="0" applyFont="1" applyFill="1" applyBorder="1" applyAlignment="1">
      <alignment horizontal="center" vertical="center"/>
    </xf>
    <xf numFmtId="0" fontId="40" fillId="22" borderId="22" xfId="0" applyFont="1" applyFill="1" applyBorder="1" applyAlignment="1">
      <alignment horizontal="center" vertical="center"/>
    </xf>
    <xf numFmtId="0" fontId="42" fillId="0" borderId="0" xfId="0" applyFont="1" applyBorder="1" applyAlignment="1">
      <alignment horizontal="center"/>
    </xf>
    <xf numFmtId="0" fontId="43" fillId="0" borderId="0" xfId="0" applyFont="1" applyAlignment="1">
      <alignment horizontal="left" vertical="center"/>
    </xf>
    <xf numFmtId="0" fontId="40" fillId="23" borderId="17" xfId="0" applyFont="1" applyFill="1" applyBorder="1" applyAlignment="1">
      <alignment horizontal="center"/>
    </xf>
    <xf numFmtId="0" fontId="40" fillId="23" borderId="19" xfId="0" applyFont="1" applyFill="1" applyBorder="1" applyAlignment="1">
      <alignment horizontal="center"/>
    </xf>
    <xf numFmtId="0" fontId="43" fillId="22" borderId="28" xfId="0" applyFont="1" applyFill="1" applyBorder="1" applyAlignment="1">
      <alignment horizontal="center"/>
    </xf>
    <xf numFmtId="2" fontId="0" fillId="0" borderId="0" xfId="0" applyNumberFormat="1"/>
  </cellXfs>
  <cellStyles count="9">
    <cellStyle name="60% - Accent1" xfId="3" builtinId="32"/>
    <cellStyle name="60% - Accent3" xfId="4" builtinId="40"/>
    <cellStyle name="Accent6" xfId="5" builtinId="49"/>
    <cellStyle name="Comma" xfId="1" builtinId="3"/>
    <cellStyle name="Hyperlink" xfId="2" builtinId="8"/>
    <cellStyle name="Normal" xfId="0" builtinId="0"/>
    <cellStyle name="Normal 2" xfId="7"/>
    <cellStyle name="Percent" xfId="6" builtinId="5"/>
    <cellStyle name="Percent 2" xfId="8"/>
  </cellStyles>
  <dxfs count="139">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4B4B"/>
        </patternFill>
      </fill>
    </dxf>
    <dxf>
      <fill>
        <patternFill>
          <bgColor rgb="FFFFC5C5"/>
        </patternFill>
      </fill>
    </dxf>
    <dxf>
      <font>
        <color rgb="FF006100"/>
      </font>
      <fill>
        <patternFill>
          <bgColor rgb="FF92D050"/>
        </patternFill>
      </fill>
    </dxf>
    <dxf>
      <font>
        <color rgb="FF9C0006"/>
      </font>
      <fill>
        <patternFill>
          <bgColor rgb="FFC6E6A2"/>
        </patternFill>
      </fill>
    </dxf>
    <dxf>
      <font>
        <color rgb="FF9C6500"/>
      </font>
      <fill>
        <patternFill>
          <bgColor rgb="FFC7E6A4"/>
        </patternFill>
      </fill>
    </dxf>
    <dxf>
      <font>
        <color rgb="FF9C0006"/>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4B4B"/>
        </patternFill>
      </fill>
    </dxf>
    <dxf>
      <fill>
        <patternFill>
          <bgColor rgb="FFFFC5C5"/>
        </patternFill>
      </fill>
    </dxf>
    <dxf>
      <font>
        <color rgb="FF006100"/>
      </font>
      <fill>
        <patternFill>
          <bgColor rgb="FF92D050"/>
        </patternFill>
      </fill>
    </dxf>
    <dxf>
      <font>
        <color rgb="FF9C0006"/>
      </font>
      <fill>
        <patternFill>
          <bgColor rgb="FFC6E6A2"/>
        </patternFill>
      </fill>
    </dxf>
    <dxf>
      <font>
        <color rgb="FF9C6500"/>
      </font>
      <fill>
        <patternFill>
          <bgColor rgb="FFC7E6A4"/>
        </patternFill>
      </fill>
    </dxf>
    <dxf>
      <font>
        <color rgb="FF9C0006"/>
      </font>
      <fill>
        <patternFill>
          <bgColor rgb="FFFF0000"/>
        </patternFill>
      </fill>
    </dxf>
    <dxf>
      <fill>
        <patternFill>
          <bgColor rgb="FFFF4B4B"/>
        </patternFill>
      </fill>
    </dxf>
    <dxf>
      <fill>
        <patternFill>
          <bgColor rgb="FFFFC5C5"/>
        </patternFill>
      </fill>
    </dxf>
    <dxf>
      <font>
        <color rgb="FF006100"/>
      </font>
      <fill>
        <patternFill>
          <bgColor rgb="FF92D050"/>
        </patternFill>
      </fill>
    </dxf>
    <dxf>
      <font>
        <color rgb="FF9C0006"/>
      </font>
      <fill>
        <patternFill>
          <bgColor rgb="FFC6E6A2"/>
        </patternFill>
      </fill>
    </dxf>
    <dxf>
      <font>
        <color rgb="FF9C6500"/>
      </font>
      <fill>
        <patternFill>
          <bgColor rgb="FFC7E6A4"/>
        </patternFill>
      </fill>
    </dxf>
    <dxf>
      <font>
        <color rgb="FF9C0006"/>
      </font>
      <fill>
        <patternFill>
          <bgColor rgb="FFFF0000"/>
        </patternFill>
      </fill>
    </dxf>
    <dxf>
      <fill>
        <patternFill>
          <bgColor rgb="FFFF4B4B"/>
        </patternFill>
      </fill>
    </dxf>
    <dxf>
      <fill>
        <patternFill>
          <bgColor rgb="FFFFC5C5"/>
        </patternFill>
      </fill>
    </dxf>
    <dxf>
      <font>
        <color rgb="FF006100"/>
      </font>
      <fill>
        <patternFill>
          <bgColor rgb="FF92D050"/>
        </patternFill>
      </fill>
    </dxf>
    <dxf>
      <font>
        <color rgb="FF9C0006"/>
      </font>
      <fill>
        <patternFill>
          <bgColor rgb="FFC6E6A2"/>
        </patternFill>
      </fill>
    </dxf>
    <dxf>
      <font>
        <color rgb="FF9C6500"/>
      </font>
      <fill>
        <patternFill>
          <bgColor rgb="FFC7E6A4"/>
        </patternFill>
      </fill>
    </dxf>
    <dxf>
      <font>
        <color rgb="FF9C0006"/>
      </font>
      <fill>
        <patternFill>
          <bgColor rgb="FFFF0000"/>
        </patternFill>
      </fill>
    </dxf>
    <dxf>
      <fill>
        <patternFill>
          <bgColor rgb="FFFF4B4B"/>
        </patternFill>
      </fill>
    </dxf>
    <dxf>
      <fill>
        <patternFill>
          <bgColor rgb="FFFF4B4B"/>
        </patternFill>
      </fill>
    </dxf>
    <dxf>
      <fill>
        <patternFill>
          <bgColor rgb="FFFFC5C5"/>
        </patternFill>
      </fill>
    </dxf>
    <dxf>
      <font>
        <color rgb="FF006100"/>
      </font>
      <fill>
        <patternFill>
          <bgColor rgb="FF92D050"/>
        </patternFill>
      </fill>
    </dxf>
    <dxf>
      <font>
        <color rgb="FF9C0006"/>
      </font>
      <fill>
        <patternFill>
          <bgColor rgb="FFC6E6A2"/>
        </patternFill>
      </fill>
    </dxf>
    <dxf>
      <font>
        <color rgb="FF9C6500"/>
      </font>
      <fill>
        <patternFill>
          <bgColor rgb="FFC7E6A4"/>
        </patternFill>
      </fill>
    </dxf>
    <dxf>
      <font>
        <color rgb="FF9C0006"/>
      </font>
      <fill>
        <patternFill>
          <bgColor rgb="FFFF0000"/>
        </patternFill>
      </fill>
    </dxf>
    <dxf>
      <fill>
        <patternFill>
          <bgColor rgb="FFFF4B4B"/>
        </patternFill>
      </fill>
    </dxf>
    <dxf>
      <fill>
        <patternFill>
          <bgColor rgb="FFFF4B4B"/>
        </patternFill>
      </fill>
    </dxf>
    <dxf>
      <fill>
        <patternFill>
          <bgColor rgb="FFFFC5C5"/>
        </patternFill>
      </fill>
    </dxf>
    <dxf>
      <font>
        <color rgb="FF006100"/>
      </font>
      <fill>
        <patternFill>
          <bgColor rgb="FF92D050"/>
        </patternFill>
      </fill>
    </dxf>
    <dxf>
      <font>
        <color rgb="FF9C0006"/>
      </font>
      <fill>
        <patternFill>
          <bgColor rgb="FFC6E6A2"/>
        </patternFill>
      </fill>
    </dxf>
    <dxf>
      <font>
        <color rgb="FF9C6500"/>
      </font>
      <fill>
        <patternFill>
          <bgColor rgb="FFC7E6A4"/>
        </patternFill>
      </fill>
    </dxf>
    <dxf>
      <font>
        <color rgb="FF9C0006"/>
      </font>
      <fill>
        <patternFill>
          <bgColor rgb="FFFF0000"/>
        </patternFill>
      </fill>
    </dxf>
    <dxf>
      <fill>
        <patternFill>
          <bgColor rgb="FF92D050"/>
        </patternFill>
      </fill>
    </dxf>
    <dxf>
      <fill>
        <patternFill>
          <bgColor rgb="FFFF0000"/>
        </patternFill>
      </fill>
    </dxf>
    <dxf>
      <fill>
        <patternFill>
          <bgColor rgb="FF92D050"/>
        </patternFill>
      </fill>
    </dxf>
    <dxf>
      <fill>
        <patternFill>
          <bgColor rgb="FFC0E399"/>
        </patternFill>
      </fill>
    </dxf>
    <dxf>
      <fill>
        <patternFill>
          <bgColor rgb="FFFF8181"/>
        </patternFill>
      </fill>
    </dxf>
    <dxf>
      <fill>
        <patternFill>
          <bgColor rgb="FFFF0000"/>
        </patternFill>
      </fill>
    </dxf>
    <dxf>
      <fill>
        <patternFill>
          <bgColor rgb="FF92D050"/>
        </patternFill>
      </fill>
    </dxf>
    <dxf>
      <fill>
        <patternFill>
          <bgColor rgb="FFC0E399"/>
        </patternFill>
      </fill>
    </dxf>
    <dxf>
      <fill>
        <patternFill>
          <bgColor rgb="FFFF8181"/>
        </patternFill>
      </fill>
    </dxf>
    <dxf>
      <fill>
        <patternFill>
          <bgColor rgb="FFFF0000"/>
        </patternFill>
      </fill>
    </dxf>
    <dxf>
      <fill>
        <patternFill>
          <bgColor rgb="FFFF4B4B"/>
        </patternFill>
      </fill>
    </dxf>
    <dxf>
      <fill>
        <patternFill>
          <bgColor rgb="FFFF4B4B"/>
        </patternFill>
      </fill>
    </dxf>
    <dxf>
      <fill>
        <patternFill>
          <bgColor rgb="FFFF4B4B"/>
        </patternFill>
      </fill>
    </dxf>
    <dxf>
      <fill>
        <patternFill>
          <bgColor rgb="FFFF4B4B"/>
        </patternFill>
      </fill>
    </dxf>
    <dxf>
      <fill>
        <patternFill>
          <bgColor rgb="FFFFC5C5"/>
        </patternFill>
      </fill>
    </dxf>
    <dxf>
      <font>
        <color rgb="FF006100"/>
      </font>
      <fill>
        <patternFill>
          <bgColor rgb="FF92D050"/>
        </patternFill>
      </fill>
    </dxf>
    <dxf>
      <font>
        <color rgb="FF9C0006"/>
      </font>
      <fill>
        <patternFill>
          <bgColor rgb="FFC6E6A2"/>
        </patternFill>
      </fill>
    </dxf>
    <dxf>
      <font>
        <color rgb="FF9C6500"/>
      </font>
      <fill>
        <patternFill>
          <bgColor rgb="FFC7E6A4"/>
        </patternFill>
      </fill>
    </dxf>
    <dxf>
      <font>
        <color rgb="FF9C0006"/>
      </font>
      <fill>
        <patternFill>
          <bgColor rgb="FFFF0000"/>
        </patternFill>
      </fill>
    </dxf>
    <dxf>
      <font>
        <b/>
        <i val="0"/>
        <color theme="0"/>
      </font>
      <fill>
        <patternFill>
          <bgColor theme="5"/>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fill>
        <patternFill patternType="solid">
          <fgColor theme="4"/>
          <bgColor rgb="FF0275D8"/>
        </patternFill>
      </fill>
      <border diagonalUp="0" diagonalDown="0" outline="0">
        <left style="thin">
          <color theme="4"/>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rgb="FF0275D8"/>
        </patternFill>
      </fill>
      <alignment horizontal="center" vertical="bottom" textRotation="0" wrapText="0" relativeIndent="0" justifyLastLine="0" shrinkToFit="0" readingOrder="0"/>
      <border diagonalUp="0" diagonalDown="0" outline="0">
        <left/>
        <right style="thin">
          <color theme="4"/>
        </right>
        <top/>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rgb="FF0275D8"/>
        </patternFill>
      </fill>
      <border diagonalUp="0" diagonalDown="0" outline="0">
        <left/>
        <right/>
        <top/>
        <bottom/>
      </border>
    </dxf>
    <dxf>
      <font>
        <b/>
        <i val="0"/>
        <strike val="0"/>
        <condense val="0"/>
        <extend val="0"/>
        <outline val="0"/>
        <shadow val="0"/>
        <u val="none"/>
        <vertAlign val="baseline"/>
        <sz val="11"/>
        <color theme="0"/>
        <name val="Calibri"/>
        <scheme val="minor"/>
      </font>
      <fill>
        <patternFill patternType="solid">
          <fgColor theme="4"/>
          <bgColor rgb="FF0275D8"/>
        </patternFill>
      </fill>
      <alignment horizontal="center" vertical="bottom" textRotation="0" wrapText="0" relativeIndent="0" justifyLastLine="0" shrinkToFit="0" readingOrder="0"/>
    </dxf>
  </dxfs>
  <tableStyles count="0" defaultTableStyle="TableStyleMedium9" defaultPivotStyle="PivotStyleLight16"/>
  <colors>
    <mruColors>
      <color rgb="FF0275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ukumar/OneDrive%20-%20Hewlett%20Packard%20Enterprise/PERSONAL/STOCKS/Stocks/ValuePickr/Saurabh/Cupid%20Analysis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Framework"/>
      <sheetName val="rsklibSimData"/>
      <sheetName val="Analysis2"/>
      <sheetName val="Valuation"/>
      <sheetName val="Financial Analysis"/>
      <sheetName val="Checklist"/>
      <sheetName val="Profit &amp; Loss"/>
      <sheetName val="Quarters"/>
      <sheetName val="Balance Sheet"/>
      <sheetName val="Cash Flow"/>
      <sheetName val="Customization"/>
      <sheetName val="Scorecard"/>
      <sheetName val="Market_scope"/>
      <sheetName val="Data Sheet"/>
      <sheetName val="Research"/>
      <sheetName val="Other_input_data"/>
      <sheetName val="DCF"/>
      <sheetName val="Fair Value"/>
      <sheetName val="Expected Return Mod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E1" t="str">
            <v/>
          </cell>
        </row>
      </sheetData>
      <sheetData sheetId="15"/>
      <sheetData sheetId="16"/>
      <sheetData sheetId="17"/>
      <sheetData sheetId="18"/>
      <sheetData sheetId="19"/>
    </sheetDataSet>
  </externalBook>
</externalLink>
</file>

<file path=xl/tables/table1.xml><?xml version="1.0" encoding="utf-8"?>
<table xmlns="http://schemas.openxmlformats.org/spreadsheetml/2006/main" id="1" name="Annual" displayName="Annual" ref="A3:N19" headerRowCount="0" totalsRowShown="0" headerRowDxfId="138">
  <tableColumns count="14">
    <tableColumn id="1" name="Column1" headerRowDxfId="137" dataDxfId="136"/>
    <tableColumn id="2" name="Column2" headerRowDxfId="135"/>
    <tableColumn id="3" name="Column3" headerRowDxfId="134"/>
    <tableColumn id="4" name="Column4" headerRowDxfId="133"/>
    <tableColumn id="5" name="Column5" headerRowDxfId="132"/>
    <tableColumn id="6" name="Column6" headerRowDxfId="131"/>
    <tableColumn id="7" name="Column7" headerRowDxfId="130"/>
    <tableColumn id="8" name="Column8" headerRowDxfId="129"/>
    <tableColumn id="9" name="Column9" headerRowDxfId="128"/>
    <tableColumn id="10" name="Column10" headerRowDxfId="127"/>
    <tableColumn id="11" name="Column11" headerRowDxfId="126"/>
    <tableColumn id="12" name="Column12" headerRowDxfId="125"/>
    <tableColumn id="13" name="Column13" headerRowDxfId="124" dataDxfId="123"/>
    <tableColumn id="14" name="Column14" headerRowDxfId="122" dataDxfId="121"/>
  </tableColumns>
  <tableStyleInfo showFirstColumn="0" showLastColumn="0" showRowStripes="0" showColumnStripes="0"/>
</table>
</file>

<file path=xl/tables/table2.xml><?xml version="1.0" encoding="utf-8"?>
<table xmlns="http://schemas.openxmlformats.org/spreadsheetml/2006/main" id="2" name="Quarters" displayName="Quarters" ref="A3:K14" headerRowCount="0" totalsRowShown="0" headerRowDxfId="120">
  <tableColumns count="11">
    <tableColumn id="1" name="Column1" headerRowDxfId="119"/>
    <tableColumn id="2" name="Column2" headerRowDxfId="118"/>
    <tableColumn id="3" name="Column3" headerRowDxfId="117"/>
    <tableColumn id="4" name="Column4" headerRowDxfId="116"/>
    <tableColumn id="5" name="Column5" headerRowDxfId="115"/>
    <tableColumn id="6" name="Column6" headerRowDxfId="114"/>
    <tableColumn id="7" name="Column7" headerRowDxfId="113"/>
    <tableColumn id="8" name="Column8" headerRowDxfId="112"/>
    <tableColumn id="9" name="Column9" headerRowDxfId="111"/>
    <tableColumn id="10" name="Column10" headerRowDxfId="110"/>
    <tableColumn id="11" name="Column11" headerRowDxfId="109"/>
  </tableColumns>
  <tableStyleInfo name="TableStyleLight1" showFirstColumn="0" showLastColumn="0" showRowStripes="0"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djacency">
  <a:themeElements>
    <a:clrScheme name="Concourse">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djacency">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www.screener.in/"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www.screener.in/"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screener.in/"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creener.in/"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screener.in/excel/"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screener.in/excel/"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25"/>
  <sheetViews>
    <sheetView zoomScaleSheetLayoutView="100" workbookViewId="0">
      <pane xSplit="1" ySplit="4" topLeftCell="B5" activePane="bottomRight" state="frozen"/>
      <selection activeCell="I2" sqref="I2"/>
      <selection pane="topRight" activeCell="I2" sqref="I2"/>
      <selection pane="bottomLeft" activeCell="I2" sqref="I2"/>
      <selection pane="bottomRight" activeCell="L6" sqref="L6"/>
    </sheetView>
  </sheetViews>
  <sheetFormatPr defaultRowHeight="15" x14ac:dyDescent="0.25"/>
  <cols>
    <col min="1" max="1" width="15.7109375" style="6" bestFit="1" customWidth="1"/>
    <col min="2" max="6" width="13.5703125" style="6" customWidth="1"/>
    <col min="7" max="7" width="14.85546875" style="6" bestFit="1" customWidth="1"/>
    <col min="8" max="11" width="13.5703125" style="6" customWidth="1"/>
    <col min="12" max="12" width="13.28515625" style="6" customWidth="1"/>
    <col min="13" max="14" width="12.140625" style="6" customWidth="1"/>
    <col min="15" max="16384" width="9.140625" style="6"/>
  </cols>
  <sheetData>
    <row r="1" spans="1:14" s="8" customFormat="1" x14ac:dyDescent="0.25">
      <c r="A1" s="8" t="str">
        <f>'Data Sheet'!B1</f>
      </c>
      <c r="H1" t="str">
        <f>UPDATE</f>
      </c>
      <c r="J1" s="3"/>
      <c r="K1" s="3"/>
      <c r="M1" s="8" t="s">
        <v>1</v>
      </c>
    </row>
    <row r="3" spans="1:14" s="2" customFormat="1" x14ac:dyDescent="0.25">
      <c r="A3" s="15" t="s">
        <v>2</v>
      </c>
      <c r="B3" s="16">
        <f>'Data Sheet'!B16</f>
      </c>
      <c r="C3" s="16">
        <f>'Data Sheet'!C16</f>
      </c>
      <c r="D3" s="16">
        <f>'Data Sheet'!D16</f>
      </c>
      <c r="E3" s="16">
        <f>'Data Sheet'!E16</f>
      </c>
      <c r="F3" s="16">
        <f>'Data Sheet'!F16</f>
      </c>
      <c r="G3" s="16">
        <f>'Data Sheet'!G16</f>
      </c>
      <c r="H3" s="16">
        <f>'Data Sheet'!H16</f>
      </c>
      <c r="I3" s="16">
        <f>'Data Sheet'!I16</f>
      </c>
      <c r="J3" s="16">
        <f>'Data Sheet'!J16</f>
      </c>
      <c r="K3" s="16">
        <f>'Data Sheet'!K16</f>
      </c>
      <c r="L3" s="17" t="s">
        <v>3</v>
      </c>
      <c r="M3" s="17" t="s">
        <v>4</v>
      </c>
      <c r="N3" s="17" t="s">
        <v>5</v>
      </c>
    </row>
    <row r="4" spans="1:14" s="8" customFormat="1" x14ac:dyDescent="0.25">
      <c r="A4" s="8" t="s">
        <v>6</v>
      </c>
      <c r="B4" s="1">
        <f>'Data Sheet'!B17</f>
      </c>
      <c r="C4" s="1">
        <f>'Data Sheet'!C17</f>
      </c>
      <c r="D4" s="1">
        <f>'Data Sheet'!D17</f>
      </c>
      <c r="E4" s="1">
        <f>'Data Sheet'!E17</f>
      </c>
      <c r="F4" s="1">
        <f>'Data Sheet'!F17</f>
      </c>
      <c r="G4" s="1">
        <f>'Data Sheet'!G17</f>
      </c>
      <c r="H4" s="1">
        <f>'Data Sheet'!H17</f>
      </c>
      <c r="I4" s="1">
        <f>'Data Sheet'!I17</f>
      </c>
      <c r="J4" s="1">
        <f>'Data Sheet'!J17</f>
      </c>
      <c r="K4" s="1">
        <f>'Data Sheet'!K17</f>
      </c>
      <c r="L4" s="1">
        <f>SUM(Quarters!H4:K4)</f>
      </c>
      <c r="M4" s="1">
        <f>$K4+M23*K4</f>
      </c>
      <c r="N4" s="1">
        <f>$K4+N23*L4</f>
      </c>
    </row>
    <row r="5" spans="1:14" x14ac:dyDescent="0.25">
      <c r="A5" s="6" t="s">
        <v>7</v>
      </c>
      <c r="B5" s="9">
        <f>SUM('Data Sheet'!B18,'Data Sheet'!B20:B24, -1*'Data Sheet'!B19)</f>
      </c>
      <c r="C5" s="9">
        <f>SUM('Data Sheet'!C18,'Data Sheet'!C20:C24, -1*'Data Sheet'!C19)</f>
      </c>
      <c r="D5" s="9">
        <f>SUM('Data Sheet'!D18,'Data Sheet'!D20:D24, -1*'Data Sheet'!D19)</f>
      </c>
      <c r="E5" s="9">
        <f>SUM('Data Sheet'!E18,'Data Sheet'!E20:E24, -1*'Data Sheet'!E19)</f>
      </c>
      <c r="F5" s="9">
        <f>SUM('Data Sheet'!F18,'Data Sheet'!F20:F24, -1*'Data Sheet'!F19)</f>
      </c>
      <c r="G5" s="9">
        <f>SUM('Data Sheet'!G18,'Data Sheet'!G20:G24, -1*'Data Sheet'!G19)</f>
      </c>
      <c r="H5" s="9">
        <f>SUM('Data Sheet'!H18,'Data Sheet'!H20:H24, -1*'Data Sheet'!H19)</f>
      </c>
      <c r="I5" s="9">
        <f>SUM('Data Sheet'!I18,'Data Sheet'!I20:I24, -1*'Data Sheet'!I19)</f>
      </c>
      <c r="J5" s="9">
        <f>SUM('Data Sheet'!J18,'Data Sheet'!J20:J24, -1*'Data Sheet'!J19)</f>
      </c>
      <c r="K5" s="9">
        <f>SUM('Data Sheet'!K18,'Data Sheet'!K20:K24, -1*'Data Sheet'!K19)</f>
      </c>
      <c r="L5" s="9">
        <f>SUM(Quarters!H5:K5)</f>
      </c>
      <c r="M5" s="9">
        <f t="shared" ref="M5:N5" si="0">M4-M6</f>
      </c>
      <c r="N5" s="9">
        <f t="shared" si="0"/>
      </c>
    </row>
    <row r="6" spans="1:14" s="8" customFormat="1" x14ac:dyDescent="0.25">
      <c r="A6" s="8" t="s">
        <v>8</v>
      </c>
      <c r="B6" s="1">
        <f>B4-B5</f>
      </c>
      <c r="C6" s="1">
        <f t="shared" ref="C6:K6" si="1">C4-C5</f>
      </c>
      <c r="D6" s="1">
        <f t="shared" si="1"/>
      </c>
      <c r="E6" s="1">
        <f t="shared" si="1"/>
      </c>
      <c r="F6" s="1">
        <f t="shared" si="1"/>
      </c>
      <c r="G6" s="1">
        <f t="shared" si="1"/>
      </c>
      <c r="H6" s="1">
        <f t="shared" si="1"/>
      </c>
      <c r="I6" s="1">
        <f t="shared" si="1"/>
      </c>
      <c r="J6" s="1">
        <f t="shared" si="1"/>
      </c>
      <c r="K6" s="1">
        <f t="shared" si="1"/>
      </c>
      <c r="L6" s="1">
        <f>SUM(Quarters!H6:K6)</f>
      </c>
      <c r="M6" s="1">
        <f>M4*M24</f>
      </c>
      <c r="N6" s="1">
        <f>N4*N24</f>
      </c>
    </row>
    <row r="7" spans="1:14" x14ac:dyDescent="0.25">
      <c r="A7" s="6" t="s">
        <v>9</v>
      </c>
      <c r="B7" s="9">
        <f>'Data Sheet'!B25</f>
      </c>
      <c r="C7" s="9">
        <f>'Data Sheet'!C25</f>
      </c>
      <c r="D7" s="9">
        <f>'Data Sheet'!D25</f>
      </c>
      <c r="E7" s="9">
        <f>'Data Sheet'!E25</f>
      </c>
      <c r="F7" s="9">
        <f>'Data Sheet'!F25</f>
      </c>
      <c r="G7" s="9">
        <f>'Data Sheet'!G25</f>
      </c>
      <c r="H7" s="9">
        <f>'Data Sheet'!H25</f>
      </c>
      <c r="I7" s="9">
        <f>'Data Sheet'!I25</f>
      </c>
      <c r="J7" s="9">
        <f>'Data Sheet'!J25</f>
      </c>
      <c r="K7" s="9">
        <f>'Data Sheet'!K25</f>
      </c>
      <c r="L7" s="9">
        <f>SUM(Quarters!H7:K7)</f>
      </c>
      <c r="M7" s="9">
        <v>0</v>
      </c>
      <c r="N7" s="9">
        <v>0</v>
      </c>
    </row>
    <row r="8" spans="1:14" x14ac:dyDescent="0.25">
      <c r="A8" s="6" t="s">
        <v>10</v>
      </c>
      <c r="B8" s="9">
        <f>'Data Sheet'!B26</f>
      </c>
      <c r="C8" s="9">
        <f>'Data Sheet'!C26</f>
      </c>
      <c r="D8" s="9">
        <f>'Data Sheet'!D26</f>
      </c>
      <c r="E8" s="9">
        <f>'Data Sheet'!E26</f>
      </c>
      <c r="F8" s="9">
        <f>'Data Sheet'!F26</f>
      </c>
      <c r="G8" s="9">
        <f>'Data Sheet'!G26</f>
      </c>
      <c r="H8" s="9">
        <f>'Data Sheet'!H26</f>
      </c>
      <c r="I8" s="9">
        <f>'Data Sheet'!I26</f>
      </c>
      <c r="J8" s="9">
        <f>'Data Sheet'!J26</f>
      </c>
      <c r="K8" s="9">
        <f>'Data Sheet'!K26</f>
      </c>
      <c r="L8" s="9">
        <f>SUM(Quarters!H8:K8)</f>
      </c>
      <c r="M8" s="9">
        <f>+$L8</f>
      </c>
      <c r="N8" s="9">
        <f>+$L8</f>
      </c>
    </row>
    <row r="9" spans="1:14" x14ac:dyDescent="0.25">
      <c r="A9" s="6" t="s">
        <v>11</v>
      </c>
      <c r="B9" s="9">
        <f>'Data Sheet'!B27</f>
      </c>
      <c r="C9" s="9">
        <f>'Data Sheet'!C27</f>
      </c>
      <c r="D9" s="9">
        <f>'Data Sheet'!D27</f>
      </c>
      <c r="E9" s="9">
        <f>'Data Sheet'!E27</f>
      </c>
      <c r="F9" s="9">
        <f>'Data Sheet'!F27</f>
      </c>
      <c r="G9" s="9">
        <f>'Data Sheet'!G27</f>
      </c>
      <c r="H9" s="9">
        <f>'Data Sheet'!H27</f>
      </c>
      <c r="I9" s="9">
        <f>'Data Sheet'!I27</f>
      </c>
      <c r="J9" s="9">
        <f>'Data Sheet'!J27</f>
      </c>
      <c r="K9" s="9">
        <f>'Data Sheet'!K27</f>
      </c>
      <c r="L9" s="9">
        <f>SUM(Quarters!H9:K9)</f>
      </c>
      <c r="M9" s="9">
        <f>+$L9</f>
      </c>
      <c r="N9" s="9">
        <f>+$L9</f>
      </c>
    </row>
    <row r="10" spans="1:14" x14ac:dyDescent="0.25">
      <c r="A10" s="6" t="s">
        <v>12</v>
      </c>
      <c r="B10" s="9">
        <f>'Data Sheet'!B28</f>
      </c>
      <c r="C10" s="9">
        <f>'Data Sheet'!C28</f>
      </c>
      <c r="D10" s="9">
        <f>'Data Sheet'!D28</f>
      </c>
      <c r="E10" s="9">
        <f>'Data Sheet'!E28</f>
      </c>
      <c r="F10" s="9">
        <f>'Data Sheet'!F28</f>
      </c>
      <c r="G10" s="9">
        <f>'Data Sheet'!G28</f>
      </c>
      <c r="H10" s="9">
        <f>'Data Sheet'!H28</f>
      </c>
      <c r="I10" s="9">
        <f>'Data Sheet'!I28</f>
      </c>
      <c r="J10" s="9">
        <f>'Data Sheet'!J28</f>
      </c>
      <c r="K10" s="9">
        <f>'Data Sheet'!K28</f>
      </c>
      <c r="L10" s="9">
        <f>SUM(Quarters!H10:K10)</f>
      </c>
      <c r="M10" s="9">
        <f>M6+M7-SUM(M8:M9)</f>
      </c>
      <c r="N10" s="9">
        <f>N6+N7-SUM(N8:N9)</f>
      </c>
    </row>
    <row r="11" spans="1:14" x14ac:dyDescent="0.25">
      <c r="A11" s="6" t="s">
        <v>13</v>
      </c>
      <c r="B11" s="9">
        <f>'Data Sheet'!B29</f>
      </c>
      <c r="C11" s="9">
        <f>'Data Sheet'!C29</f>
      </c>
      <c r="D11" s="9">
        <f>'Data Sheet'!D29</f>
      </c>
      <c r="E11" s="9">
        <f>'Data Sheet'!E29</f>
      </c>
      <c r="F11" s="9">
        <f>'Data Sheet'!F29</f>
      </c>
      <c r="G11" s="9">
        <f>'Data Sheet'!G29</f>
      </c>
      <c r="H11" s="9">
        <f>'Data Sheet'!H29</f>
      </c>
      <c r="I11" s="9">
        <f>'Data Sheet'!I29</f>
      </c>
      <c r="J11" s="9">
        <f>'Data Sheet'!J29</f>
      </c>
      <c r="K11" s="9">
        <f>'Data Sheet'!K29</f>
      </c>
      <c r="L11" s="9">
        <f>SUM(Quarters!H11:K11)</f>
      </c>
      <c r="M11" s="10">
        <f>IF($L10&gt;0,$L11/$L10,0)</f>
      </c>
      <c r="N11" s="10">
        <f>IF($L10&gt;0,$L11/$L10,0)</f>
      </c>
    </row>
    <row r="12" spans="1:14" s="8" customFormat="1" x14ac:dyDescent="0.25">
      <c r="A12" s="8" t="s">
        <v>14</v>
      </c>
      <c r="B12" s="1">
        <f>'Data Sheet'!B30</f>
      </c>
      <c r="C12" s="1">
        <f>'Data Sheet'!C30</f>
      </c>
      <c r="D12" s="1">
        <f>'Data Sheet'!D30</f>
      </c>
      <c r="E12" s="1">
        <f>'Data Sheet'!E30</f>
      </c>
      <c r="F12" s="1">
        <f>'Data Sheet'!F30</f>
      </c>
      <c r="G12" s="1">
        <f>'Data Sheet'!G30</f>
      </c>
      <c r="H12" s="1">
        <f>'Data Sheet'!H30</f>
      </c>
      <c r="I12" s="1">
        <f>'Data Sheet'!I30</f>
      </c>
      <c r="J12" s="1">
        <f>'Data Sheet'!J30</f>
      </c>
      <c r="K12" s="1">
        <f>'Data Sheet'!K30</f>
      </c>
      <c r="L12" s="1">
        <f>SUM(Quarters!H12:K12)</f>
      </c>
      <c r="M12" s="1">
        <f>M10-M11*M10</f>
      </c>
      <c r="N12" s="1">
        <f>N10-N11*N10</f>
      </c>
    </row>
    <row r="13" spans="1:14" x14ac:dyDescent="0.25">
      <c r="A13" s="11" t="s">
        <v>58</v>
      </c>
      <c r="B13" s="9">
        <f>IF('Data Sheet'!B93&gt;0,B12/'Data Sheet'!B93,0)</f>
      </c>
      <c r="C13" s="9">
        <f>IF('Data Sheet'!C93&gt;0,C12/'Data Sheet'!C93,0)</f>
      </c>
      <c r="D13" s="9">
        <f>IF('Data Sheet'!D93&gt;0,D12/'Data Sheet'!D93,0)</f>
      </c>
      <c r="E13" s="9">
        <f>IF('Data Sheet'!E93&gt;0,E12/'Data Sheet'!E93,0)</f>
      </c>
      <c r="F13" s="9">
        <f>IF('Data Sheet'!F93&gt;0,F12/'Data Sheet'!F93,0)</f>
      </c>
      <c r="G13" s="9">
        <f>IF('Data Sheet'!G93&gt;0,G12/'Data Sheet'!G93,0)</f>
      </c>
      <c r="H13" s="9">
        <f>IF('Data Sheet'!H93&gt;0,H12/'Data Sheet'!H93,0)</f>
      </c>
      <c r="I13" s="9">
        <f>IF('Data Sheet'!I93&gt;0,I12/'Data Sheet'!I93,0)</f>
      </c>
      <c r="J13" s="9">
        <f>IF('Data Sheet'!J93&gt;0,J12/'Data Sheet'!J93,0)</f>
      </c>
      <c r="K13" s="9">
        <f>IF('Data Sheet'!K93&gt;0,K12/'Data Sheet'!K93,0)</f>
      </c>
      <c r="L13" s="9">
        <f>IF('Data Sheet'!$B6&gt;0,'Profit &amp; Loss'!L12/'Data Sheet'!$B6,0)</f>
      </c>
      <c r="M13" s="9">
        <f>IF('Data Sheet'!$B6&gt;0,'Profit &amp; Loss'!M12/'Data Sheet'!$B6,0)</f>
      </c>
      <c r="N13" s="9">
        <f>IF('Data Sheet'!$B6&gt;0,'Profit &amp; Loss'!N12/'Data Sheet'!$B6,0)</f>
      </c>
    </row>
    <row r="14" spans="1:14" x14ac:dyDescent="0.25">
      <c r="A14" s="6" t="s">
        <v>16</v>
      </c>
      <c r="B14" s="9">
        <f>IF(B15&gt;0,B15/B13,"")</f>
      </c>
      <c r="C14" s="9">
        <f t="shared" ref="C14:K14" si="2">IF(C15&gt;0,C15/C13,"")</f>
      </c>
      <c r="D14" s="9">
        <f t="shared" si="2"/>
      </c>
      <c r="E14" s="9">
        <f t="shared" si="2"/>
      </c>
      <c r="F14" s="9">
        <f t="shared" si="2"/>
      </c>
      <c r="G14" s="9">
        <f t="shared" si="2"/>
      </c>
      <c r="H14" s="9">
        <f t="shared" si="2"/>
      </c>
      <c r="I14" s="9">
        <f t="shared" si="2"/>
      </c>
      <c r="J14" s="9">
        <f t="shared" si="2"/>
      </c>
      <c r="K14" s="9">
        <f t="shared" si="2"/>
      </c>
      <c r="L14" s="9">
        <f t="shared" ref="L14" si="3">IF(L13&gt;0,L15/L13,0)</f>
      </c>
      <c r="M14" s="9">
        <f>M25</f>
      </c>
      <c r="N14" s="9">
        <f>N25</f>
      </c>
    </row>
    <row r="15" spans="1:14" s="8" customFormat="1" x14ac:dyDescent="0.25">
      <c r="A15" s="8" t="s">
        <v>59</v>
      </c>
      <c r="B15" s="1">
        <f>'Data Sheet'!B90</f>
      </c>
      <c r="C15" s="1">
        <f>'Data Sheet'!C90</f>
      </c>
      <c r="D15" s="1">
        <f>'Data Sheet'!D90</f>
      </c>
      <c r="E15" s="1">
        <f>'Data Sheet'!E90</f>
      </c>
      <c r="F15" s="1">
        <f>'Data Sheet'!F90</f>
      </c>
      <c r="G15" s="1">
        <f>'Data Sheet'!G90</f>
      </c>
      <c r="H15" s="1">
        <f>'Data Sheet'!H90</f>
      </c>
      <c r="I15" s="1">
        <f>'Data Sheet'!I90</f>
      </c>
      <c r="J15" s="1">
        <f>'Data Sheet'!J90</f>
      </c>
      <c r="K15" s="1">
        <f>'Data Sheet'!K90</f>
      </c>
      <c r="L15" s="1">
        <f>'Data Sheet'!B8</f>
      </c>
      <c r="M15" s="12">
        <f>M13*M14</f>
      </c>
      <c r="N15" s="13">
        <f>N13*N14</f>
      </c>
    </row>
    <row r="17" spans="1:14" s="8" customFormat="1" x14ac:dyDescent="0.25">
      <c r="A17" s="8" t="s">
        <v>15</v>
      </c>
    </row>
    <row r="18" spans="1:14" x14ac:dyDescent="0.25">
      <c r="A18" s="6" t="s">
        <v>17</v>
      </c>
      <c r="B18" s="7">
        <f>IF('Data Sheet'!B30&gt;0, 'Data Sheet'!B31/'Data Sheet'!B30, 0)</f>
      </c>
      <c r="C18" s="7">
        <f>IF('Data Sheet'!C30&gt;0, 'Data Sheet'!C31/'Data Sheet'!C30, 0)</f>
      </c>
      <c r="D18" s="7">
        <f>IF('Data Sheet'!D30&gt;0, 'Data Sheet'!D31/'Data Sheet'!D30, 0)</f>
      </c>
      <c r="E18" s="7">
        <f>IF('Data Sheet'!E30&gt;0, 'Data Sheet'!E31/'Data Sheet'!E30, 0)</f>
      </c>
      <c r="F18" s="7">
        <f>IF('Data Sheet'!F30&gt;0, 'Data Sheet'!F31/'Data Sheet'!F30, 0)</f>
      </c>
      <c r="G18" s="7">
        <f>IF('Data Sheet'!G30&gt;0, 'Data Sheet'!G31/'Data Sheet'!G30, 0)</f>
      </c>
      <c r="H18" s="7">
        <f>IF('Data Sheet'!H30&gt;0, 'Data Sheet'!H31/'Data Sheet'!H30, 0)</f>
      </c>
      <c r="I18" s="7">
        <f>IF('Data Sheet'!I30&gt;0, 'Data Sheet'!I31/'Data Sheet'!I30, 0)</f>
      </c>
      <c r="J18" s="7">
        <f>IF('Data Sheet'!J30&gt;0, 'Data Sheet'!J31/'Data Sheet'!J30, 0)</f>
      </c>
      <c r="K18" s="7">
        <f>IF('Data Sheet'!K30&gt;0, 'Data Sheet'!K31/'Data Sheet'!K30, 0)</f>
      </c>
    </row>
    <row r="19" spans="1:14" x14ac:dyDescent="0.25">
      <c r="A19" s="6" t="s">
        <v>18</v>
      </c>
      <c r="B19" s="7">
        <f t="shared" ref="B19:L19" si="4">IF(B6&gt;0,B6/B4,0)</f>
      </c>
      <c r="C19" s="7">
        <f t="shared" ref="C19:K19" si="5">IF(C6&gt;0,C6/C4,0)</f>
      </c>
      <c r="D19" s="7">
        <f t="shared" si="5"/>
      </c>
      <c r="E19" s="7">
        <f t="shared" si="5"/>
      </c>
      <c r="F19" s="7">
        <f t="shared" si="5"/>
      </c>
      <c r="G19" s="7">
        <f t="shared" si="5"/>
      </c>
      <c r="H19" s="7">
        <f t="shared" si="5"/>
      </c>
      <c r="I19" s="7">
        <f t="shared" si="5"/>
      </c>
      <c r="J19" s="7">
        <f t="shared" si="5"/>
      </c>
      <c r="K19" s="7">
        <f t="shared" si="5"/>
      </c>
      <c r="L19" s="7">
        <f t="shared" si="4"/>
      </c>
    </row>
    <row r="20" spans="1:14" x14ac:dyDescent="0.25">
      <c r="B20" s="7"/>
      <c r="C20" s="7"/>
      <c r="D20" s="7"/>
      <c r="E20" s="7"/>
      <c r="F20" s="7"/>
      <c r="G20" s="7"/>
      <c r="H20" s="7"/>
      <c r="I20" s="7"/>
      <c r="J20" s="7"/>
      <c r="K20" s="7"/>
      <c r="L20" s="7"/>
    </row>
    <row r="21" spans="1:14" x14ac:dyDescent="0.25">
      <c r="B21" s="7"/>
      <c r="C21" s="7"/>
      <c r="D21" s="7"/>
      <c r="E21" s="7"/>
      <c r="F21" s="7"/>
      <c r="G21" s="7"/>
      <c r="H21" s="7"/>
      <c r="I21" s="7"/>
      <c r="J21" s="7"/>
      <c r="K21" s="7"/>
      <c r="L21" s="7"/>
    </row>
    <row r="22" spans="1:14" s="2" customFormat="1" x14ac:dyDescent="0.25">
      <c r="A22" s="15"/>
      <c r="B22" s="16"/>
      <c r="C22" s="16"/>
      <c r="D22" s="16"/>
      <c r="E22" s="16"/>
      <c r="F22" s="16"/>
      <c r="G22" s="16" t="s">
        <v>19</v>
      </c>
      <c r="H22" s="16" t="s">
        <v>66</v>
      </c>
      <c r="I22" s="16" t="s">
        <v>67</v>
      </c>
      <c r="J22" s="16" t="s">
        <v>68</v>
      </c>
      <c r="K22" s="16" t="s">
        <v>69</v>
      </c>
      <c r="L22" s="17" t="s">
        <v>70</v>
      </c>
      <c r="M22" s="17" t="s">
        <v>20</v>
      </c>
      <c r="N22" s="17" t="s">
        <v>21</v>
      </c>
    </row>
    <row r="23" spans="1:14" s="8" customFormat="1" x14ac:dyDescent="0.25">
      <c r="A23" s="6"/>
      <c r="B23" s="6"/>
      <c r="C23" s="6"/>
      <c r="D23" s="6"/>
      <c r="E23" s="6"/>
      <c r="F23" s="6"/>
      <c r="G23" s="6" t="s">
        <v>22</v>
      </c>
      <c r="H23" s="7">
        <f>IF(B4=0,"",POWER($K4/B4,1/9)-1)</f>
      </c>
      <c r="I23" s="7">
        <f>IF(D4=0,"",POWER($K4/D4,1/7)-1)</f>
      </c>
      <c r="J23" s="7">
        <f>IF(F4=0,"",POWER($K4/F4,1/5)-1)</f>
      </c>
      <c r="K23" s="7">
        <f>IF(H4=0,"",POWER($K4/H4, 1/3)-1)</f>
      </c>
      <c r="L23" s="7">
        <f>IF(ISERROR(MAX(IF(J4=0,"",(K4-J4)/J4),IF(K4=0,"",(L4-K4)/K4))),"",MAX(IF(J4=0,"",(K4-J4)/J4),IF(K4=0,"",(L4-K4)/K4)))</f>
      </c>
      <c r="M23" s="22">
        <f>MAX(K23:L23)</f>
      </c>
      <c r="N23" s="22">
        <f>MIN(H23:L23)</f>
      </c>
    </row>
    <row r="24" spans="1:14" x14ac:dyDescent="0.25">
      <c r="G24" s="6" t="s">
        <v>18</v>
      </c>
      <c r="H24" s="7">
        <f>IF(SUM(B4:$K$4)=0,"",SUMPRODUCT(B19:$K$19,B4:$K$4)/SUM(B4:$K$4))</f>
      </c>
      <c r="I24" s="7">
        <f>IF(SUM(E4:$K$4)=0,"",SUMPRODUCT(E19:$K$19,E4:$K$4)/SUM(E4:$K$4))</f>
      </c>
      <c r="J24" s="7">
        <f>IF(SUM(G4:$K$4)=0,"",SUMPRODUCT(G19:$K$19,G4:$K$4)/SUM(G4:$K$4))</f>
      </c>
      <c r="K24" s="7">
        <f>IF(SUM(I4:$K$4)=0, "", SUMPRODUCT(I19:$K$19,I4:$K$4)/SUM(I4:$K$4))</f>
      </c>
      <c r="L24" s="7">
        <f>L19</f>
      </c>
      <c r="M24" s="22">
        <f>MAX(K24:L24)</f>
      </c>
      <c r="N24" s="22">
        <f>MIN(H24:L24)</f>
      </c>
    </row>
    <row r="25" spans="1:14" x14ac:dyDescent="0.25">
      <c r="G25" s="6" t="s">
        <v>23</v>
      </c>
      <c r="H25" s="9">
        <f>IF(ISERROR(AVERAGEIF(B14:$L14,"&gt;0")),"",AVERAGEIF(B14:$L14,"&gt;0"))</f>
      </c>
      <c r="I25" s="9">
        <f>IF(ISERROR(AVERAGEIF(E14:$L14,"&gt;0")),"",AVERAGEIF(E14:$L14,"&gt;0"))</f>
      </c>
      <c r="J25" s="9">
        <f>IF(ISERROR(AVERAGEIF(G14:$L14,"&gt;0")),"",AVERAGEIF(G14:$L14,"&gt;0"))</f>
      </c>
      <c r="K25" s="9">
        <f>IF(ISERROR(AVERAGEIF(I14:$L14,"&gt;0")),"",AVERAGEIF(I14:$L14,"&gt;0"))</f>
      </c>
      <c r="L25" s="9">
        <f>L14</f>
      </c>
      <c r="M25" s="1">
        <f>MAX(K25:L25)</f>
      </c>
      <c r="N25" s="1">
        <f>MIN(H25:L25)</f>
      </c>
    </row>
  </sheetData>
  <hyperlinks>
    <hyperlink ref="M1" r:id="rId1"/>
  </hyperlinks>
  <printOptions gridLines="1"/>
  <pageMargins left="0.7" right="0.7" top="0.75" bottom="0.75" header="0.3" footer="0.3"/>
  <pageSetup paperSize="9" orientation="landscape" horizontalDpi="300" verticalDpi="300"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tabSelected="1" workbookViewId="0">
      <selection activeCell="A17" sqref="A17"/>
    </sheetView>
  </sheetViews>
  <sheetFormatPr defaultRowHeight="15" x14ac:dyDescent="0.25"/>
  <cols>
    <col min="1" max="1" width="33.5703125" customWidth="1"/>
  </cols>
  <sheetData>
    <row r="1" spans="1:5" x14ac:dyDescent="0.25">
      <c r="B1" t="s">
        <v>819</v>
      </c>
      <c r="C1" t="s">
        <v>820</v>
      </c>
      <c r="D1" t="s">
        <v>821</v>
      </c>
      <c r="E1" t="s">
        <v>818</v>
      </c>
    </row>
    <row r="2" spans="1:5" x14ac:dyDescent="0.25">
      <c r="A2" s="326" t="s">
        <v>607</v>
      </c>
      <c r="B2" s="87">
        <f>Trend!R17</f>
      </c>
      <c r="C2" s="87">
        <f>Trend!Q17</f>
      </c>
      <c r="D2" s="87">
        <f>Trend!P17</f>
      </c>
      <c r="E2" s="87">
        <f>Trend!K17</f>
      </c>
    </row>
    <row r="3" spans="1:5" x14ac:dyDescent="0.25">
      <c r="A3" s="326" t="s">
        <v>608</v>
      </c>
      <c r="B3" s="87">
        <f>Trend!R18</f>
      </c>
      <c r="C3" s="87">
        <f>Trend!Q18</f>
      </c>
      <c r="D3" s="87">
        <f>Trend!P18</f>
      </c>
      <c r="E3" s="87">
        <f>Trend!K18</f>
      </c>
    </row>
    <row r="4" spans="1:5" x14ac:dyDescent="0.25">
      <c r="A4" s="326" t="s">
        <v>648</v>
      </c>
      <c r="B4" s="87">
        <f>Trend!O19</f>
      </c>
      <c r="C4" s="87">
        <f>Trend!N19</f>
      </c>
      <c r="D4" s="87">
        <f>Trend!M19</f>
      </c>
      <c r="E4" s="87">
        <f>Trend!K19</f>
      </c>
    </row>
    <row r="5" spans="1:5" x14ac:dyDescent="0.25">
      <c r="A5" s="326" t="s">
        <v>267</v>
      </c>
      <c r="B5" s="87">
        <f>Trend!O20</f>
      </c>
      <c r="C5" s="87">
        <f>Trend!N20</f>
      </c>
      <c r="D5" s="87">
        <f>Trend!M20</f>
      </c>
      <c r="E5" s="87">
        <f>Trend!K20</f>
      </c>
    </row>
    <row r="6" spans="1:5" x14ac:dyDescent="0.25">
      <c r="A6" s="326" t="s">
        <v>431</v>
      </c>
      <c r="B6" s="87">
        <f>Trend!O21</f>
      </c>
      <c r="C6" s="87">
        <f>Trend!N21</f>
      </c>
      <c r="D6" s="87">
        <f>Trend!M21</f>
      </c>
      <c r="E6" s="87">
        <f>Trend!K21</f>
      </c>
    </row>
    <row r="7" spans="1:5" x14ac:dyDescent="0.25">
      <c r="A7" s="326" t="s">
        <v>202</v>
      </c>
      <c r="B7" s="87">
        <f>Trend!O22</f>
      </c>
      <c r="C7" s="87">
        <f>Trend!N22</f>
      </c>
      <c r="D7" s="87">
        <f>Trend!M22</f>
      </c>
      <c r="E7" s="87">
        <f>Trend!K22</f>
      </c>
    </row>
    <row r="8" spans="1:5" x14ac:dyDescent="0.25">
      <c r="A8" s="326" t="s">
        <v>135</v>
      </c>
      <c r="B8" s="87">
        <f>Trend!O23</f>
      </c>
      <c r="C8" s="87">
        <f>Trend!N23</f>
      </c>
      <c r="D8" s="87">
        <f>Trend!M23</f>
      </c>
      <c r="E8" s="87">
        <f>Trend!K23</f>
      </c>
    </row>
    <row r="9" spans="1:5" x14ac:dyDescent="0.25">
      <c r="A9" s="326" t="s">
        <v>649</v>
      </c>
      <c r="B9" s="87">
        <f>Trend!O24</f>
      </c>
      <c r="C9" s="87">
        <f>Trend!N24</f>
      </c>
      <c r="D9" s="87">
        <f>Trend!M24</f>
      </c>
      <c r="E9" s="87">
        <f>Trend!K24</f>
      </c>
    </row>
    <row r="10" spans="1:5" x14ac:dyDescent="0.25">
      <c r="A10" s="326"/>
      <c r="B10" s="87"/>
      <c r="C10" s="87"/>
      <c r="D10" s="87"/>
      <c r="E10" s="87"/>
    </row>
    <row r="11" spans="1:5" x14ac:dyDescent="0.25">
      <c r="A11" s="339" t="s">
        <v>657</v>
      </c>
      <c r="B11" s="87"/>
      <c r="C11" s="87"/>
      <c r="D11" s="87"/>
      <c r="E11" s="87"/>
    </row>
    <row r="12" spans="1:5" x14ac:dyDescent="0.25">
      <c r="A12" s="326" t="s">
        <v>658</v>
      </c>
      <c r="B12" s="87">
        <f>Trend!O27</f>
      </c>
      <c r="C12" s="87">
        <f>Trend!N27</f>
      </c>
      <c r="D12" s="87">
        <f>Trend!M27</f>
      </c>
      <c r="E12" s="87">
        <f>Trend!K27</f>
      </c>
    </row>
    <row r="13" spans="1:5" x14ac:dyDescent="0.25">
      <c r="A13" s="340" t="s">
        <v>661</v>
      </c>
      <c r="B13" s="87">
        <f>Trend!O28</f>
      </c>
      <c r="C13" s="87">
        <f>Trend!N28</f>
      </c>
      <c r="D13" s="87">
        <f>Trend!M28</f>
      </c>
      <c r="E13" s="87">
        <f>Trend!K28</f>
      </c>
    </row>
    <row r="14" spans="1:5" x14ac:dyDescent="0.25">
      <c r="A14" s="340" t="s">
        <v>662</v>
      </c>
      <c r="B14" s="87">
        <f>Trend!O29</f>
      </c>
      <c r="C14" s="87">
        <f>Trend!N29</f>
      </c>
      <c r="D14" s="87">
        <f>Trend!M29</f>
      </c>
      <c r="E14" s="87">
        <f>Trend!K29</f>
      </c>
    </row>
    <row r="15" spans="1:5" x14ac:dyDescent="0.25">
      <c r="A15" s="340" t="s">
        <v>663</v>
      </c>
      <c r="B15" s="87">
        <f>Trend!O30</f>
      </c>
      <c r="C15" s="87">
        <f>Trend!N30</f>
      </c>
      <c r="D15" s="87">
        <f>Trend!M30</f>
      </c>
      <c r="E15" s="87">
        <f>Trend!K30</f>
      </c>
    </row>
    <row r="16" spans="1:5" x14ac:dyDescent="0.25">
      <c r="A16" s="340" t="s">
        <v>664</v>
      </c>
      <c r="B16" s="87">
        <f>Trend!O31</f>
      </c>
      <c r="C16" s="87">
        <f>Trend!N31</f>
      </c>
      <c r="D16" s="87">
        <f>Trend!M31</f>
      </c>
      <c r="E16" s="87">
        <f>Trend!K31</f>
      </c>
    </row>
    <row r="17" spans="1:5" x14ac:dyDescent="0.25">
      <c r="A17" s="340" t="s">
        <v>665</v>
      </c>
      <c r="B17" s="87">
        <f>Trend!O32</f>
      </c>
      <c r="C17" s="87">
        <f>Trend!N32</f>
      </c>
      <c r="D17" s="87">
        <f>Trend!M32</f>
      </c>
      <c r="E17" s="87">
        <f>Trend!K32</f>
      </c>
    </row>
    <row r="18" spans="1:5" x14ac:dyDescent="0.25">
      <c r="A18" s="340" t="s">
        <v>666</v>
      </c>
      <c r="B18" s="87">
        <f>Trend!O33</f>
      </c>
      <c r="C18" s="87">
        <f>Trend!N33</f>
      </c>
      <c r="D18" s="87">
        <f>Trend!M33</f>
      </c>
      <c r="E18" s="87">
        <f>Trend!K33</f>
      </c>
    </row>
    <row r="19" spans="1:5" x14ac:dyDescent="0.25">
      <c r="A19" s="326" t="s">
        <v>660</v>
      </c>
      <c r="B19" s="87">
        <f>Trend!O34</f>
      </c>
      <c r="C19" s="87">
        <f>Trend!N34</f>
      </c>
      <c r="D19" s="87">
        <f>Trend!M34</f>
      </c>
      <c r="E19" s="87">
        <f>Trend!K34</f>
      </c>
    </row>
    <row r="20" spans="1:5" x14ac:dyDescent="0.25">
      <c r="A20" s="340" t="s">
        <v>667</v>
      </c>
      <c r="B20" s="87">
        <f>Trend!O35</f>
      </c>
      <c r="C20" s="87">
        <f>Trend!N35</f>
      </c>
      <c r="D20" s="87">
        <f>Trend!M35</f>
      </c>
      <c r="E20" s="87">
        <f>Trend!K35</f>
      </c>
    </row>
    <row r="21" spans="1:5" x14ac:dyDescent="0.25">
      <c r="A21" s="326" t="s">
        <v>431</v>
      </c>
      <c r="B21" s="87">
        <f>Trend!O36</f>
      </c>
      <c r="C21" s="87">
        <f>Trend!N36</f>
      </c>
      <c r="D21" s="87">
        <f>Trend!M36</f>
      </c>
      <c r="E21" s="87">
        <f>Trend!K36</f>
      </c>
    </row>
    <row r="22" spans="1:5" x14ac:dyDescent="0.25">
      <c r="A22" s="326" t="s">
        <v>659</v>
      </c>
      <c r="B22" s="87">
        <f>Trend!O37</f>
      </c>
      <c r="C22" s="87">
        <f>Trend!N37</f>
      </c>
      <c r="D22" s="87">
        <f>Trend!M37</f>
      </c>
      <c r="E22" s="87">
        <f>Trend!K37</f>
      </c>
    </row>
    <row r="23" spans="1:5" x14ac:dyDescent="0.25">
      <c r="A23" s="326" t="s">
        <v>202</v>
      </c>
      <c r="B23" s="87">
        <f>Trend!O38</f>
      </c>
      <c r="C23" s="87">
        <f>Trend!N38</f>
      </c>
      <c r="D23" s="87">
        <f>Trend!M38</f>
      </c>
      <c r="E23" s="87">
        <f>Trend!K38</f>
      </c>
    </row>
    <row r="24" spans="1:5" x14ac:dyDescent="0.25">
      <c r="A24" s="326" t="s">
        <v>135</v>
      </c>
      <c r="B24" s="87">
        <f>Trend!O39</f>
      </c>
      <c r="C24" s="87">
        <f>Trend!N39</f>
      </c>
      <c r="D24" s="87">
        <f>Trend!M39</f>
      </c>
      <c r="E24" s="87">
        <f>Trend!K39</f>
      </c>
    </row>
    <row r="25" spans="1:5" x14ac:dyDescent="0.25">
      <c r="A25" s="326"/>
      <c r="B25" s="87"/>
      <c r="C25" s="87"/>
      <c r="D25" s="87"/>
      <c r="E25" s="87"/>
    </row>
    <row r="26" spans="1:5" x14ac:dyDescent="0.25">
      <c r="A26" s="339" t="s">
        <v>623</v>
      </c>
      <c r="B26" s="87">
        <f>Trend!O41</f>
      </c>
      <c r="C26" s="87">
        <f>Trend!N41</f>
      </c>
      <c r="D26" s="87">
        <f>Trend!M41</f>
      </c>
      <c r="E26" s="87">
        <f>Trend!K41</f>
      </c>
    </row>
    <row r="27" spans="1:5" x14ac:dyDescent="0.25">
      <c r="A27" s="326" t="s">
        <v>610</v>
      </c>
      <c r="B27" s="87">
        <f>Trend!O44</f>
      </c>
      <c r="C27" s="87">
        <f>Trend!N44</f>
      </c>
      <c r="D27" s="87">
        <f>Trend!M44</f>
      </c>
      <c r="E27" s="87">
        <f>Trend!K44</f>
      </c>
    </row>
    <row r="28" spans="1:5" x14ac:dyDescent="0.25">
      <c r="A28" s="326" t="s">
        <v>611</v>
      </c>
      <c r="B28" s="87">
        <f>Trend!O45</f>
      </c>
      <c r="C28" s="87">
        <f>Trend!N45</f>
      </c>
      <c r="D28" s="87">
        <f>Trend!M45</f>
      </c>
      <c r="E28" s="87">
        <f>Trend!K45</f>
      </c>
    </row>
    <row r="29" spans="1:5" x14ac:dyDescent="0.25">
      <c r="A29" s="326" t="s">
        <v>621</v>
      </c>
      <c r="B29" s="87">
        <f>Trend!O47</f>
      </c>
      <c r="C29" s="87">
        <f>Trend!N47</f>
      </c>
      <c r="D29" s="87">
        <f>Trend!M47</f>
      </c>
      <c r="E29" s="87">
        <f>Trend!K47</f>
      </c>
    </row>
    <row r="30" spans="1:5" x14ac:dyDescent="0.25">
      <c r="A30" s="326" t="s">
        <v>622</v>
      </c>
      <c r="B30" s="87">
        <f>Trend!O48</f>
      </c>
      <c r="C30" s="87">
        <f>Trend!N48</f>
      </c>
      <c r="D30" s="87">
        <f>Trend!M48</f>
      </c>
      <c r="E30" s="87">
        <f>Trend!K48</f>
      </c>
    </row>
    <row r="31" spans="1:5" x14ac:dyDescent="0.25">
      <c r="A31" s="326" t="s">
        <v>619</v>
      </c>
      <c r="B31" s="87">
        <f>Trend!O54</f>
      </c>
      <c r="C31" s="87">
        <f>Trend!N54</f>
      </c>
      <c r="D31" s="87">
        <f>Trend!M54</f>
      </c>
      <c r="E31" s="87">
        <f>Trend!K54</f>
      </c>
    </row>
    <row r="32" spans="1:5" x14ac:dyDescent="0.25">
      <c r="A32" s="326" t="s">
        <v>620</v>
      </c>
      <c r="B32" s="87">
        <f>Trend!O55</f>
      </c>
      <c r="C32" s="87">
        <f>Trend!N55</f>
      </c>
      <c r="D32" s="87">
        <f>Trend!M55</f>
      </c>
      <c r="E32" s="87">
        <f>Trend!K55</f>
      </c>
    </row>
    <row r="33" spans="1:5" x14ac:dyDescent="0.25">
      <c r="A33" s="326"/>
      <c r="B33" s="87"/>
      <c r="C33" s="87"/>
      <c r="D33" s="87"/>
      <c r="E33" s="87"/>
    </row>
    <row r="34" spans="1:5" x14ac:dyDescent="0.25">
      <c r="A34" s="343" t="s">
        <v>624</v>
      </c>
      <c r="B34" s="87"/>
      <c r="C34" s="87"/>
      <c r="D34" s="87"/>
      <c r="E34" s="87"/>
    </row>
    <row r="35" spans="1:5" x14ac:dyDescent="0.25">
      <c r="A35" s="326" t="s">
        <v>625</v>
      </c>
      <c r="B35" s="108">
        <f>Trend!O58</f>
      </c>
      <c r="C35" s="108">
        <f>Trend!N58</f>
      </c>
      <c r="D35" s="108">
        <f>Trend!M58</f>
      </c>
      <c r="E35" s="108">
        <f>Trend!K58</f>
      </c>
    </row>
    <row r="36" spans="1:5" x14ac:dyDescent="0.25">
      <c r="A36" s="326" t="s">
        <v>314</v>
      </c>
      <c r="B36" s="108">
        <f>Trend!O59</f>
      </c>
      <c r="C36" s="108">
        <f>Trend!N59</f>
      </c>
      <c r="D36" s="108">
        <f>Trend!M59</f>
      </c>
      <c r="E36" s="108">
        <f>Trend!K59</f>
      </c>
    </row>
    <row r="37" spans="1:5" x14ac:dyDescent="0.25">
      <c r="A37" s="326" t="s">
        <v>310</v>
      </c>
      <c r="B37" s="108">
        <f>Trend!O60</f>
      </c>
      <c r="C37" s="108">
        <f>Trend!N60</f>
      </c>
      <c r="D37" s="108">
        <f>Trend!M60</f>
      </c>
      <c r="E37" s="108">
        <f>Trend!K60</f>
      </c>
    </row>
    <row r="38" spans="1:5" x14ac:dyDescent="0.25">
      <c r="A38" s="326" t="s">
        <v>626</v>
      </c>
      <c r="B38" s="108">
        <f>Trend!O61</f>
      </c>
      <c r="C38" s="108">
        <f>Trend!N61</f>
      </c>
      <c r="D38" s="108">
        <f>Trend!M61</f>
      </c>
      <c r="E38" s="108">
        <f>Trend!K61</f>
      </c>
    </row>
    <row r="39" spans="1:5" x14ac:dyDescent="0.25">
      <c r="A39" s="326" t="s">
        <v>315</v>
      </c>
      <c r="B39" s="108">
        <f>Trend!O62</f>
      </c>
      <c r="C39" s="108">
        <f>Trend!N62</f>
      </c>
      <c r="D39" s="108">
        <f>Trend!M62</f>
      </c>
      <c r="E39" s="108">
        <f>Trend!K62</f>
      </c>
    </row>
    <row r="40" spans="1:5" x14ac:dyDescent="0.25">
      <c r="A40" s="326" t="s">
        <v>640</v>
      </c>
      <c r="B40" s="108">
        <f>Trend!O63</f>
      </c>
      <c r="C40" s="108">
        <f>Trend!N63</f>
      </c>
      <c r="D40" s="108">
        <f>Trend!M63</f>
      </c>
      <c r="E40" s="108">
        <f>Trend!K63</f>
      </c>
    </row>
    <row r="41" spans="1:5" x14ac:dyDescent="0.25">
      <c r="A41" s="326" t="s">
        <v>655</v>
      </c>
      <c r="B41" s="98">
        <f>Trend!O67</f>
      </c>
      <c r="C41" s="98">
        <f>Trend!N67</f>
      </c>
      <c r="D41" s="98">
        <f>Trend!M67</f>
      </c>
      <c r="E41" s="98">
        <f>Trend!K67</f>
      </c>
    </row>
    <row r="42" spans="1:5" x14ac:dyDescent="0.25">
      <c r="A42" s="326" t="s">
        <v>650</v>
      </c>
      <c r="B42" s="87">
        <f>Trend!O68</f>
      </c>
      <c r="C42" s="87">
        <f>Trend!N68</f>
      </c>
      <c r="D42" s="87">
        <f>Trend!M68</f>
      </c>
      <c r="E42" s="87">
        <f>Trend!K68</f>
      </c>
    </row>
    <row r="43" spans="1:5" x14ac:dyDescent="0.25">
      <c r="A43" s="326" t="s">
        <v>651</v>
      </c>
      <c r="B43" s="87">
        <f>Trend!O69</f>
      </c>
      <c r="C43" s="87">
        <f>Trend!N69</f>
      </c>
      <c r="D43" s="87">
        <f>Trend!M69</f>
      </c>
      <c r="E43" s="87">
        <f>Trend!K69</f>
      </c>
    </row>
    <row r="44" spans="1:5" x14ac:dyDescent="0.25">
      <c r="A44" s="326"/>
      <c r="B44" s="87"/>
      <c r="C44" s="87"/>
      <c r="D44" s="87"/>
      <c r="E44" s="87"/>
    </row>
    <row r="45" spans="1:5" x14ac:dyDescent="0.25">
      <c r="A45" s="343" t="s">
        <v>627</v>
      </c>
      <c r="B45" s="87"/>
      <c r="C45" s="87"/>
      <c r="D45" s="87"/>
      <c r="E45" s="87"/>
    </row>
    <row r="46" spans="1:5" x14ac:dyDescent="0.25">
      <c r="A46" s="326" t="s">
        <v>656</v>
      </c>
      <c r="B46" s="87">
        <f>Trend!O72</f>
      </c>
      <c r="C46" s="87">
        <f>Trend!N72</f>
      </c>
      <c r="D46" s="87">
        <f>Trend!M72</f>
      </c>
      <c r="E46" s="87">
        <f>Trend!K72</f>
      </c>
    </row>
    <row r="47" spans="1:5" x14ac:dyDescent="0.25">
      <c r="A47" s="326" t="s">
        <v>46</v>
      </c>
      <c r="B47" s="267">
        <f>Trend!O73</f>
      </c>
      <c r="C47" s="267">
        <f>Trend!N73</f>
      </c>
      <c r="D47" s="267">
        <f>Trend!M73</f>
      </c>
      <c r="E47" s="267">
        <f>Trend!K73</f>
      </c>
    </row>
    <row r="48" spans="1:5" x14ac:dyDescent="0.25">
      <c r="A48" s="326" t="s">
        <v>628</v>
      </c>
      <c r="B48" s="98">
        <f>Trend!O74</f>
      </c>
      <c r="C48" s="98">
        <f>Trend!N74</f>
      </c>
      <c r="D48" s="98">
        <f>Trend!M74</f>
      </c>
      <c r="E48" s="98">
        <f>Trend!K74</f>
      </c>
    </row>
    <row r="49" spans="1:5" x14ac:dyDescent="0.25">
      <c r="A49" s="326" t="s">
        <v>477</v>
      </c>
      <c r="B49" s="267">
        <f>Trend!O75</f>
      </c>
      <c r="C49" s="267">
        <f>Trend!N75</f>
      </c>
      <c r="D49" s="267">
        <f>Trend!M75</f>
      </c>
      <c r="E49" s="267">
        <f>Trend!K75</f>
      </c>
    </row>
    <row r="50" spans="1:5" x14ac:dyDescent="0.25">
      <c r="A50" s="326" t="s">
        <v>47</v>
      </c>
      <c r="B50" s="98">
        <f>Trend!O76</f>
      </c>
      <c r="C50" s="98">
        <f>Trend!N76</f>
      </c>
      <c r="D50" s="98">
        <f>Trend!M76</f>
      </c>
      <c r="E50" s="98">
        <f>Trend!K76</f>
      </c>
    </row>
    <row r="51" spans="1:5" x14ac:dyDescent="0.25">
      <c r="A51" s="326" t="s">
        <v>676</v>
      </c>
      <c r="B51" s="87">
        <f>Trend!O79</f>
      </c>
      <c r="C51" s="87">
        <f>Trend!N79</f>
      </c>
      <c r="D51" s="87">
        <f>Trend!M79</f>
      </c>
      <c r="E51" s="87">
        <f>Trend!K79</f>
      </c>
    </row>
    <row r="52" spans="1:5" x14ac:dyDescent="0.25">
      <c r="A52" s="326" t="s">
        <v>636</v>
      </c>
      <c r="B52" s="87">
        <f>Trend!O80</f>
      </c>
      <c r="C52" s="87">
        <f>Trend!N80</f>
      </c>
      <c r="D52" s="87">
        <f>Trend!M80</f>
      </c>
      <c r="E52" s="87">
        <f>Trend!K80</f>
      </c>
    </row>
    <row r="53" spans="1:5" x14ac:dyDescent="0.25">
      <c r="A53" s="326" t="s">
        <v>637</v>
      </c>
      <c r="B53" s="98">
        <f>Trend!O81</f>
      </c>
      <c r="C53" s="98">
        <f>Trend!N81</f>
      </c>
      <c r="D53" s="98">
        <f>Trend!M81</f>
      </c>
      <c r="E53" s="98">
        <f>Trend!K81</f>
      </c>
    </row>
    <row r="54" spans="1:5" x14ac:dyDescent="0.25">
      <c r="A54" s="326" t="s">
        <v>291</v>
      </c>
      <c r="B54" s="98">
        <f>Trend!O82</f>
      </c>
      <c r="C54" s="98">
        <f>Trend!N82</f>
      </c>
      <c r="D54" s="98">
        <f>Trend!M82</f>
      </c>
      <c r="E54" s="98">
        <f>Trend!K82</f>
      </c>
    </row>
    <row r="55" spans="1:5" x14ac:dyDescent="0.25">
      <c r="A55" s="326" t="s">
        <v>399</v>
      </c>
      <c r="B55" s="98">
        <f>Trend!O90</f>
      </c>
      <c r="C55" s="98">
        <f>Trend!N90</f>
      </c>
      <c r="D55" s="98">
        <f>Trend!M90</f>
      </c>
      <c r="E55" s="98">
        <f>Trend!K90</f>
      </c>
    </row>
    <row r="56" spans="1:5" x14ac:dyDescent="0.25">
      <c r="A56" s="326" t="s">
        <v>632</v>
      </c>
      <c r="B56" s="87">
        <f>Trend!O91</f>
      </c>
      <c r="C56" s="87">
        <f>Trend!N91</f>
      </c>
      <c r="D56" s="87">
        <f>Trend!M91</f>
      </c>
      <c r="E56" s="87">
        <f>Trend!K91</f>
      </c>
    </row>
    <row r="57" spans="1:5" x14ac:dyDescent="0.25">
      <c r="A57" s="326" t="s">
        <v>633</v>
      </c>
      <c r="B57" s="384">
        <f>Trend!O92</f>
      </c>
      <c r="C57" s="384">
        <f>Trend!N92</f>
      </c>
      <c r="D57" s="384">
        <f>Trend!M92</f>
      </c>
      <c r="E57" s="384">
        <f>Trend!K92</f>
      </c>
    </row>
    <row r="58" spans="1:5" x14ac:dyDescent="0.25">
      <c r="A58" s="326" t="s">
        <v>634</v>
      </c>
      <c r="B58" s="87">
        <f>Trend!O93</f>
      </c>
      <c r="C58" s="87">
        <f>Trend!N93</f>
      </c>
      <c r="D58" s="87">
        <f>Trend!M93</f>
      </c>
      <c r="E58" s="87">
        <f>Trend!K93</f>
      </c>
    </row>
    <row r="59" spans="1:5" x14ac:dyDescent="0.25">
      <c r="A59" s="326" t="s">
        <v>481</v>
      </c>
      <c r="B59" s="98">
        <f>Trend!O94</f>
      </c>
      <c r="C59" s="98">
        <f>Trend!N94</f>
      </c>
      <c r="D59" s="98">
        <f>Trend!M94</f>
      </c>
      <c r="E59" s="98">
        <f>Trend!K94</f>
      </c>
    </row>
    <row r="60" spans="1:5" x14ac:dyDescent="0.25">
      <c r="A60" s="326" t="s">
        <v>402</v>
      </c>
      <c r="B60" s="98">
        <f>Trend!O95</f>
      </c>
      <c r="C60" s="98">
        <f>Trend!N95</f>
      </c>
      <c r="D60" s="98">
        <f>Trend!M95</f>
      </c>
      <c r="E60" s="98">
        <f>Trend!K95</f>
      </c>
    </row>
    <row r="61" spans="1:5" x14ac:dyDescent="0.25">
      <c r="A61" s="326" t="s">
        <v>635</v>
      </c>
      <c r="B61" s="87">
        <f>Trend!O96</f>
      </c>
      <c r="C61" s="87">
        <f>Trend!N96</f>
      </c>
      <c r="D61" s="87">
        <f>Trend!M96</f>
      </c>
      <c r="E61" s="87">
        <f>Trend!K96</f>
      </c>
    </row>
    <row r="62" spans="1:5" x14ac:dyDescent="0.25">
      <c r="A62" s="351" t="s">
        <v>253</v>
      </c>
      <c r="B62" s="87">
        <f>Trend!O97</f>
      </c>
      <c r="C62" s="87">
        <f>Trend!N97</f>
      </c>
      <c r="D62" s="87">
        <f>Trend!M97</f>
      </c>
      <c r="E62" s="87">
        <f>Trend!K97</f>
      </c>
    </row>
    <row r="63" spans="1:5" x14ac:dyDescent="0.25">
      <c r="A63" s="351" t="s">
        <v>255</v>
      </c>
      <c r="B63" s="98">
        <f>Trend!O98</f>
      </c>
      <c r="C63" s="98">
        <f>Trend!N98</f>
      </c>
      <c r="D63" s="98">
        <f>Trend!M98</f>
      </c>
      <c r="E63" s="98">
        <f>Trend!K98</f>
      </c>
    </row>
    <row r="64" spans="1:5" x14ac:dyDescent="0.25">
      <c r="A64" s="351" t="s">
        <v>257</v>
      </c>
      <c r="B64" s="98">
        <f>Trend!O99</f>
      </c>
      <c r="C64" s="98">
        <f>Trend!N99</f>
      </c>
      <c r="D64" s="98">
        <f>Trend!M99</f>
      </c>
      <c r="E64" s="98">
        <f>Trend!K99</f>
      </c>
    </row>
    <row r="65" spans="1:5" x14ac:dyDescent="0.25">
      <c r="A65" s="326" t="s">
        <v>60</v>
      </c>
      <c r="B65" s="87">
        <f>Trend!O100</f>
      </c>
      <c r="C65" s="87">
        <f>Trend!N100</f>
      </c>
      <c r="D65" s="87">
        <f>Trend!M100</f>
      </c>
      <c r="E65" s="87">
        <f>Trend!K100</f>
      </c>
    </row>
    <row r="66" spans="1:5" x14ac:dyDescent="0.25">
      <c r="A66" s="326" t="s">
        <v>639</v>
      </c>
      <c r="B66" s="87">
        <f>Trend!O101</f>
      </c>
      <c r="C66" s="87">
        <f>Trend!N101</f>
      </c>
      <c r="D66" s="87">
        <f>Trend!M101</f>
      </c>
      <c r="E66" s="87">
        <f>Trend!K101</f>
      </c>
    </row>
    <row r="67" spans="1:5" x14ac:dyDescent="0.25">
      <c r="A67" s="351" t="s">
        <v>668</v>
      </c>
      <c r="B67" s="98">
        <f>Trend!O102</f>
      </c>
      <c r="C67" s="98">
        <f>Trend!N102</f>
      </c>
      <c r="D67" s="98">
        <f>Trend!M102</f>
      </c>
      <c r="E67" s="98">
        <f>Trend!K102</f>
      </c>
    </row>
    <row r="68" spans="1:5" x14ac:dyDescent="0.25">
      <c r="A68" s="351" t="s">
        <v>669</v>
      </c>
      <c r="B68" s="87">
        <f>Trend!O103</f>
      </c>
      <c r="C68" s="87">
        <f>Trend!N103</f>
      </c>
      <c r="D68" s="87">
        <f>Trend!M103</f>
      </c>
      <c r="E68" s="87">
        <f>Trend!K103</f>
      </c>
    </row>
    <row r="69" spans="1:5" x14ac:dyDescent="0.25">
      <c r="A69" s="351" t="s">
        <v>670</v>
      </c>
      <c r="B69" s="87">
        <f>Trend!O104</f>
      </c>
      <c r="C69" s="87">
        <f>Trend!N104</f>
      </c>
      <c r="D69" s="87">
        <f>Trend!M104</f>
      </c>
      <c r="E69" s="87">
        <f>Trend!K104</f>
      </c>
    </row>
    <row r="70" spans="1:5" x14ac:dyDescent="0.25">
      <c r="A70" s="351" t="s">
        <v>671</v>
      </c>
      <c r="B70" s="87">
        <f>Trend!O105</f>
      </c>
      <c r="C70" s="87">
        <f>Trend!N105</f>
      </c>
      <c r="D70" s="87">
        <f>Trend!M105</f>
      </c>
      <c r="E70" s="87">
        <f>Trend!K105</f>
      </c>
    </row>
    <row r="71" spans="1:5" x14ac:dyDescent="0.25">
      <c r="A71" s="351" t="s">
        <v>672</v>
      </c>
      <c r="B71" s="98">
        <f>Trend!O106</f>
      </c>
      <c r="C71" s="98">
        <f>Trend!N106</f>
      </c>
      <c r="D71" s="98">
        <f>Trend!M106</f>
      </c>
      <c r="E71" s="98">
        <f>Trend!K106</f>
      </c>
    </row>
    <row r="72" spans="1:5" x14ac:dyDescent="0.25">
      <c r="A72" s="351" t="s">
        <v>673</v>
      </c>
      <c r="B72" s="87">
        <f>Trend!O107</f>
      </c>
      <c r="C72" s="87">
        <f>Trend!N107</f>
      </c>
      <c r="D72" s="87">
        <f>Trend!M107</f>
      </c>
      <c r="E72" s="87">
        <f>Trend!K107</f>
      </c>
    </row>
    <row r="73" spans="1:5" x14ac:dyDescent="0.25">
      <c r="A73" s="351" t="s">
        <v>674</v>
      </c>
      <c r="B73" s="87">
        <f>Trend!O108</f>
      </c>
      <c r="C73" s="87">
        <f>Trend!N108</f>
      </c>
      <c r="D73" s="87">
        <f>Trend!M108</f>
      </c>
      <c r="E73" s="87">
        <f>Trend!K108</f>
      </c>
    </row>
    <row r="74" spans="1:5" x14ac:dyDescent="0.25">
      <c r="A74" s="351" t="s">
        <v>675</v>
      </c>
      <c r="B74" s="87">
        <f>Trend!O109</f>
      </c>
      <c r="C74" s="87">
        <f>Trend!N109</f>
      </c>
      <c r="D74" s="87">
        <f>Trend!M109</f>
      </c>
      <c r="E74" s="87">
        <f>Trend!K109</f>
      </c>
    </row>
    <row r="75" spans="1:5" x14ac:dyDescent="0.25">
      <c r="A75" s="355" t="s">
        <v>694</v>
      </c>
      <c r="B75" s="87">
        <f>Trend!O111</f>
      </c>
      <c r="C75" s="87">
        <f>Trend!N111</f>
      </c>
      <c r="D75" s="87">
        <f>Trend!M111</f>
      </c>
      <c r="E75" s="87">
        <f>Trend!K111</f>
      </c>
    </row>
    <row r="76" spans="1:5" x14ac:dyDescent="0.25">
      <c r="A76" s="326" t="s">
        <v>146</v>
      </c>
      <c r="B76" s="87">
        <f>Trend!O112</f>
      </c>
      <c r="C76" s="87">
        <f>Trend!N112</f>
      </c>
      <c r="D76" s="87">
        <f>Trend!M112</f>
      </c>
      <c r="E76" s="87">
        <f>Trend!K112</f>
      </c>
    </row>
    <row r="77" spans="1:5" x14ac:dyDescent="0.25">
      <c r="A77" s="326" t="s">
        <v>17</v>
      </c>
      <c r="B77" s="87">
        <f>Trend!O113</f>
      </c>
      <c r="C77" s="87">
        <f>Trend!N113</f>
      </c>
      <c r="D77" s="87">
        <f>Trend!M113</f>
      </c>
      <c r="E77" s="87">
        <f>Trend!K113</f>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0"/>
  <sheetViews>
    <sheetView topLeftCell="A91" workbookViewId="0">
      <selection activeCell="A2" sqref="A2:A120"/>
    </sheetView>
  </sheetViews>
  <sheetFormatPr defaultRowHeight="15" x14ac:dyDescent="0.25"/>
  <cols>
    <col min="1" max="1" width="38.5703125" customWidth="1"/>
  </cols>
  <sheetData>
    <row r="1" spans="1:2" x14ac:dyDescent="0.25">
      <c r="A1" s="79" t="s">
        <v>698</v>
      </c>
      <c r="B1" s="79" t="s">
        <v>817</v>
      </c>
    </row>
    <row r="2" spans="1:2" x14ac:dyDescent="0.25">
      <c r="A2" t="s">
        <v>699</v>
      </c>
      <c r="B2" s="87">
        <f>Trend!R17</f>
      </c>
    </row>
    <row r="3" spans="1:2" x14ac:dyDescent="0.25">
      <c r="A3" t="s">
        <v>700</v>
      </c>
      <c r="B3" s="87">
        <f>Trend!Q17</f>
      </c>
    </row>
    <row r="4" spans="1:2" x14ac:dyDescent="0.25">
      <c r="A4" t="s">
        <v>701</v>
      </c>
      <c r="B4" s="87">
        <f>Trend!P17</f>
      </c>
    </row>
    <row r="5" spans="1:2" x14ac:dyDescent="0.25">
      <c r="A5" t="s">
        <v>702</v>
      </c>
      <c r="B5" s="87">
        <f>Trend!R18</f>
      </c>
    </row>
    <row r="6" spans="1:2" x14ac:dyDescent="0.25">
      <c r="A6" t="s">
        <v>703</v>
      </c>
      <c r="B6" s="87">
        <f>Trend!Q18</f>
      </c>
    </row>
    <row r="7" spans="1:2" x14ac:dyDescent="0.25">
      <c r="A7" t="s">
        <v>704</v>
      </c>
      <c r="B7" s="87">
        <f>Trend!P18</f>
      </c>
    </row>
    <row r="8" spans="1:2" x14ac:dyDescent="0.25">
      <c r="A8" t="s">
        <v>705</v>
      </c>
      <c r="B8" s="87">
        <f>Trend!O19</f>
      </c>
    </row>
    <row r="9" spans="1:2" x14ac:dyDescent="0.25">
      <c r="A9" t="s">
        <v>706</v>
      </c>
      <c r="B9" s="87">
        <f>Trend!N19</f>
      </c>
    </row>
    <row r="10" spans="1:2" x14ac:dyDescent="0.25">
      <c r="A10" t="s">
        <v>707</v>
      </c>
      <c r="B10" s="87">
        <f>Trend!M19</f>
      </c>
    </row>
    <row r="11" spans="1:2" x14ac:dyDescent="0.25">
      <c r="A11" t="s">
        <v>708</v>
      </c>
      <c r="B11" s="87">
        <f>Trend!O20</f>
      </c>
    </row>
    <row r="12" spans="1:2" x14ac:dyDescent="0.25">
      <c r="A12" t="s">
        <v>709</v>
      </c>
      <c r="B12" s="87">
        <f>Trend!N20</f>
      </c>
    </row>
    <row r="13" spans="1:2" x14ac:dyDescent="0.25">
      <c r="A13" t="s">
        <v>710</v>
      </c>
      <c r="B13" s="87">
        <f>Trend!M20</f>
      </c>
    </row>
    <row r="14" spans="1:2" x14ac:dyDescent="0.25">
      <c r="A14" t="s">
        <v>711</v>
      </c>
      <c r="B14" s="87">
        <f>Trend!O36</f>
      </c>
    </row>
    <row r="15" spans="1:2" x14ac:dyDescent="0.25">
      <c r="A15" t="s">
        <v>712</v>
      </c>
      <c r="B15" s="87">
        <f>Trend!N36</f>
      </c>
    </row>
    <row r="16" spans="1:2" x14ac:dyDescent="0.25">
      <c r="A16" t="s">
        <v>713</v>
      </c>
      <c r="B16" s="87">
        <f>Trend!M36</f>
      </c>
    </row>
    <row r="17" spans="1:2" x14ac:dyDescent="0.25">
      <c r="A17" t="s">
        <v>714</v>
      </c>
      <c r="B17" s="87">
        <f>Trend!O37</f>
      </c>
    </row>
    <row r="18" spans="1:2" x14ac:dyDescent="0.25">
      <c r="A18" t="s">
        <v>715</v>
      </c>
      <c r="B18" s="87">
        <f>Trend!N37</f>
      </c>
    </row>
    <row r="19" spans="1:2" x14ac:dyDescent="0.25">
      <c r="A19" t="s">
        <v>716</v>
      </c>
      <c r="B19" s="87">
        <f>Trend!M37</f>
      </c>
    </row>
    <row r="20" spans="1:2" x14ac:dyDescent="0.25">
      <c r="A20" t="s">
        <v>717</v>
      </c>
      <c r="B20" s="87">
        <f>Trend!O38</f>
      </c>
    </row>
    <row r="21" spans="1:2" x14ac:dyDescent="0.25">
      <c r="A21" t="s">
        <v>718</v>
      </c>
      <c r="B21" s="87">
        <f>Trend!N38</f>
      </c>
    </row>
    <row r="22" spans="1:2" x14ac:dyDescent="0.25">
      <c r="A22" t="s">
        <v>719</v>
      </c>
      <c r="B22" s="87">
        <f>Trend!M38</f>
      </c>
    </row>
    <row r="23" spans="1:2" x14ac:dyDescent="0.25">
      <c r="A23" t="s">
        <v>720</v>
      </c>
      <c r="B23" s="87">
        <f>Trend!O39</f>
      </c>
    </row>
    <row r="24" spans="1:2" x14ac:dyDescent="0.25">
      <c r="A24" t="s">
        <v>721</v>
      </c>
      <c r="B24" s="87">
        <f>Trend!N39</f>
      </c>
    </row>
    <row r="25" spans="1:2" x14ac:dyDescent="0.25">
      <c r="A25" t="s">
        <v>722</v>
      </c>
      <c r="B25" s="87">
        <f>Trend!M39</f>
      </c>
    </row>
    <row r="26" spans="1:2" x14ac:dyDescent="0.25">
      <c r="A26" t="s">
        <v>723</v>
      </c>
      <c r="B26" s="87">
        <f>Trend!O44</f>
      </c>
    </row>
    <row r="27" spans="1:2" x14ac:dyDescent="0.25">
      <c r="A27" t="s">
        <v>724</v>
      </c>
      <c r="B27" s="87">
        <f>Trend!N44</f>
      </c>
    </row>
    <row r="28" spans="1:2" x14ac:dyDescent="0.25">
      <c r="A28" t="s">
        <v>725</v>
      </c>
      <c r="B28" s="87">
        <f>Trend!M44</f>
      </c>
    </row>
    <row r="29" spans="1:2" x14ac:dyDescent="0.25">
      <c r="A29" t="s">
        <v>726</v>
      </c>
      <c r="B29" s="87">
        <f>Trend!O45</f>
      </c>
    </row>
    <row r="30" spans="1:2" x14ac:dyDescent="0.25">
      <c r="A30" t="s">
        <v>727</v>
      </c>
      <c r="B30" s="87">
        <f>Trend!N45</f>
      </c>
    </row>
    <row r="31" spans="1:2" x14ac:dyDescent="0.25">
      <c r="A31" t="s">
        <v>728</v>
      </c>
      <c r="B31" s="87">
        <f>Trend!M45</f>
      </c>
    </row>
    <row r="32" spans="1:2" x14ac:dyDescent="0.25">
      <c r="A32" t="s">
        <v>729</v>
      </c>
      <c r="B32" s="87">
        <f>Trend!O48</f>
      </c>
    </row>
    <row r="33" spans="1:2" x14ac:dyDescent="0.25">
      <c r="A33" t="s">
        <v>730</v>
      </c>
      <c r="B33" s="87">
        <f>Trend!N48</f>
      </c>
    </row>
    <row r="34" spans="1:2" x14ac:dyDescent="0.25">
      <c r="A34" t="s">
        <v>731</v>
      </c>
      <c r="B34" s="87">
        <f>Trend!M48</f>
      </c>
    </row>
    <row r="35" spans="1:2" x14ac:dyDescent="0.25">
      <c r="A35" t="s">
        <v>732</v>
      </c>
      <c r="B35" s="87">
        <f>Trend!O55</f>
      </c>
    </row>
    <row r="36" spans="1:2" x14ac:dyDescent="0.25">
      <c r="A36" t="s">
        <v>733</v>
      </c>
      <c r="B36" s="87">
        <f>Trend!N55</f>
      </c>
    </row>
    <row r="37" spans="1:2" x14ac:dyDescent="0.25">
      <c r="A37" t="s">
        <v>734</v>
      </c>
      <c r="B37" s="87">
        <f>Trend!M55</f>
      </c>
    </row>
    <row r="38" spans="1:2" x14ac:dyDescent="0.25">
      <c r="A38" t="s">
        <v>735</v>
      </c>
      <c r="B38" s="98">
        <f>Trend!O58</f>
      </c>
    </row>
    <row r="39" spans="1:2" x14ac:dyDescent="0.25">
      <c r="A39" t="s">
        <v>736</v>
      </c>
      <c r="B39" s="98">
        <f>Trend!N58</f>
      </c>
    </row>
    <row r="40" spans="1:2" x14ac:dyDescent="0.25">
      <c r="A40" t="s">
        <v>736</v>
      </c>
      <c r="B40" s="98">
        <f>Trend!M58</f>
      </c>
    </row>
    <row r="41" spans="1:2" x14ac:dyDescent="0.25">
      <c r="A41" t="s">
        <v>738</v>
      </c>
      <c r="B41" s="98">
        <f>Trend!O59</f>
      </c>
    </row>
    <row r="42" spans="1:2" x14ac:dyDescent="0.25">
      <c r="A42" t="s">
        <v>739</v>
      </c>
      <c r="B42" s="98">
        <f>Trend!N59</f>
      </c>
    </row>
    <row r="43" spans="1:2" x14ac:dyDescent="0.25">
      <c r="A43" t="s">
        <v>737</v>
      </c>
      <c r="B43" s="98">
        <f>Trend!M59</f>
      </c>
    </row>
    <row r="44" spans="1:2" x14ac:dyDescent="0.25">
      <c r="A44" t="s">
        <v>741</v>
      </c>
      <c r="B44" s="87">
        <f>Trend!O68</f>
      </c>
    </row>
    <row r="45" spans="1:2" x14ac:dyDescent="0.25">
      <c r="A45" t="s">
        <v>742</v>
      </c>
      <c r="B45" s="87">
        <f>Trend!N68</f>
      </c>
    </row>
    <row r="46" spans="1:2" x14ac:dyDescent="0.25">
      <c r="A46" t="s">
        <v>740</v>
      </c>
      <c r="B46" s="87">
        <f>Trend!M68</f>
      </c>
    </row>
    <row r="47" spans="1:2" x14ac:dyDescent="0.25">
      <c r="A47" t="s">
        <v>743</v>
      </c>
      <c r="B47" s="87">
        <f>Trend!O69</f>
      </c>
    </row>
    <row r="48" spans="1:2" x14ac:dyDescent="0.25">
      <c r="A48" t="s">
        <v>744</v>
      </c>
      <c r="B48" s="87">
        <f>Trend!N69</f>
      </c>
    </row>
    <row r="49" spans="1:2" x14ac:dyDescent="0.25">
      <c r="A49" t="s">
        <v>745</v>
      </c>
      <c r="B49" s="87">
        <f>Trend!M69</f>
      </c>
    </row>
    <row r="50" spans="1:2" x14ac:dyDescent="0.25">
      <c r="A50" t="s">
        <v>746</v>
      </c>
      <c r="B50" s="87">
        <f>Trend!O72</f>
      </c>
    </row>
    <row r="51" spans="1:2" x14ac:dyDescent="0.25">
      <c r="A51" t="s">
        <v>747</v>
      </c>
      <c r="B51" s="87">
        <f>Trend!N72</f>
      </c>
    </row>
    <row r="52" spans="1:2" x14ac:dyDescent="0.25">
      <c r="A52" t="s">
        <v>748</v>
      </c>
      <c r="B52" s="87">
        <f>Trend!M72</f>
      </c>
    </row>
    <row r="53" spans="1:2" x14ac:dyDescent="0.25">
      <c r="A53" t="s">
        <v>749</v>
      </c>
      <c r="B53" s="267">
        <f>Trend!O73</f>
      </c>
    </row>
    <row r="54" spans="1:2" x14ac:dyDescent="0.25">
      <c r="A54" t="s">
        <v>750</v>
      </c>
      <c r="B54" s="267">
        <f>Trend!N73</f>
      </c>
    </row>
    <row r="55" spans="1:2" x14ac:dyDescent="0.25">
      <c r="A55" t="s">
        <v>751</v>
      </c>
      <c r="B55" s="267">
        <f>Trend!M73</f>
      </c>
    </row>
    <row r="56" spans="1:2" x14ac:dyDescent="0.25">
      <c r="A56" t="s">
        <v>752</v>
      </c>
      <c r="B56" s="98">
        <f>Trend!O74</f>
      </c>
    </row>
    <row r="57" spans="1:2" x14ac:dyDescent="0.25">
      <c r="A57" t="s">
        <v>753</v>
      </c>
      <c r="B57" s="98">
        <f>Trend!N74</f>
      </c>
    </row>
    <row r="58" spans="1:2" x14ac:dyDescent="0.25">
      <c r="A58" t="s">
        <v>754</v>
      </c>
      <c r="B58" s="98">
        <f>Trend!M74</f>
      </c>
    </row>
    <row r="59" spans="1:2" x14ac:dyDescent="0.25">
      <c r="A59" t="s">
        <v>755</v>
      </c>
      <c r="B59" s="267">
        <f>Trend!O75</f>
      </c>
    </row>
    <row r="60" spans="1:2" x14ac:dyDescent="0.25">
      <c r="A60" t="s">
        <v>756</v>
      </c>
      <c r="B60" s="267">
        <f>Trend!N75</f>
      </c>
    </row>
    <row r="61" spans="1:2" x14ac:dyDescent="0.25">
      <c r="A61" t="s">
        <v>757</v>
      </c>
      <c r="B61" s="267">
        <f>Trend!M75</f>
      </c>
    </row>
    <row r="62" spans="1:2" x14ac:dyDescent="0.25">
      <c r="A62" t="s">
        <v>758</v>
      </c>
      <c r="B62" s="98">
        <f>Trend!O76</f>
      </c>
    </row>
    <row r="63" spans="1:2" x14ac:dyDescent="0.25">
      <c r="A63" t="s">
        <v>759</v>
      </c>
      <c r="B63" s="98">
        <f>Trend!N76</f>
      </c>
    </row>
    <row r="64" spans="1:2" x14ac:dyDescent="0.25">
      <c r="A64" t="s">
        <v>760</v>
      </c>
      <c r="B64" s="98">
        <f>Trend!M76</f>
      </c>
    </row>
    <row r="65" spans="1:2" x14ac:dyDescent="0.25">
      <c r="A65" t="s">
        <v>761</v>
      </c>
      <c r="B65" s="87">
        <f>Trend!O79</f>
      </c>
    </row>
    <row r="66" spans="1:2" x14ac:dyDescent="0.25">
      <c r="A66" t="s">
        <v>762</v>
      </c>
      <c r="B66" s="87">
        <f>Trend!N79</f>
      </c>
    </row>
    <row r="67" spans="1:2" x14ac:dyDescent="0.25">
      <c r="A67" t="s">
        <v>763</v>
      </c>
      <c r="B67" s="87">
        <f>Trend!M79</f>
      </c>
    </row>
    <row r="68" spans="1:2" x14ac:dyDescent="0.25">
      <c r="A68" t="s">
        <v>764</v>
      </c>
      <c r="B68" s="87">
        <f>Trend!O80</f>
      </c>
    </row>
    <row r="69" spans="1:2" x14ac:dyDescent="0.25">
      <c r="A69" t="s">
        <v>765</v>
      </c>
      <c r="B69" s="87">
        <f>Trend!N80</f>
      </c>
    </row>
    <row r="70" spans="1:2" x14ac:dyDescent="0.25">
      <c r="A70" t="s">
        <v>766</v>
      </c>
      <c r="B70" s="87">
        <f>Trend!M80</f>
      </c>
    </row>
    <row r="71" spans="1:2" x14ac:dyDescent="0.25">
      <c r="A71" t="s">
        <v>767</v>
      </c>
      <c r="B71" s="98">
        <f>Trend!O81</f>
      </c>
    </row>
    <row r="72" spans="1:2" x14ac:dyDescent="0.25">
      <c r="A72" t="s">
        <v>768</v>
      </c>
      <c r="B72" s="98">
        <f>Trend!N81</f>
      </c>
    </row>
    <row r="73" spans="1:2" x14ac:dyDescent="0.25">
      <c r="A73" t="s">
        <v>769</v>
      </c>
      <c r="B73" s="98">
        <f>Trend!M81</f>
      </c>
    </row>
    <row r="74" spans="1:2" x14ac:dyDescent="0.25">
      <c r="A74" t="s">
        <v>770</v>
      </c>
      <c r="B74" s="98">
        <f>Trend!O90</f>
      </c>
    </row>
    <row r="75" spans="1:2" x14ac:dyDescent="0.25">
      <c r="A75" t="s">
        <v>771</v>
      </c>
      <c r="B75" s="98">
        <f>Trend!N90</f>
      </c>
    </row>
    <row r="76" spans="1:2" x14ac:dyDescent="0.25">
      <c r="A76" t="s">
        <v>772</v>
      </c>
      <c r="B76" s="98">
        <f>Trend!M90</f>
      </c>
    </row>
    <row r="77" spans="1:2" x14ac:dyDescent="0.25">
      <c r="A77" t="s">
        <v>773</v>
      </c>
      <c r="B77" s="87">
        <f>Trend!O91</f>
      </c>
    </row>
    <row r="78" spans="1:2" x14ac:dyDescent="0.25">
      <c r="A78" t="s">
        <v>774</v>
      </c>
      <c r="B78" s="87">
        <f>Trend!N91</f>
      </c>
    </row>
    <row r="79" spans="1:2" x14ac:dyDescent="0.25">
      <c r="A79" t="s">
        <v>775</v>
      </c>
      <c r="B79" s="87">
        <f>Trend!M91</f>
      </c>
    </row>
    <row r="80" spans="1:2" x14ac:dyDescent="0.25">
      <c r="A80" t="s">
        <v>776</v>
      </c>
      <c r="B80" s="98">
        <f>Trend!O94</f>
      </c>
    </row>
    <row r="81" spans="1:2" x14ac:dyDescent="0.25">
      <c r="A81" t="s">
        <v>777</v>
      </c>
      <c r="B81" s="98">
        <f>Trend!N94</f>
      </c>
    </row>
    <row r="82" spans="1:2" x14ac:dyDescent="0.25">
      <c r="A82" t="s">
        <v>778</v>
      </c>
      <c r="B82" s="98">
        <f>Trend!M94</f>
      </c>
    </row>
    <row r="83" spans="1:2" x14ac:dyDescent="0.25">
      <c r="A83" t="s">
        <v>779</v>
      </c>
      <c r="B83" s="87">
        <f>Trend!O100</f>
      </c>
    </row>
    <row r="84" spans="1:2" x14ac:dyDescent="0.25">
      <c r="A84" t="s">
        <v>780</v>
      </c>
      <c r="B84" s="87">
        <f>Trend!N100</f>
      </c>
    </row>
    <row r="85" spans="1:2" x14ac:dyDescent="0.25">
      <c r="A85" t="s">
        <v>781</v>
      </c>
      <c r="B85" s="87">
        <f>Trend!M100</f>
      </c>
    </row>
    <row r="86" spans="1:2" x14ac:dyDescent="0.25">
      <c r="A86" t="s">
        <v>782</v>
      </c>
      <c r="B86" s="87">
        <f>Trend!O101</f>
      </c>
    </row>
    <row r="87" spans="1:2" x14ac:dyDescent="0.25">
      <c r="A87" t="s">
        <v>783</v>
      </c>
      <c r="B87" s="87">
        <f>Trend!N101</f>
      </c>
    </row>
    <row r="88" spans="1:2" x14ac:dyDescent="0.25">
      <c r="A88" t="s">
        <v>784</v>
      </c>
      <c r="B88" s="87">
        <f>Trend!M101</f>
      </c>
    </row>
    <row r="89" spans="1:2" x14ac:dyDescent="0.25">
      <c r="A89" t="s">
        <v>785</v>
      </c>
      <c r="B89" s="87">
        <f>Trend!O111</f>
      </c>
    </row>
    <row r="90" spans="1:2" x14ac:dyDescent="0.25">
      <c r="A90" t="s">
        <v>786</v>
      </c>
      <c r="B90" s="87">
        <f>Trend!N111</f>
      </c>
    </row>
    <row r="91" spans="1:2" x14ac:dyDescent="0.25">
      <c r="A91" t="s">
        <v>787</v>
      </c>
      <c r="B91" s="87">
        <f>Trend!M111</f>
      </c>
    </row>
    <row r="92" spans="1:2" x14ac:dyDescent="0.25">
      <c r="A92" t="s">
        <v>788</v>
      </c>
      <c r="B92" s="98">
        <f>Trend!O102</f>
      </c>
    </row>
    <row r="93" spans="1:2" x14ac:dyDescent="0.25">
      <c r="A93" t="s">
        <v>789</v>
      </c>
      <c r="B93" s="98">
        <f>Trend!N102</f>
      </c>
    </row>
    <row r="94" spans="1:2" x14ac:dyDescent="0.25">
      <c r="A94" t="s">
        <v>790</v>
      </c>
      <c r="B94" s="98">
        <f>Trend!M102</f>
      </c>
    </row>
    <row r="95" spans="1:2" x14ac:dyDescent="0.25">
      <c r="A95" t="s">
        <v>791</v>
      </c>
      <c r="B95" s="87">
        <f>Trend!O103</f>
      </c>
    </row>
    <row r="96" spans="1:2" x14ac:dyDescent="0.25">
      <c r="A96" t="s">
        <v>792</v>
      </c>
      <c r="B96" s="87">
        <f>Trend!N103</f>
      </c>
    </row>
    <row r="97" spans="1:2" x14ac:dyDescent="0.25">
      <c r="A97" t="s">
        <v>793</v>
      </c>
      <c r="B97" s="87">
        <f>Trend!M103</f>
      </c>
    </row>
    <row r="98" spans="1:2" x14ac:dyDescent="0.25">
      <c r="A98" t="s">
        <v>794</v>
      </c>
      <c r="B98" s="87">
        <f>Trend!O104</f>
      </c>
    </row>
    <row r="99" spans="1:2" x14ac:dyDescent="0.25">
      <c r="A99" t="s">
        <v>795</v>
      </c>
      <c r="B99" s="87">
        <f>Trend!N104</f>
      </c>
    </row>
    <row r="100" spans="1:2" x14ac:dyDescent="0.25">
      <c r="A100" t="s">
        <v>796</v>
      </c>
      <c r="B100" s="87">
        <f>Trend!M104</f>
      </c>
    </row>
    <row r="101" spans="1:2" x14ac:dyDescent="0.25">
      <c r="A101" t="s">
        <v>797</v>
      </c>
      <c r="B101" s="87">
        <f>Trend!O105</f>
      </c>
    </row>
    <row r="102" spans="1:2" x14ac:dyDescent="0.25">
      <c r="A102" t="s">
        <v>798</v>
      </c>
      <c r="B102" s="87">
        <f>Trend!N105</f>
      </c>
    </row>
    <row r="103" spans="1:2" x14ac:dyDescent="0.25">
      <c r="A103" t="s">
        <v>799</v>
      </c>
      <c r="B103" s="87">
        <f>Trend!M105</f>
      </c>
    </row>
    <row r="104" spans="1:2" x14ac:dyDescent="0.25">
      <c r="A104" t="s">
        <v>800</v>
      </c>
      <c r="B104" s="98">
        <f>Trend!O106</f>
      </c>
    </row>
    <row r="105" spans="1:2" x14ac:dyDescent="0.25">
      <c r="A105" t="s">
        <v>801</v>
      </c>
      <c r="B105" s="98">
        <f>Trend!N106</f>
      </c>
    </row>
    <row r="106" spans="1:2" x14ac:dyDescent="0.25">
      <c r="A106" t="s">
        <v>802</v>
      </c>
      <c r="B106" s="98">
        <f>Trend!M106</f>
      </c>
    </row>
    <row r="107" spans="1:2" x14ac:dyDescent="0.25">
      <c r="A107" t="s">
        <v>803</v>
      </c>
      <c r="B107" s="87">
        <f>Trend!O107</f>
      </c>
    </row>
    <row r="108" spans="1:2" x14ac:dyDescent="0.25">
      <c r="A108" t="s">
        <v>804</v>
      </c>
      <c r="B108" s="87">
        <f>Trend!N107</f>
      </c>
    </row>
    <row r="109" spans="1:2" x14ac:dyDescent="0.25">
      <c r="A109" t="s">
        <v>805</v>
      </c>
      <c r="B109" s="87">
        <f>Trend!M107</f>
      </c>
    </row>
    <row r="110" spans="1:2" x14ac:dyDescent="0.25">
      <c r="A110" t="s">
        <v>806</v>
      </c>
      <c r="B110" s="87">
        <f>Trend!O108</f>
      </c>
    </row>
    <row r="111" spans="1:2" x14ac:dyDescent="0.25">
      <c r="A111" t="s">
        <v>807</v>
      </c>
      <c r="B111" s="87">
        <f>Trend!N108</f>
      </c>
    </row>
    <row r="112" spans="1:2" x14ac:dyDescent="0.25">
      <c r="A112" t="s">
        <v>808</v>
      </c>
      <c r="B112" s="87">
        <f>Trend!M108</f>
      </c>
    </row>
    <row r="113" spans="1:2" x14ac:dyDescent="0.25">
      <c r="A113" t="s">
        <v>809</v>
      </c>
      <c r="B113" s="87">
        <f>Trend!O109</f>
      </c>
    </row>
    <row r="114" spans="1:2" x14ac:dyDescent="0.25">
      <c r="A114" t="s">
        <v>810</v>
      </c>
      <c r="B114" s="87">
        <f>Trend!N109</f>
      </c>
    </row>
    <row r="115" spans="1:2" x14ac:dyDescent="0.25">
      <c r="A115" t="s">
        <v>811</v>
      </c>
      <c r="B115" s="87">
        <f>Trend!M109</f>
      </c>
    </row>
    <row r="116" spans="1:2" x14ac:dyDescent="0.25">
      <c r="A116" t="s">
        <v>812</v>
      </c>
      <c r="B116" s="87">
        <f>Trend!N112</f>
      </c>
    </row>
    <row r="117" spans="1:2" x14ac:dyDescent="0.25">
      <c r="A117" t="s">
        <v>813</v>
      </c>
      <c r="B117" s="87">
        <f>Trend!M112</f>
      </c>
    </row>
    <row r="118" spans="1:2" x14ac:dyDescent="0.25">
      <c r="A118" t="s">
        <v>814</v>
      </c>
      <c r="B118" s="87">
        <f>Trend!O113</f>
      </c>
    </row>
    <row r="119" spans="1:2" x14ac:dyDescent="0.25">
      <c r="A119" t="s">
        <v>815</v>
      </c>
      <c r="B119" s="87">
        <f>Trend!N113</f>
      </c>
    </row>
    <row r="120" spans="1:2" x14ac:dyDescent="0.25">
      <c r="A120" t="s">
        <v>816</v>
      </c>
      <c r="B120" s="87">
        <f>Trend!M113</f>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08"/>
  <sheetViews>
    <sheetView zoomScaleNormal="100" workbookViewId="0">
      <selection activeCell="D6" sqref="D6"/>
    </sheetView>
  </sheetViews>
  <sheetFormatPr defaultColWidth="14.42578125" defaultRowHeight="12" x14ac:dyDescent="0.2"/>
  <cols>
    <col min="1" max="1" width="17.28515625" style="121" customWidth="1"/>
    <col min="2" max="2" width="16.28515625" style="121" customWidth="1"/>
    <col min="3" max="4" width="14.42578125" style="121"/>
    <col min="5" max="5" width="12.28515625" style="121" customWidth="1"/>
    <col min="6" max="6" width="14.7109375" style="121" customWidth="1"/>
    <col min="7" max="7" width="14.42578125" style="121"/>
    <col min="8" max="8" width="11.140625" style="121" customWidth="1"/>
    <col min="9" max="9" width="10.7109375" style="121" customWidth="1"/>
    <col min="10" max="10" width="14.42578125" style="121"/>
    <col min="11" max="11" width="11.85546875" style="121" customWidth="1"/>
    <col min="12" max="12" width="14.42578125" style="121"/>
    <col min="13" max="13" width="13.28515625" style="121" customWidth="1"/>
    <col min="14" max="14" width="15.28515625" style="121" customWidth="1"/>
    <col min="15" max="16384" width="14.42578125" style="121"/>
  </cols>
  <sheetData>
    <row r="1" spans="1:35" ht="14.25" customHeight="1" x14ac:dyDescent="0.2">
      <c r="A1" s="370" t="s">
        <v>362</v>
      </c>
      <c r="B1" s="370"/>
      <c r="C1" s="370"/>
      <c r="D1" s="370"/>
      <c r="E1" s="370"/>
      <c r="F1" s="370"/>
      <c r="G1" s="370"/>
      <c r="H1" s="370"/>
      <c r="I1" s="370"/>
      <c r="J1" s="370"/>
      <c r="K1" s="370" t="s">
        <v>363</v>
      </c>
      <c r="L1" s="370"/>
      <c r="M1" s="370"/>
      <c r="N1" s="370"/>
      <c r="O1" s="370"/>
      <c r="P1" s="370"/>
      <c r="Q1" s="370"/>
      <c r="R1" s="370"/>
      <c r="S1" s="370"/>
      <c r="T1" s="370"/>
      <c r="U1" s="370"/>
      <c r="V1" s="370"/>
      <c r="W1" s="370"/>
      <c r="X1" s="370"/>
      <c r="Y1" s="370"/>
      <c r="Z1" s="370"/>
      <c r="AA1" s="370"/>
      <c r="AB1" s="370"/>
      <c r="AC1" s="370"/>
      <c r="AD1" s="370"/>
      <c r="AE1" s="370"/>
      <c r="AF1" s="370"/>
      <c r="AG1" s="370"/>
      <c r="AH1" s="370"/>
      <c r="AI1" s="370"/>
    </row>
    <row r="2" spans="1:35" ht="15.75" customHeight="1" x14ac:dyDescent="0.2">
      <c r="A2" s="122"/>
      <c r="B2" s="123" t="s">
        <v>139</v>
      </c>
      <c r="C2" s="123" t="s">
        <v>364</v>
      </c>
      <c r="D2" s="123" t="s">
        <v>145</v>
      </c>
      <c r="E2" s="123" t="s">
        <v>365</v>
      </c>
      <c r="F2" s="123" t="s">
        <v>366</v>
      </c>
      <c r="G2" s="123" t="s">
        <v>147</v>
      </c>
      <c r="H2" s="123" t="s">
        <v>240</v>
      </c>
      <c r="I2" s="123" t="s">
        <v>140</v>
      </c>
      <c r="J2" s="123" t="s">
        <v>367</v>
      </c>
      <c r="K2" s="123" t="s">
        <v>368</v>
      </c>
      <c r="L2" s="123" t="s">
        <v>112</v>
      </c>
      <c r="M2" s="123" t="s">
        <v>114</v>
      </c>
      <c r="N2" s="123" t="s">
        <v>116</v>
      </c>
      <c r="O2" s="123" t="s">
        <v>369</v>
      </c>
      <c r="P2" s="123" t="s">
        <v>370</v>
      </c>
      <c r="Q2" s="123" t="s">
        <v>371</v>
      </c>
      <c r="R2" s="123" t="s">
        <v>372</v>
      </c>
      <c r="S2" s="123" t="s">
        <v>373</v>
      </c>
      <c r="T2" s="123" t="s">
        <v>374</v>
      </c>
      <c r="U2" s="123" t="s">
        <v>375</v>
      </c>
      <c r="V2" s="123" t="s">
        <v>376</v>
      </c>
      <c r="W2" s="123" t="s">
        <v>377</v>
      </c>
      <c r="X2" s="123" t="s">
        <v>378</v>
      </c>
      <c r="Y2" s="123" t="s">
        <v>379</v>
      </c>
      <c r="Z2" s="123" t="s">
        <v>380</v>
      </c>
      <c r="AA2" s="123" t="s">
        <v>381</v>
      </c>
      <c r="AB2" s="123" t="s">
        <v>382</v>
      </c>
      <c r="AC2" s="123" t="s">
        <v>383</v>
      </c>
      <c r="AD2" s="123" t="s">
        <v>384</v>
      </c>
      <c r="AE2" s="123" t="s">
        <v>385</v>
      </c>
      <c r="AF2" s="123" t="s">
        <v>386</v>
      </c>
      <c r="AG2" s="123" t="s">
        <v>387</v>
      </c>
      <c r="AH2" s="123" t="s">
        <v>388</v>
      </c>
      <c r="AI2" s="123" t="s">
        <v>389</v>
      </c>
    </row>
    <row r="3" spans="1:35" ht="12.75" customHeight="1" x14ac:dyDescent="0.2">
      <c r="A3" s="124" t="s">
        <v>390</v>
      </c>
      <c r="B3" s="125">
        <f>MIN(Other_input_data!G69:L69)</f>
      </c>
      <c r="C3" s="125">
        <f>MIN(Other_input_data!F71:K71)</f>
      </c>
      <c r="D3" s="125">
        <f>MIN(Other_input_data!F75:K75)</f>
      </c>
      <c r="E3" s="125">
        <f>MIN(Other_input_data!F74:K74)</f>
      </c>
      <c r="F3" s="126">
        <f>MIN(Other_input_data!F76:K76)</f>
      </c>
      <c r="G3" s="127">
        <f>MIN(Other_input_data!F77:K77)</f>
      </c>
      <c r="H3" s="126">
        <f>MIN('Financial Analysis'!F61:K61)</f>
      </c>
      <c r="I3" s="128">
        <f>MIN('Financial Analysis'!F126:K126)</f>
      </c>
      <c r="J3" s="129">
        <f>1/B4</f>
      </c>
      <c r="K3" s="129">
        <f>MIN('Financial Analysis'!F27:K27)</f>
      </c>
      <c r="L3" s="129">
        <f>MIN(F60:K60)</f>
      </c>
      <c r="M3" s="129"/>
      <c r="N3" s="129">
        <f>MIN('Financial Analysis'!F31:K31)</f>
      </c>
      <c r="O3" s="129">
        <f>MIN('Financial Analysis'!F32:K32)</f>
      </c>
      <c r="P3" s="130">
        <f>MIN('Financial Analysis'!F110:K110)</f>
      </c>
      <c r="Q3" s="130">
        <f>MIN(Analysis2!F47:K47)</f>
      </c>
      <c r="R3" s="130">
        <f>MIN(F54:K54)</f>
      </c>
      <c r="S3" s="131">
        <f>MIN(F49:K49)</f>
      </c>
      <c r="T3" s="130">
        <f>MIN(F51:K51)</f>
      </c>
      <c r="U3" s="130"/>
      <c r="V3" s="130"/>
      <c r="W3" s="130"/>
      <c r="X3" s="306">
        <f>MIN('Financial Analysis'!B34:K34)</f>
      </c>
      <c r="Y3" s="131">
        <f>MIN('Financial Analysis'!F33:K33)</f>
      </c>
      <c r="Z3" s="130">
        <f>MIN('Financial Analysis'!F74:K74)</f>
      </c>
      <c r="AA3" s="131">
        <f>MIN('Financial Analysis'!F68:K68)</f>
      </c>
      <c r="AB3" s="130">
        <f>MIN('Financial Analysis'!F75:K75)</f>
      </c>
      <c r="AC3" s="131">
        <f>MIN('Financial Analysis'!F72:K72)</f>
      </c>
      <c r="AD3" s="131">
        <f>MIN('Financial Analysis'!F70:K70)</f>
      </c>
      <c r="AE3" s="129"/>
      <c r="AF3" s="129"/>
      <c r="AG3" s="129"/>
      <c r="AH3" s="129"/>
      <c r="AI3" s="129"/>
    </row>
    <row r="4" spans="1:35" ht="12.75" customHeight="1" x14ac:dyDescent="0.2">
      <c r="A4" s="124" t="s">
        <v>391</v>
      </c>
      <c r="B4" s="125">
        <f>MAX(Other_input_data!G69:L69)</f>
      </c>
      <c r="C4" s="125">
        <f>MAX(Other_input_data!F71:K71)</f>
      </c>
      <c r="D4" s="125">
        <f>MAX(Other_input_data!F75:K75)</f>
      </c>
      <c r="E4" s="125">
        <f>MAX(Other_input_data!F74:K74)</f>
      </c>
      <c r="F4" s="126">
        <f>MAX(Other_input_data!F76:K76)</f>
      </c>
      <c r="G4" s="127">
        <f>MAX(Other_input_data!F77:K77)</f>
      </c>
      <c r="H4" s="126">
        <f>MAX('Financial Analysis'!F61:K61)</f>
      </c>
      <c r="I4" s="125">
        <f>MAX('Financial Analysis'!F126:K126)</f>
      </c>
      <c r="J4" s="126">
        <f>1/B3</f>
      </c>
      <c r="K4" s="126">
        <f>MAX('Financial Analysis'!F27:K27)</f>
      </c>
      <c r="L4" s="126">
        <f>MAX(F60:K60)</f>
      </c>
      <c r="M4" s="126"/>
      <c r="N4" s="126">
        <f>MAX('Financial Analysis'!F31:K31)</f>
      </c>
      <c r="O4" s="126">
        <f>MAX('Financial Analysis'!F32:K32)</f>
      </c>
      <c r="P4" s="132">
        <f>MAX('Financial Analysis'!F110:K110)</f>
      </c>
      <c r="Q4" s="132">
        <f>MAX(Analysis2!F47:K47)</f>
      </c>
      <c r="R4" s="132">
        <f>MAX(F54:K54)</f>
      </c>
      <c r="S4" s="133">
        <f>MAX(F49:K49)</f>
      </c>
      <c r="T4" s="132">
        <f>MAX(F51:K51)</f>
      </c>
      <c r="U4" s="132"/>
      <c r="V4" s="132"/>
      <c r="W4" s="132"/>
      <c r="X4" s="307">
        <f>MAX('Financial Analysis'!B34:K34)</f>
      </c>
      <c r="Y4" s="133">
        <f>MAX('Financial Analysis'!F33:K33)</f>
      </c>
      <c r="Z4" s="132">
        <f>MAX('Financial Analysis'!F74:K74)</f>
      </c>
      <c r="AA4" s="133">
        <f>MAX('Financial Analysis'!F68:K68)</f>
      </c>
      <c r="AB4" s="132">
        <f>MAX('Financial Analysis'!F75:K75)</f>
      </c>
      <c r="AC4" s="133">
        <f>MAX('Financial Analysis'!F72:K72)</f>
      </c>
      <c r="AD4" s="133">
        <f>MAX('Financial Analysis'!F70:K70)</f>
      </c>
      <c r="AE4" s="126"/>
      <c r="AF4" s="126"/>
      <c r="AG4" s="126"/>
      <c r="AH4" s="126"/>
      <c r="AI4" s="126"/>
    </row>
    <row r="5" spans="1:35" ht="12.75" customHeight="1" x14ac:dyDescent="0.2">
      <c r="A5" s="134" t="s">
        <v>392</v>
      </c>
      <c r="B5" s="135">
        <f>AVERAGE(Other_input_data!F69:K69)</f>
      </c>
      <c r="C5" s="135">
        <f>AVERAGE(Other_input_data!F71:K71)</f>
      </c>
      <c r="D5" s="135">
        <f>AVERAGE(Other_input_data!F75:K75)</f>
      </c>
      <c r="E5" s="135">
        <f>AVERAGE(Other_input_data!F74:K74)</f>
      </c>
      <c r="F5" s="136">
        <f>AVERAGE(Other_input_data!F76:K76)</f>
      </c>
      <c r="G5" s="137"/>
      <c r="H5" s="136">
        <f>AVERAGE('Financial Analysis'!F61:K61)</f>
      </c>
      <c r="I5" s="135"/>
      <c r="J5" s="136">
        <f>1/B5</f>
      </c>
      <c r="K5" s="136">
        <f>AVERAGE('Financial Analysis'!F27:K27)</f>
      </c>
      <c r="L5" s="136">
        <f>AVERAGE(F60:K60)</f>
      </c>
      <c r="M5" s="136"/>
      <c r="N5" s="136">
        <f>AVERAGE('Financial Analysis'!F31:K31)</f>
      </c>
      <c r="O5" s="136">
        <f>AVERAGE('Financial Analysis'!F32:K32)</f>
      </c>
      <c r="P5" s="138">
        <f>AVERAGE('Financial Analysis'!F110:K110)</f>
      </c>
      <c r="Q5" s="138">
        <f>AVERAGE(Analysis2!F47:K47)</f>
      </c>
      <c r="R5" s="138">
        <f>AVERAGE(F54:K54)</f>
      </c>
      <c r="S5" s="139">
        <f>AVERAGE(F49:K49)</f>
      </c>
      <c r="T5" s="138">
        <f>AVERAGE(F51:K51)</f>
      </c>
      <c r="U5" s="138"/>
      <c r="V5" s="138"/>
      <c r="W5" s="138"/>
      <c r="X5" s="308">
        <f>AVERAGE('Financial Analysis'!B34:K34)</f>
      </c>
      <c r="Y5" s="139">
        <f>AVERAGE('Financial Analysis'!F33:K33)</f>
      </c>
      <c r="Z5" s="138">
        <f>AVERAGE('Financial Analysis'!F74:K74)</f>
      </c>
      <c r="AA5" s="139">
        <f>AVERAGE('Financial Analysis'!F68:K68)</f>
      </c>
      <c r="AB5" s="138">
        <f>AVERAGE('Financial Analysis'!F75:K75)</f>
      </c>
      <c r="AC5" s="139">
        <f>AVERAGE('Financial Analysis'!F72:K72)</f>
      </c>
      <c r="AD5" s="139">
        <f>AVERAGE('Financial Analysis'!F70:K70)</f>
      </c>
      <c r="AE5" s="136"/>
      <c r="AF5" s="136"/>
      <c r="AG5" s="136"/>
      <c r="AH5" s="136"/>
      <c r="AI5" s="136"/>
    </row>
    <row r="6" spans="1:35" ht="12.75" customHeight="1" x14ac:dyDescent="0.2">
      <c r="A6" s="140" t="s">
        <v>393</v>
      </c>
      <c r="B6" s="141">
        <f>'Data Sheet'!B8/'Profit &amp; Loss'!L13</f>
      </c>
      <c r="C6" s="141">
        <f>Other_input_data!K71</f>
      </c>
      <c r="D6" s="141">
        <f>Other_input_data!L75</f>
      </c>
      <c r="E6" s="141">
        <f>Other_input_data!L74</f>
      </c>
      <c r="F6" s="142">
        <f>Other_input_data!L76</f>
      </c>
      <c r="G6" s="143">
        <f>Other_input_data!L77</f>
      </c>
      <c r="H6" s="142">
        <f>'Financial Analysis'!L61</f>
      </c>
      <c r="I6" s="141">
        <f>'Financial Analysis'!L126</f>
      </c>
      <c r="J6" s="142">
        <f>1/B6</f>
      </c>
      <c r="K6" s="142">
        <f>'Financial Analysis'!L27</f>
      </c>
      <c r="L6" s="142">
        <f>L60</f>
      </c>
      <c r="M6" s="142"/>
      <c r="N6" s="142">
        <f>'Financial Analysis'!L31</f>
      </c>
      <c r="O6" s="142">
        <f>'Financial Analysis'!L32</f>
      </c>
      <c r="P6" s="144">
        <f>'Financial Analysis'!L110</f>
      </c>
      <c r="Q6" s="144">
        <f>Analysis2!L47</f>
      </c>
      <c r="R6" s="144">
        <f>K54</f>
      </c>
      <c r="S6" s="145">
        <f>K49</f>
      </c>
      <c r="T6" s="144">
        <f>K51</f>
      </c>
      <c r="U6" s="144"/>
      <c r="V6" s="144"/>
      <c r="W6" s="144"/>
      <c r="X6" s="309">
        <f>'Financial Analysis'!K34</f>
      </c>
      <c r="Y6" s="145">
        <f>'Financial Analysis'!K33</f>
      </c>
      <c r="Z6" s="144">
        <f>'Financial Analysis'!L74</f>
      </c>
      <c r="AA6" s="145">
        <f>'Financial Analysis'!K68</f>
      </c>
      <c r="AB6" s="144">
        <f>'Financial Analysis'!K75</f>
      </c>
      <c r="AC6" s="145">
        <f>'Financial Analysis'!K72</f>
      </c>
      <c r="AD6" s="145">
        <f>'Financial Analysis'!K70</f>
      </c>
      <c r="AE6" s="142"/>
      <c r="AF6" s="142"/>
      <c r="AG6" s="142"/>
      <c r="AH6" s="142"/>
      <c r="AI6" s="142"/>
    </row>
    <row r="7" spans="1:35" ht="12.75" customHeight="1" x14ac:dyDescent="0.2">
      <c r="A7" s="134" t="s">
        <v>394</v>
      </c>
      <c r="B7" s="146">
        <f>(B5-B6)/B5</f>
      </c>
      <c r="C7" s="146">
        <f>(C5-C6)/C5</f>
      </c>
      <c r="D7" s="146">
        <f>(D5-D6)/D5</f>
      </c>
      <c r="E7" s="146">
        <f>(E5-E6)/E5</f>
      </c>
      <c r="F7" s="147"/>
      <c r="G7" s="147"/>
      <c r="H7" s="147"/>
      <c r="I7" s="146">
        <f>1-I6-(B6/100)</f>
      </c>
      <c r="J7" s="146">
        <f>(J6-J5)/J6</f>
      </c>
      <c r="K7" s="148">
        <f>K5-K6</f>
      </c>
      <c r="L7" s="148">
        <f>L6-L5</f>
      </c>
      <c r="M7" s="148"/>
      <c r="N7" s="148">
        <f>N6-N5</f>
      </c>
      <c r="O7" s="148">
        <f>O5-O6</f>
      </c>
      <c r="P7" s="149" t="str">
        <f>IF(P6&gt;4,"Positive","Negative")</f>
      </c>
      <c r="Q7" s="149" t="str">
        <f>IF(Q6&lt;0.5,"Positive","Negative")</f>
      </c>
      <c r="R7" s="149" t="str">
        <f>IF(R6&gt;1,"Positive","Negative")</f>
      </c>
      <c r="S7" s="148">
        <f>S5-S6</f>
      </c>
      <c r="T7" s="150">
        <f>T5-T6</f>
      </c>
      <c r="U7" s="149"/>
      <c r="V7" s="149"/>
      <c r="W7" s="149"/>
      <c r="X7" s="151">
        <f>X5-X6</f>
      </c>
      <c r="Y7" s="151">
        <f>Y5-Y6</f>
      </c>
      <c r="Z7" s="151">
        <f>Z6-Z5</f>
      </c>
      <c r="AA7" s="151">
        <f>AA6-AA5</f>
      </c>
      <c r="AB7" s="151">
        <f>AB5-AB6</f>
      </c>
      <c r="AC7" s="151">
        <f>AC6-AC5</f>
      </c>
      <c r="AD7" s="151">
        <f>AD6-AD5</f>
      </c>
      <c r="AE7" s="149"/>
      <c r="AF7" s="149"/>
      <c r="AG7" s="149"/>
      <c r="AH7" s="149"/>
      <c r="AI7" s="149"/>
    </row>
    <row r="8" spans="1:35" ht="12.75" customHeight="1" x14ac:dyDescent="0.2">
      <c r="A8" s="134" t="s">
        <v>395</v>
      </c>
      <c r="B8" s="146">
        <f>(10-B6)/10</f>
      </c>
      <c r="C8" s="147"/>
      <c r="D8" s="147"/>
      <c r="E8" s="147"/>
      <c r="F8" s="147"/>
      <c r="G8" s="147"/>
      <c r="H8" s="147"/>
      <c r="I8" s="146">
        <f>(1-I6)/1</f>
      </c>
      <c r="J8" s="146">
        <f>(J6-0.08)/0.08</f>
      </c>
    </row>
    <row r="9" spans="1:35" ht="8.25" customHeight="1" x14ac:dyDescent="0.2">
      <c r="A9" s="152"/>
      <c r="B9" s="152"/>
      <c r="C9" s="152"/>
      <c r="D9" s="152"/>
      <c r="E9" s="153"/>
      <c r="F9" s="154"/>
      <c r="G9" s="154"/>
      <c r="H9" s="154"/>
      <c r="I9" s="154"/>
      <c r="J9" s="154"/>
      <c r="K9" s="154"/>
      <c r="L9" s="154"/>
      <c r="M9" s="154"/>
      <c r="N9" s="154"/>
      <c r="O9" s="154"/>
    </row>
    <row r="10" spans="1:35" ht="13.5" customHeight="1" x14ac:dyDescent="0.2">
      <c r="A10" s="155"/>
      <c r="B10" s="155" t="s">
        <v>570</v>
      </c>
      <c r="C10" s="155" t="s">
        <v>396</v>
      </c>
      <c r="D10" s="155" t="s">
        <v>397</v>
      </c>
      <c r="E10" s="155" t="s">
        <v>398</v>
      </c>
      <c r="F10" s="156" t="s">
        <v>304</v>
      </c>
      <c r="G10" s="156" t="s">
        <v>116</v>
      </c>
      <c r="H10" s="156" t="s">
        <v>399</v>
      </c>
      <c r="I10" s="156" t="s">
        <v>222</v>
      </c>
      <c r="J10" s="156" t="s">
        <v>400</v>
      </c>
      <c r="K10" s="156" t="s">
        <v>401</v>
      </c>
      <c r="L10" s="156" t="s">
        <v>305</v>
      </c>
      <c r="M10" s="156" t="s">
        <v>402</v>
      </c>
      <c r="N10" s="156" t="s">
        <v>403</v>
      </c>
      <c r="O10" s="156" t="s">
        <v>404</v>
      </c>
      <c r="P10" s="156" t="s">
        <v>405</v>
      </c>
      <c r="Q10" s="156" t="s">
        <v>406</v>
      </c>
    </row>
    <row r="11" spans="1:35" ht="13.5" customHeight="1" x14ac:dyDescent="0.2">
      <c r="A11" s="157" t="s">
        <v>407</v>
      </c>
      <c r="B11" s="158">
        <f>AVERAGE('Financial Analysis'!D107:L107)</f>
      </c>
      <c r="C11" s="158">
        <f>Other_input_data!K41-Other_input_data!B41</f>
      </c>
      <c r="D11" s="158">
        <f>Other_input_data!K36-Other_input_data!B36</f>
      </c>
      <c r="E11" s="159">
        <f>D11/C11</f>
      </c>
      <c r="F11" s="132">
        <f>SUM('Data Sheet'!B82:K82)</f>
      </c>
      <c r="G11" s="132">
        <f>SUM('Data Sheet'!B30:K30)</f>
      </c>
      <c r="H11" s="160">
        <f>F11/G11</f>
      </c>
      <c r="I11" s="132">
        <f>SUM('Financial Analysis'!C45:K45)</f>
      </c>
      <c r="J11" s="144">
        <f>SUM('Data Sheet'!B31:K31)</f>
      </c>
      <c r="K11" s="144">
        <f>F11-I11</f>
      </c>
      <c r="L11" s="161">
        <f>F11-I11-J11</f>
      </c>
      <c r="M11" s="125">
        <f>K11/F11</f>
      </c>
      <c r="N11" s="146">
        <f>'Financial Analysis'!N3</f>
      </c>
      <c r="O11" s="146">
        <f>'Financial Analysis'!N8</f>
      </c>
      <c r="P11" s="162">
        <f>'Financial Analysis'!N13</f>
      </c>
      <c r="Q11" s="162">
        <f>'Financial Analysis'!N14</f>
      </c>
    </row>
    <row r="12" spans="1:35" ht="13.5" customHeight="1" x14ac:dyDescent="0.2">
      <c r="A12" s="157" t="s">
        <v>408</v>
      </c>
      <c r="B12" s="158">
        <f>AVERAGE('Financial Analysis'!H107:L107)</f>
      </c>
      <c r="C12" s="158">
        <f>Other_input_data!K41-Other_input_data!F41</f>
      </c>
      <c r="D12" s="158">
        <f>Other_input_data!K36-Other_input_data!G36</f>
      </c>
      <c r="E12" s="159">
        <f>D12/C12</f>
      </c>
      <c r="F12" s="130">
        <f>SUM('Data Sheet'!G82:K82)</f>
      </c>
      <c r="G12" s="130">
        <f>SUM('Data Sheet'!G30:K30)</f>
      </c>
      <c r="H12" s="160">
        <f t="shared" ref="H12:H13" si="0">F12/G12</f>
      </c>
      <c r="I12" s="130">
        <f>SUM('Financial Analysis'!G45:K45)</f>
      </c>
      <c r="J12" s="144">
        <f>SUM('Data Sheet'!G31:K31)</f>
      </c>
      <c r="K12" s="144">
        <f t="shared" ref="K12:K14" si="1">F12-I12</f>
      </c>
      <c r="L12" s="161">
        <f>F12-I12-J12</f>
      </c>
      <c r="M12" s="125">
        <f>K12/F12</f>
      </c>
      <c r="N12" s="146">
        <f>'Financial Analysis'!O3</f>
      </c>
      <c r="O12" s="146">
        <f>'Financial Analysis'!O8</f>
      </c>
      <c r="P12" s="162">
        <f>'Financial Analysis'!O13</f>
      </c>
      <c r="Q12" s="162">
        <f>'Financial Analysis'!O14</f>
      </c>
    </row>
    <row r="13" spans="1:35" ht="13.5" customHeight="1" x14ac:dyDescent="0.2">
      <c r="A13" s="157" t="s">
        <v>409</v>
      </c>
      <c r="B13" s="158">
        <f>AVERAGE('Financial Analysis'!J107:L107)</f>
      </c>
      <c r="C13" s="158">
        <f>Other_input_data!K41-Other_input_data!H41</f>
      </c>
      <c r="D13" s="158">
        <f>Other_input_data!K36-Other_input_data!I36</f>
      </c>
      <c r="E13" s="159">
        <f>D13/C13</f>
      </c>
      <c r="F13" s="132">
        <f>SUM('Data Sheet'!I82:K82)</f>
      </c>
      <c r="G13" s="132">
        <f>SUM('Data Sheet'!I30:K30)</f>
      </c>
      <c r="H13" s="160">
        <f t="shared" si="0"/>
      </c>
      <c r="I13" s="132">
        <f>SUM('Financial Analysis'!I45:K45)</f>
      </c>
      <c r="J13" s="144">
        <f>SUM('Data Sheet'!I31:K31)</f>
      </c>
      <c r="K13" s="144">
        <f t="shared" si="1"/>
      </c>
      <c r="L13" s="161">
        <f>F13-I13-J13</f>
      </c>
      <c r="M13" s="125">
        <f>K13/F13</f>
      </c>
      <c r="N13" s="146">
        <f>'Financial Analysis'!P3</f>
      </c>
      <c r="O13" s="146">
        <f>'Financial Analysis'!P8</f>
      </c>
      <c r="P13" s="162">
        <f>'Financial Analysis'!P13</f>
      </c>
      <c r="Q13" s="162">
        <f>'Financial Analysis'!P14</f>
      </c>
    </row>
    <row r="14" spans="1:35" ht="13.5" customHeight="1" x14ac:dyDescent="0.2">
      <c r="A14" s="157" t="s">
        <v>410</v>
      </c>
      <c r="B14" s="158">
        <f>'Financial Analysis'!L107</f>
      </c>
      <c r="C14" s="158">
        <f>Other_input_data!K41-Other_input_data!J41</f>
      </c>
      <c r="D14" s="158">
        <f>Other_input_data!K36-Other_input_data!J36</f>
      </c>
      <c r="E14" s="159">
        <f>D14/C14</f>
      </c>
      <c r="F14" s="144">
        <f>'Data Sheet'!K82</f>
      </c>
      <c r="G14" s="144">
        <f>'Data Sheet'!K30</f>
      </c>
      <c r="H14" s="160">
        <f>F14/G14</f>
      </c>
      <c r="I14" s="144">
        <f>'Financial Analysis'!K45</f>
      </c>
      <c r="J14" s="144">
        <f>'Data Sheet'!K31</f>
      </c>
      <c r="K14" s="144">
        <f t="shared" si="1"/>
      </c>
      <c r="L14" s="161">
        <f>F14-I14-J14</f>
      </c>
      <c r="M14" s="125">
        <f>K14/F14</f>
      </c>
      <c r="N14" s="146">
        <f>'Financial Analysis'!K3</f>
      </c>
      <c r="O14" s="146">
        <f>'Financial Analysis'!K8</f>
      </c>
      <c r="P14" s="162">
        <f>'Financial Analysis'!L13</f>
      </c>
      <c r="Q14" s="162">
        <f>'Financial Analysis'!L14</f>
      </c>
    </row>
    <row r="15" spans="1:35" ht="11.25" customHeight="1" x14ac:dyDescent="0.2">
      <c r="A15" s="371" t="s">
        <v>411</v>
      </c>
      <c r="B15" s="371"/>
      <c r="C15" s="371"/>
      <c r="D15" s="371"/>
      <c r="E15" s="153"/>
      <c r="F15" s="154"/>
      <c r="G15" s="154"/>
      <c r="H15" s="154"/>
      <c r="I15" s="154"/>
      <c r="J15" s="154"/>
      <c r="K15" s="154"/>
      <c r="L15" s="154"/>
      <c r="M15" s="154"/>
      <c r="N15" s="154"/>
      <c r="O15" s="154"/>
    </row>
    <row r="16" spans="1:35" ht="6.75" customHeight="1" x14ac:dyDescent="0.2">
      <c r="A16" s="163"/>
      <c r="B16" s="163"/>
      <c r="C16" s="163"/>
      <c r="D16" s="163"/>
      <c r="E16" s="163"/>
      <c r="F16" s="163"/>
      <c r="G16" s="163"/>
      <c r="H16" s="163"/>
      <c r="I16" s="163"/>
      <c r="J16" s="163"/>
    </row>
    <row r="17" spans="1:20" ht="14.25" customHeight="1" x14ac:dyDescent="0.2">
      <c r="A17" s="257" t="str">
        <f>'Data Sheet'!A1</f>
      </c>
      <c r="B17" s="164" t="s">
        <v>412</v>
      </c>
      <c r="C17" s="164" t="s">
        <v>413</v>
      </c>
      <c r="D17" s="164" t="s">
        <v>114</v>
      </c>
      <c r="E17" s="164" t="s">
        <v>116</v>
      </c>
      <c r="F17" s="164" t="s">
        <v>414</v>
      </c>
      <c r="G17" s="164" t="s">
        <v>415</v>
      </c>
      <c r="H17" s="164" t="s">
        <v>416</v>
      </c>
      <c r="I17" s="164" t="s">
        <v>417</v>
      </c>
      <c r="J17" s="164" t="s">
        <v>418</v>
      </c>
      <c r="K17" s="164" t="s">
        <v>417</v>
      </c>
      <c r="L17" s="164" t="s">
        <v>419</v>
      </c>
      <c r="M17" s="164" t="s">
        <v>304</v>
      </c>
      <c r="N17" s="164" t="s">
        <v>305</v>
      </c>
      <c r="O17" s="164" t="s">
        <v>420</v>
      </c>
      <c r="P17" s="164" t="s">
        <v>421</v>
      </c>
      <c r="Q17" s="164" t="s">
        <v>422</v>
      </c>
      <c r="S17" s="165" t="s">
        <v>423</v>
      </c>
      <c r="T17" s="165"/>
    </row>
    <row r="18" spans="1:20" ht="10.5" customHeight="1" x14ac:dyDescent="0.2">
      <c r="A18" s="166" t="s">
        <v>424</v>
      </c>
      <c r="B18" s="146">
        <f>POWER(Other_input_data!K25/Other_input_data!B25,1/9)-1</f>
      </c>
      <c r="C18" s="146">
        <f>POWER(Other_input_data!K27/Other_input_data!B27,1/9)-1</f>
      </c>
      <c r="D18" s="146">
        <f>POWER(Other_input_data!K30/Other_input_data!B30,1/9)-1</f>
      </c>
      <c r="E18" s="146">
        <f>POWER(Other_input_data!K34/Other_input_data!B34,1/9)-1</f>
      </c>
      <c r="F18" s="167">
        <f>IFERROR(POWER(Other_input_data!K35/Other_input_data!B35,1/9)-1,0)</f>
      </c>
      <c r="G18" s="167">
        <f>AVERAGE(B70:K70)</f>
      </c>
      <c r="H18" s="167">
        <f>L74</f>
      </c>
      <c r="I18" s="167">
        <f>POWER(K87/B87,1/9)-1</f>
      </c>
      <c r="J18" s="167">
        <f>SUM(B87:K87)/SUM('Data Sheet'!B17:K17)</f>
      </c>
      <c r="K18" s="167">
        <f>POWER(K87/B87,1/9)-1</f>
      </c>
      <c r="L18" s="167">
        <f>POWER(K89/B89,1/9)-1</f>
      </c>
      <c r="M18" s="146">
        <f>(Other_input_data!K61/Other_input_data!B61)^(1/9)-1</f>
      </c>
      <c r="N18" s="146">
        <f>(Other_input_data!K62/Other_input_data!B61)^(1/9)-1</f>
      </c>
      <c r="O18" s="168">
        <f>(Other_input_data!K41/Other_input_data!B41)^(1/9)-1</f>
      </c>
      <c r="P18" s="168">
        <f>(Other_input_data!K66/Other_input_data!C66)^(1/9)-1</f>
      </c>
      <c r="S18" s="169" t="s">
        <v>425</v>
      </c>
      <c r="T18" s="170">
        <v>0.1</v>
      </c>
    </row>
    <row r="19" spans="1:20" ht="10.5" customHeight="1" x14ac:dyDescent="0.2">
      <c r="A19" s="166" t="s">
        <v>426</v>
      </c>
      <c r="B19" s="146">
        <f>POWER(Other_input_data!K25/Other_input_data!F25,1/5)-1</f>
      </c>
      <c r="C19" s="146">
        <f>POWER(Other_input_data!K27/Other_input_data!F27,1/5)-1</f>
      </c>
      <c r="D19" s="146">
        <f>POWER(Other_input_data!K30/Other_input_data!F30,1/5)-1</f>
      </c>
      <c r="E19" s="146">
        <f>POWER(Other_input_data!K34/Other_input_data!F34,1/5)-1</f>
      </c>
      <c r="F19" s="167">
        <f>IFERROR(POWER(Other_input_data!K35/Other_input_data!F35,1/5)-1,0)</f>
      </c>
      <c r="G19" s="167">
        <f>AVERAGE(G70:K70)</f>
      </c>
      <c r="H19" s="167">
        <f>L73</f>
      </c>
      <c r="I19" s="167">
        <f>POWER(K87/F87,1/5)-1</f>
      </c>
      <c r="J19" s="167">
        <f>SUM(G87:K87)/SUM('Data Sheet'!G17:K17)</f>
      </c>
      <c r="K19" s="167">
        <f>POWER(K87/F87,1/5)-1</f>
      </c>
      <c r="L19" s="167">
        <f>POWER(K89/G89,1/5)-1</f>
      </c>
      <c r="M19" s="146">
        <f>(Other_input_data!K61/Other_input_data!F61)^(1/5)-1</f>
      </c>
      <c r="N19" s="146">
        <f>(Other_input_data!K62/Other_input_data!F62)^(1/5)-1</f>
      </c>
      <c r="O19" s="168">
        <f>(Other_input_data!K41/Other_input_data!F41)^(1/5)-1</f>
      </c>
      <c r="P19" s="168">
        <f>(Other_input_data!K66/Other_input_data!G66)^(1/5)-1</f>
      </c>
      <c r="S19" s="171" t="s">
        <v>427</v>
      </c>
      <c r="T19" s="125">
        <f>('Profit &amp; Loss'!K10/'Data Sheet'!K93)/T18</f>
      </c>
    </row>
    <row r="20" spans="1:20" ht="10.5" customHeight="1" x14ac:dyDescent="0.2">
      <c r="A20" s="166" t="s">
        <v>428</v>
      </c>
      <c r="B20" s="146">
        <f>POWER(Other_input_data!K25/Other_input_data!H25,1/3)-1</f>
      </c>
      <c r="C20" s="146">
        <f>POWER(Other_input_data!K27/Other_input_data!H27,1/3)-1</f>
      </c>
      <c r="D20" s="146">
        <f>POWER(Other_input_data!K30/Other_input_data!H30,1/3)-1</f>
      </c>
      <c r="E20" s="146">
        <f>POWER(Other_input_data!K34/Other_input_data!H34,1/3)-1</f>
      </c>
      <c r="F20" s="167">
        <f>IFERROR(POWER(Other_input_data!K35/Other_input_data!H35,1/3)-1,0)</f>
      </c>
      <c r="G20" s="167">
        <f>AVERAGE(I70:K70)</f>
      </c>
      <c r="I20" s="167">
        <f>POWER(K87/H87,1/3)-1</f>
      </c>
      <c r="J20" s="167">
        <f>SUM(I87:K87)/SUM('Data Sheet'!I17:K17)</f>
      </c>
      <c r="K20" s="167">
        <f>POWER(K87/H87,1/3)-1</f>
      </c>
      <c r="L20" s="167">
        <f>POWER(K89/H89,1/3)-1</f>
      </c>
      <c r="M20" s="146">
        <f>(Other_input_data!K61/Other_input_data!H61)^(1/3)-1</f>
      </c>
      <c r="N20" s="146">
        <f>(Other_input_data!K62/Other_input_data!H62)^(1/3)-1</f>
      </c>
      <c r="O20" s="168">
        <f>(Other_input_data!K41/Other_input_data!H41)^(1/3)-1</f>
      </c>
      <c r="P20" s="168">
        <f>(Other_input_data!K66/Other_input_data!I66)^(1/3)-1</f>
      </c>
      <c r="S20" s="172" t="s">
        <v>429</v>
      </c>
      <c r="T20" s="126">
        <f>('Profit &amp; Loss'!K10/'Data Sheet'!K93)/'Data Sheet'!B8</f>
      </c>
    </row>
    <row r="21" spans="1:20" ht="10.5" customHeight="1" x14ac:dyDescent="0.2">
      <c r="A21" s="166" t="s">
        <v>430</v>
      </c>
      <c r="B21" s="146">
        <f>POWER(Other_input_data!K25/Other_input_data!J25,1/1)-1</f>
      </c>
      <c r="C21" s="146">
        <f>POWER(Other_input_data!K27/Other_input_data!J27,1/1)-1</f>
      </c>
      <c r="D21" s="146">
        <f>POWER(Other_input_data!K30/Other_input_data!J30,1/1)-1</f>
      </c>
      <c r="E21" s="146">
        <f>POWER(Other_input_data!K34/Other_input_data!J34,1/1)-1</f>
      </c>
      <c r="F21" s="173">
        <f>POWER(Other_input_data!K35/Other_input_data!J35,1/1)-1</f>
      </c>
      <c r="G21" s="167">
        <f>K70</f>
      </c>
      <c r="I21" s="167">
        <f>POWER(K87/J87,1/1)-1</f>
      </c>
      <c r="J21" s="167">
        <f>K87/'Data Sheet'!K17</f>
      </c>
      <c r="K21" s="167">
        <f>POWER(K87/J87,1/1)-1</f>
      </c>
      <c r="L21" s="167">
        <f>POWER(K89/J89,1/1)-1</f>
      </c>
      <c r="M21" s="146">
        <f>(Other_input_data!K61/Other_input_data!J61)^(1/1)-1</f>
      </c>
      <c r="N21" s="146">
        <f>(Other_input_data!K62/Other_input_data!J62)^(1/1)-1</f>
      </c>
      <c r="O21" s="168">
        <f>(Other_input_data!K41/Other_input_data!J41)^(1/1)-1</f>
      </c>
      <c r="P21" s="168">
        <f>(Other_input_data!K66/Other_input_data!J66)^(1/1)-1</f>
      </c>
    </row>
    <row r="22" spans="1:20" s="178" customFormat="1" ht="9" customHeight="1" x14ac:dyDescent="0.2">
      <c r="A22" s="174"/>
      <c r="B22" s="175"/>
      <c r="C22" s="175"/>
      <c r="D22" s="175"/>
      <c r="E22" s="175"/>
      <c r="F22" s="176"/>
      <c r="G22" s="176"/>
      <c r="H22" s="176"/>
      <c r="I22" s="175"/>
      <c r="J22" s="175"/>
      <c r="K22" s="177"/>
      <c r="L22" s="177"/>
    </row>
    <row r="23" spans="1:20" s="178" customFormat="1" ht="26.25" customHeight="1" x14ac:dyDescent="0.2">
      <c r="A23" s="179" t="s">
        <v>431</v>
      </c>
      <c r="B23" s="179" t="s">
        <v>432</v>
      </c>
      <c r="C23" s="179" t="s">
        <v>135</v>
      </c>
      <c r="D23" s="179" t="s">
        <v>433</v>
      </c>
      <c r="E23" s="179" t="s">
        <v>267</v>
      </c>
      <c r="F23" s="179" t="s">
        <v>434</v>
      </c>
      <c r="G23" s="179" t="s">
        <v>435</v>
      </c>
      <c r="H23" s="179" t="s">
        <v>314</v>
      </c>
      <c r="I23" s="179" t="s">
        <v>436</v>
      </c>
      <c r="J23" s="179" t="s">
        <v>437</v>
      </c>
      <c r="K23" s="179" t="s">
        <v>438</v>
      </c>
      <c r="L23" s="179" t="s">
        <v>439</v>
      </c>
    </row>
    <row r="24" spans="1:20" s="178" customFormat="1" ht="15.75" customHeight="1" x14ac:dyDescent="0.2">
      <c r="A24" s="147">
        <f>1-'Financial Analysis'!K27</f>
      </c>
      <c r="B24" s="147">
        <f>'Financial Analysis'!K31</f>
      </c>
      <c r="C24" s="147">
        <f>'Financial Analysis'!K32</f>
      </c>
      <c r="D24" s="147">
        <f>'Financial Analysis'!K33</f>
      </c>
      <c r="E24" s="147">
        <f>'Financial Analysis'!K34</f>
      </c>
      <c r="F24" s="180">
        <f>Analysis2!K48</f>
      </c>
      <c r="G24" s="180">
        <f>K47</f>
      </c>
      <c r="H24" s="180">
        <f>K54</f>
      </c>
      <c r="I24" s="181">
        <f>F13/3</f>
      </c>
      <c r="J24" s="182">
        <f>F12/G12</f>
      </c>
      <c r="K24" s="183">
        <f>IF(F12&lt;0,-M12,M12)</f>
      </c>
      <c r="L24" s="184">
        <v>0.1847</v>
      </c>
    </row>
    <row r="25" spans="1:20" s="178" customFormat="1" ht="4.5" customHeight="1" x14ac:dyDescent="0.2">
      <c r="A25" s="175"/>
      <c r="B25" s="175"/>
      <c r="C25" s="175"/>
      <c r="D25" s="175"/>
      <c r="E25" s="175"/>
      <c r="F25" s="185"/>
      <c r="G25" s="185"/>
      <c r="H25" s="185"/>
      <c r="I25" s="186"/>
      <c r="J25" s="187"/>
      <c r="K25" s="188"/>
      <c r="L25" s="177"/>
    </row>
    <row r="26" spans="1:20" s="178" customFormat="1" ht="21.75" customHeight="1" x14ac:dyDescent="0.2">
      <c r="A26" s="179" t="s">
        <v>440</v>
      </c>
      <c r="B26" s="179" t="s">
        <v>441</v>
      </c>
      <c r="C26" s="179" t="s">
        <v>442</v>
      </c>
      <c r="D26" s="179" t="s">
        <v>443</v>
      </c>
      <c r="E26" s="179" t="s">
        <v>444</v>
      </c>
      <c r="F26" s="179" t="s">
        <v>445</v>
      </c>
      <c r="G26" s="179" t="s">
        <v>446</v>
      </c>
      <c r="H26" s="179" t="s">
        <v>447</v>
      </c>
      <c r="I26" s="179" t="s">
        <v>448</v>
      </c>
      <c r="J26" s="179" t="s">
        <v>449</v>
      </c>
      <c r="K26" s="179" t="s">
        <v>450</v>
      </c>
      <c r="L26" s="179" t="s">
        <v>451</v>
      </c>
      <c r="M26" s="179" t="s">
        <v>452</v>
      </c>
      <c r="N26" s="179" t="s">
        <v>453</v>
      </c>
      <c r="O26" s="179" t="s">
        <v>454</v>
      </c>
    </row>
    <row r="27" spans="1:20" s="178" customFormat="1" ht="13.5" customHeight="1" x14ac:dyDescent="0.2">
      <c r="A27" s="189">
        <f>B19</f>
      </c>
      <c r="B27" s="189">
        <f>E19</f>
      </c>
      <c r="C27" s="147">
        <f>'Financial Analysis'!O8</f>
      </c>
      <c r="D27" s="189">
        <f>F19</f>
      </c>
      <c r="E27" s="190"/>
      <c r="F27" s="191">
        <f>C27/A27</f>
      </c>
      <c r="G27" s="192">
        <f>H5</f>
      </c>
      <c r="H27" s="192">
        <f>G19</f>
      </c>
      <c r="I27" s="147">
        <f>H19</f>
      </c>
      <c r="J27" s="147">
        <f>I19</f>
      </c>
      <c r="K27" s="193">
        <f>J19</f>
      </c>
      <c r="L27" s="194"/>
      <c r="M27" s="190"/>
      <c r="N27" s="190"/>
      <c r="O27" s="190"/>
    </row>
    <row r="28" spans="1:20" s="178" customFormat="1" ht="5.25" customHeight="1" x14ac:dyDescent="0.2">
      <c r="A28" s="195"/>
      <c r="B28" s="195"/>
      <c r="C28" s="175"/>
      <c r="D28" s="195"/>
      <c r="E28" s="196"/>
      <c r="F28" s="197"/>
      <c r="G28" s="198"/>
      <c r="H28" s="198"/>
      <c r="I28" s="175"/>
      <c r="J28" s="175"/>
      <c r="K28" s="199"/>
      <c r="L28" s="177"/>
      <c r="M28" s="196"/>
      <c r="N28" s="196"/>
      <c r="O28" s="196"/>
    </row>
    <row r="29" spans="1:20" s="178" customFormat="1" ht="27.75" customHeight="1" x14ac:dyDescent="0.2">
      <c r="A29" s="179" t="s">
        <v>139</v>
      </c>
      <c r="B29" s="179" t="s">
        <v>140</v>
      </c>
      <c r="C29" s="179" t="s">
        <v>455</v>
      </c>
      <c r="D29" s="179" t="s">
        <v>364</v>
      </c>
      <c r="E29" s="179" t="s">
        <v>365</v>
      </c>
      <c r="F29" s="179" t="s">
        <v>366</v>
      </c>
      <c r="G29" s="179" t="s">
        <v>240</v>
      </c>
      <c r="H29" s="179" t="s">
        <v>415</v>
      </c>
      <c r="I29" s="179" t="s">
        <v>416</v>
      </c>
      <c r="J29" s="179" t="s">
        <v>417</v>
      </c>
      <c r="K29" s="179" t="s">
        <v>418</v>
      </c>
      <c r="L29" s="179" t="s">
        <v>389</v>
      </c>
      <c r="M29" s="179" t="s">
        <v>569</v>
      </c>
      <c r="N29" s="179" t="s">
        <v>456</v>
      </c>
    </row>
    <row r="30" spans="1:20" s="178" customFormat="1" ht="15.75" customHeight="1" x14ac:dyDescent="0.2">
      <c r="A30" s="200">
        <f>B6</f>
      </c>
      <c r="B30" s="150">
        <f>I6</f>
      </c>
      <c r="C30" s="148">
        <f>J6</f>
      </c>
      <c r="D30" s="150">
        <f>C6</f>
      </c>
      <c r="E30" s="150">
        <f>E6</f>
      </c>
      <c r="F30" s="148">
        <f>F6</f>
      </c>
      <c r="G30" s="148">
        <f>H6</f>
      </c>
      <c r="H30" s="151">
        <f>G21</f>
      </c>
      <c r="I30" s="201">
        <f>L74</f>
      </c>
      <c r="J30" s="151">
        <f>I21</f>
      </c>
      <c r="K30" s="201">
        <f>J21</f>
      </c>
      <c r="L30" s="149" t="s">
        <v>457</v>
      </c>
      <c r="M30" s="150">
        <f>H5/B19</f>
      </c>
      <c r="N30" s="190"/>
    </row>
    <row r="31" spans="1:20" s="178" customFormat="1" ht="6.75" customHeight="1" x14ac:dyDescent="0.2">
      <c r="A31" s="202"/>
      <c r="B31" s="203"/>
      <c r="C31" s="204"/>
      <c r="D31" s="203"/>
      <c r="E31" s="203"/>
      <c r="F31" s="204"/>
      <c r="G31" s="204"/>
      <c r="H31" s="205"/>
      <c r="I31" s="206"/>
      <c r="J31" s="205"/>
      <c r="K31" s="206"/>
      <c r="L31" s="207"/>
      <c r="M31" s="203"/>
    </row>
    <row r="32" spans="1:20" s="178" customFormat="1" ht="24.75" customHeight="1" x14ac:dyDescent="0.2">
      <c r="A32" s="179" t="s">
        <v>458</v>
      </c>
      <c r="B32" s="179" t="s">
        <v>459</v>
      </c>
      <c r="C32" s="179" t="s">
        <v>460</v>
      </c>
      <c r="D32" s="179" t="s">
        <v>461</v>
      </c>
      <c r="E32" s="179" t="s">
        <v>462</v>
      </c>
      <c r="F32" s="179" t="s">
        <v>463</v>
      </c>
      <c r="G32" s="179" t="s">
        <v>464</v>
      </c>
      <c r="H32" s="179" t="s">
        <v>465</v>
      </c>
      <c r="I32" s="179" t="s">
        <v>466</v>
      </c>
      <c r="J32" s="179" t="s">
        <v>467</v>
      </c>
      <c r="K32" s="179" t="s">
        <v>468</v>
      </c>
      <c r="L32" s="179" t="s">
        <v>469</v>
      </c>
      <c r="M32" s="179" t="s">
        <v>470</v>
      </c>
      <c r="N32" s="179" t="s">
        <v>471</v>
      </c>
      <c r="O32" s="179" t="s">
        <v>472</v>
      </c>
    </row>
    <row r="33" spans="1:35" s="178" customFormat="1" ht="13.5" customHeight="1" x14ac:dyDescent="0.2">
      <c r="A33" s="208" t="str">
        <f>IF(B19&lt;B21,"+VE","-VE")</f>
      </c>
      <c r="B33" s="208" t="str">
        <f>IF(E19&lt;E21,"+VE","-VE")</f>
      </c>
      <c r="C33" s="208" t="str">
        <f>IF(N6&lt;N5,"+VE","-VE")</f>
      </c>
      <c r="D33" s="208" t="str">
        <f>IF(N6&gt;N5,"+VE","-VE")</f>
      </c>
      <c r="E33" s="208" t="str">
        <f>IF(Y6&gt;Y5,"-VE","+VE")</f>
      </c>
      <c r="F33" s="208" t="str">
        <f>IF(X6&gt;X5,"-VE","+VE")</f>
      </c>
      <c r="G33" s="208" t="str">
        <f>IF(H6&gt;H5,"+VE","-VE")</f>
      </c>
      <c r="H33" s="208" t="str">
        <f>IF(G21&gt;G20,"+VE","-VE")</f>
      </c>
      <c r="I33" s="208" t="str">
        <f>IF('Financial Analysis'!N35&lt;0,"+VE","-VE")</f>
      </c>
      <c r="J33" s="208" t="str">
        <f>IF(I21&gt;I20,"+VE","-VE")</f>
      </c>
      <c r="K33" s="208" t="str">
        <f>IF(J21&gt;J19,"+VE","-VE")</f>
      </c>
      <c r="L33" s="208" t="str">
        <f>IF(Q6&lt;Q5,"+VE","-VE")</f>
      </c>
      <c r="M33" s="208" t="str">
        <f>IF('Financial Analysis'!M74&gt;0,"+VE","-VE")</f>
      </c>
      <c r="N33" s="208"/>
      <c r="O33" s="208" t="str">
        <f>IF(E21&gt;B21,"+VE","-VE")</f>
      </c>
    </row>
    <row r="34" spans="1:35" x14ac:dyDescent="0.2">
      <c r="H34" s="207"/>
      <c r="M34" s="207"/>
      <c r="N34" s="207"/>
    </row>
    <row r="35" spans="1:35" x14ac:dyDescent="0.2">
      <c r="H35" s="207"/>
      <c r="I35" s="207"/>
      <c r="J35" s="207"/>
      <c r="K35" s="207"/>
      <c r="L35" s="207"/>
      <c r="M35" s="207"/>
      <c r="N35" s="207"/>
    </row>
    <row r="36" spans="1:35" x14ac:dyDescent="0.2">
      <c r="H36" s="207"/>
      <c r="I36" s="207"/>
      <c r="J36" s="207"/>
      <c r="K36" s="207"/>
      <c r="L36" s="207"/>
      <c r="M36" s="207"/>
      <c r="N36" s="207"/>
    </row>
    <row r="37" spans="1:35" x14ac:dyDescent="0.2">
      <c r="H37" s="207"/>
      <c r="I37" s="207"/>
      <c r="J37" s="207"/>
      <c r="K37" s="207"/>
      <c r="L37" s="207"/>
      <c r="M37" s="207"/>
      <c r="N37" s="207"/>
    </row>
    <row r="38" spans="1:35" x14ac:dyDescent="0.2">
      <c r="H38" s="207"/>
      <c r="I38" s="207"/>
      <c r="J38" s="207"/>
      <c r="K38" s="207"/>
      <c r="L38" s="207"/>
      <c r="M38" s="207"/>
      <c r="N38" s="207"/>
    </row>
    <row r="39" spans="1:35" x14ac:dyDescent="0.2">
      <c r="B39" s="203"/>
      <c r="C39" s="204"/>
      <c r="D39" s="203"/>
      <c r="E39" s="203"/>
      <c r="F39" s="204"/>
      <c r="G39" s="204"/>
      <c r="H39" s="207"/>
      <c r="I39" s="207"/>
      <c r="J39" s="207"/>
      <c r="K39" s="207"/>
      <c r="L39" s="207"/>
      <c r="M39" s="207"/>
      <c r="N39" s="207"/>
    </row>
    <row r="40" spans="1:35" x14ac:dyDescent="0.2">
      <c r="A40" s="202"/>
      <c r="B40" s="203"/>
      <c r="C40" s="204"/>
      <c r="D40" s="203"/>
      <c r="E40" s="203"/>
      <c r="F40" s="204"/>
      <c r="G40" s="204"/>
      <c r="H40" s="207"/>
      <c r="I40" s="207"/>
      <c r="J40" s="207"/>
      <c r="K40" s="207"/>
      <c r="L40" s="207"/>
      <c r="M40" s="207"/>
      <c r="N40" s="207"/>
    </row>
    <row r="41" spans="1:35" x14ac:dyDescent="0.2">
      <c r="A41" s="154"/>
      <c r="B41" s="209"/>
    </row>
    <row r="42" spans="1:35" x14ac:dyDescent="0.2">
      <c r="A42" s="257" t="str">
        <f>'Data Sheet'!A1</f>
      </c>
      <c r="B42" s="210">
        <f>'Data Sheet'!B16</f>
      </c>
      <c r="C42" s="210">
        <f>'Data Sheet'!C16</f>
      </c>
      <c r="D42" s="210">
        <f>'Data Sheet'!D16</f>
      </c>
      <c r="E42" s="210">
        <f>'Data Sheet'!E16</f>
      </c>
      <c r="F42" s="210">
        <f>'Data Sheet'!F16</f>
      </c>
      <c r="G42" s="210">
        <f>'Data Sheet'!G16</f>
      </c>
      <c r="H42" s="210">
        <f>'Data Sheet'!H16</f>
      </c>
      <c r="I42" s="210">
        <f>'Data Sheet'!I16</f>
      </c>
      <c r="J42" s="210">
        <f>'Data Sheet'!J16</f>
      </c>
      <c r="K42" s="210">
        <f>'Data Sheet'!K16</f>
      </c>
      <c r="L42" s="210">
        <f>'Data Sheet'!K16</f>
      </c>
      <c r="M42" s="121" t="s">
        <v>473</v>
      </c>
    </row>
    <row r="43" spans="1:35" x14ac:dyDescent="0.2">
      <c r="A43" s="166" t="s">
        <v>257</v>
      </c>
      <c r="B43" s="212">
        <f>Other_input_data!B59/(Other_input_data!B39+Other_input_data!B40)</f>
      </c>
      <c r="C43" s="212">
        <f>Other_input_data!C59/(Other_input_data!C39+Other_input_data!C40)</f>
      </c>
      <c r="D43" s="212">
        <f>Other_input_data!D59/(Other_input_data!D39+Other_input_data!D40)</f>
      </c>
      <c r="E43" s="212">
        <f>Other_input_data!E59/(Other_input_data!E39+Other_input_data!E40)</f>
      </c>
      <c r="F43" s="212">
        <f>Other_input_data!F59/(Other_input_data!F39+Other_input_data!F40)</f>
      </c>
      <c r="G43" s="212">
        <f>Other_input_data!G59/(Other_input_data!G39+Other_input_data!G40)</f>
      </c>
      <c r="H43" s="212">
        <f>Other_input_data!H59/(Other_input_data!H39+Other_input_data!H40)</f>
      </c>
      <c r="I43" s="212">
        <f>Other_input_data!I59/(Other_input_data!I39+Other_input_data!I40)</f>
      </c>
      <c r="J43" s="212">
        <f>Other_input_data!J59/(Other_input_data!J39+Other_input_data!J40)</f>
      </c>
      <c r="K43" s="212">
        <f>Other_input_data!K59/(Other_input_data!K39+Other_input_data!K40)</f>
      </c>
      <c r="L43" s="212">
        <f>Other_input_data!K59/(Other_input_data!K39+Other_input_data!K40)</f>
      </c>
      <c r="M43" s="213">
        <f t="shared" ref="M43:M57" si="2">(L43/C43)^(1/9)-1</f>
      </c>
      <c r="N43" s="213"/>
      <c r="O43" s="213"/>
      <c r="P43" s="213"/>
      <c r="Q43" s="213"/>
      <c r="R43" s="213"/>
      <c r="S43" s="213"/>
      <c r="T43" s="213"/>
      <c r="U43" s="213"/>
      <c r="V43" s="213"/>
      <c r="W43" s="213"/>
      <c r="X43" s="213"/>
      <c r="Y43" s="213"/>
      <c r="Z43" s="213"/>
      <c r="AA43" s="213"/>
      <c r="AB43" s="213"/>
      <c r="AC43" s="213"/>
      <c r="AD43" s="213"/>
      <c r="AE43" s="213"/>
      <c r="AF43" s="213"/>
      <c r="AG43" s="213"/>
      <c r="AH43" s="213"/>
      <c r="AI43" s="213"/>
    </row>
    <row r="44" spans="1:35" ht="24" x14ac:dyDescent="0.2">
      <c r="A44" s="166" t="s">
        <v>474</v>
      </c>
      <c r="B44" s="212">
        <f>Other_input_data!B44/Other_input_data!B34</f>
      </c>
      <c r="C44" s="212">
        <f>Other_input_data!C44/Other_input_data!C34</f>
      </c>
      <c r="D44" s="212">
        <f>Other_input_data!D44/Other_input_data!D34</f>
      </c>
      <c r="E44" s="212">
        <f>Other_input_data!E44/Other_input_data!E34</f>
      </c>
      <c r="F44" s="212">
        <f>Other_input_data!F44/Other_input_data!F34</f>
      </c>
      <c r="G44" s="212">
        <f>Other_input_data!G44/Other_input_data!G34</f>
      </c>
      <c r="H44" s="212">
        <f>Other_input_data!H44/Other_input_data!H34</f>
      </c>
      <c r="I44" s="212">
        <f>Other_input_data!I44/Other_input_data!I34</f>
      </c>
      <c r="J44" s="212">
        <f>Other_input_data!J44/Other_input_data!J34</f>
      </c>
      <c r="K44" s="212">
        <f>Other_input_data!K44/Other_input_data!K34</f>
      </c>
      <c r="L44" s="212">
        <f>Other_input_data!K44/Other_input_data!K34</f>
      </c>
      <c r="M44" s="213">
        <f t="shared" si="2"/>
      </c>
      <c r="N44" s="213"/>
      <c r="O44" s="213"/>
      <c r="P44" s="213"/>
      <c r="Q44" s="213"/>
      <c r="R44" s="213"/>
      <c r="S44" s="213"/>
      <c r="T44" s="213"/>
      <c r="U44" s="213"/>
      <c r="V44" s="213"/>
      <c r="W44" s="213"/>
      <c r="X44" s="213"/>
      <c r="Y44" s="213"/>
      <c r="Z44" s="213"/>
      <c r="AA44" s="213"/>
      <c r="AB44" s="213"/>
      <c r="AC44" s="213"/>
      <c r="AD44" s="213"/>
      <c r="AE44" s="213"/>
      <c r="AF44" s="213"/>
      <c r="AG44" s="213"/>
      <c r="AH44" s="213"/>
      <c r="AI44" s="213"/>
    </row>
    <row r="45" spans="1:35" ht="24" x14ac:dyDescent="0.2">
      <c r="A45" s="166" t="s">
        <v>475</v>
      </c>
      <c r="B45" s="212">
        <f>Other_input_data!B51/Other_input_data!B34</f>
      </c>
      <c r="C45" s="212">
        <f>Other_input_data!C51/Other_input_data!C34</f>
      </c>
      <c r="D45" s="212">
        <f>Other_input_data!D51/Other_input_data!D34</f>
      </c>
      <c r="E45" s="212">
        <f>Other_input_data!E51/Other_input_data!E34</f>
      </c>
      <c r="F45" s="212">
        <f>Other_input_data!F51/Other_input_data!F34</f>
      </c>
      <c r="G45" s="212">
        <f>Other_input_data!G51/Other_input_data!G34</f>
      </c>
      <c r="H45" s="212">
        <f>Other_input_data!H51/Other_input_data!H34</f>
      </c>
      <c r="I45" s="212">
        <f>Other_input_data!I51/Other_input_data!I34</f>
      </c>
      <c r="J45" s="212">
        <f>Other_input_data!J51/Other_input_data!J34</f>
      </c>
      <c r="K45" s="212">
        <f>Other_input_data!K51/Other_input_data!K34</f>
      </c>
      <c r="L45" s="212">
        <f>Other_input_data!K51/Other_input_data!K34</f>
      </c>
      <c r="M45" s="213">
        <f t="shared" si="2"/>
      </c>
      <c r="N45" s="213"/>
      <c r="O45" s="213"/>
      <c r="P45" s="213"/>
      <c r="Q45" s="213"/>
      <c r="R45" s="213"/>
      <c r="S45" s="213"/>
      <c r="T45" s="213"/>
      <c r="U45" s="213"/>
      <c r="V45" s="213"/>
      <c r="W45" s="213"/>
      <c r="X45" s="213"/>
      <c r="Y45" s="213"/>
      <c r="Z45" s="213"/>
      <c r="AA45" s="213"/>
      <c r="AB45" s="213"/>
      <c r="AC45" s="213"/>
      <c r="AD45" s="213"/>
      <c r="AE45" s="213"/>
      <c r="AF45" s="213"/>
      <c r="AG45" s="213"/>
      <c r="AH45" s="213"/>
      <c r="AI45" s="213"/>
    </row>
    <row r="46" spans="1:35" x14ac:dyDescent="0.2">
      <c r="A46" s="166" t="s">
        <v>476</v>
      </c>
      <c r="B46" s="212">
        <f>Other_input_data!B58/Other_input_data!B34</f>
      </c>
      <c r="C46" s="212">
        <f>Other_input_data!C58/Other_input_data!C34</f>
      </c>
      <c r="D46" s="212">
        <f>Other_input_data!D58/Other_input_data!D34</f>
      </c>
      <c r="E46" s="212">
        <f>Other_input_data!E58/Other_input_data!E34</f>
      </c>
      <c r="F46" s="212">
        <f>Other_input_data!F58/Other_input_data!F34</f>
      </c>
      <c r="G46" s="212">
        <f>Other_input_data!G58/Other_input_data!G34</f>
      </c>
      <c r="H46" s="212">
        <f>Other_input_data!H58/Other_input_data!H34</f>
      </c>
      <c r="I46" s="212">
        <f>Other_input_data!I58/Other_input_data!I34</f>
      </c>
      <c r="J46" s="212">
        <f>Other_input_data!J58/Other_input_data!J34</f>
      </c>
      <c r="K46" s="212">
        <f>Other_input_data!K58/Other_input_data!K34</f>
      </c>
      <c r="L46" s="212">
        <f>Other_input_data!K58/Other_input_data!K34</f>
      </c>
      <c r="M46" s="213">
        <f t="shared" si="2"/>
      </c>
      <c r="N46" s="213"/>
      <c r="O46" s="213"/>
      <c r="P46" s="213"/>
      <c r="Q46" s="213"/>
      <c r="R46" s="213"/>
      <c r="S46" s="213"/>
      <c r="T46" s="213"/>
      <c r="U46" s="213"/>
      <c r="V46" s="213"/>
      <c r="W46" s="213"/>
      <c r="X46" s="213"/>
      <c r="Y46" s="213"/>
      <c r="Z46" s="213"/>
      <c r="AA46" s="213"/>
      <c r="AB46" s="213"/>
      <c r="AC46" s="213"/>
      <c r="AD46" s="213"/>
      <c r="AE46" s="213"/>
      <c r="AF46" s="213"/>
      <c r="AG46" s="213"/>
      <c r="AH46" s="213"/>
      <c r="AI46" s="213"/>
    </row>
    <row r="47" spans="1:35" x14ac:dyDescent="0.2">
      <c r="A47" s="214" t="s">
        <v>435</v>
      </c>
      <c r="B47" s="212">
        <f>Other_input_data!B44/Other_input_data!B41</f>
      </c>
      <c r="C47" s="212">
        <f>Other_input_data!C44/Other_input_data!C41</f>
      </c>
      <c r="D47" s="212">
        <f>Other_input_data!D44/Other_input_data!D41</f>
      </c>
      <c r="E47" s="212">
        <f>Other_input_data!E44/Other_input_data!E41</f>
      </c>
      <c r="F47" s="212">
        <f>Other_input_data!F44/Other_input_data!F41</f>
      </c>
      <c r="G47" s="212">
        <f>Other_input_data!G44/Other_input_data!G41</f>
      </c>
      <c r="H47" s="212">
        <f>Other_input_data!H44/Other_input_data!H41</f>
      </c>
      <c r="I47" s="212">
        <f>Other_input_data!I44/Other_input_data!I41</f>
      </c>
      <c r="J47" s="212">
        <f>Other_input_data!J44/Other_input_data!J41</f>
      </c>
      <c r="K47" s="212">
        <f>Other_input_data!K44/Other_input_data!K41</f>
      </c>
      <c r="L47" s="212">
        <f>Other_input_data!K44/Other_input_data!K41</f>
      </c>
      <c r="M47" s="213">
        <f t="shared" si="2"/>
      </c>
      <c r="N47" s="213"/>
      <c r="O47" s="213"/>
      <c r="P47" s="213"/>
      <c r="Q47" s="213"/>
      <c r="R47" s="213"/>
      <c r="S47" s="213"/>
      <c r="T47" s="213"/>
      <c r="U47" s="213"/>
      <c r="V47" s="213"/>
      <c r="W47" s="213"/>
      <c r="X47" s="213"/>
      <c r="Y47" s="213"/>
      <c r="Z47" s="213"/>
      <c r="AA47" s="213"/>
      <c r="AB47" s="213"/>
      <c r="AC47" s="213"/>
      <c r="AD47" s="213"/>
      <c r="AE47" s="213"/>
      <c r="AF47" s="213"/>
      <c r="AG47" s="213"/>
      <c r="AH47" s="213"/>
      <c r="AI47" s="213"/>
    </row>
    <row r="48" spans="1:35" x14ac:dyDescent="0.2">
      <c r="A48" s="214" t="s">
        <v>434</v>
      </c>
      <c r="B48" s="212">
        <f>Other_input_data!B30/Other_input_data!B31</f>
      </c>
      <c r="C48" s="212">
        <f>Other_input_data!C30/Other_input_data!C31</f>
      </c>
      <c r="D48" s="212">
        <f>Other_input_data!D30/Other_input_data!D31</f>
      </c>
      <c r="E48" s="212">
        <f>Other_input_data!E30/Other_input_data!E31</f>
      </c>
      <c r="F48" s="212">
        <f>Other_input_data!F30/Other_input_data!F31</f>
      </c>
      <c r="G48" s="212">
        <f>Other_input_data!G30/Other_input_data!G31</f>
      </c>
      <c r="H48" s="212">
        <f>Other_input_data!H30/Other_input_data!H31</f>
      </c>
      <c r="I48" s="212">
        <f>Other_input_data!I30/Other_input_data!I31</f>
      </c>
      <c r="J48" s="212">
        <f>Other_input_data!J30/Other_input_data!J31</f>
      </c>
      <c r="K48" s="212">
        <f>Other_input_data!K30/Other_input_data!K31</f>
      </c>
      <c r="L48" s="212">
        <f>Other_input_data!K30/Other_input_data!K31</f>
      </c>
      <c r="M48" s="213">
        <f t="shared" si="2"/>
      </c>
      <c r="N48" s="213"/>
      <c r="O48" s="213"/>
      <c r="P48" s="213"/>
      <c r="Q48" s="213"/>
      <c r="R48" s="213"/>
      <c r="S48" s="213"/>
      <c r="T48" s="213"/>
      <c r="U48" s="213"/>
      <c r="V48" s="213"/>
      <c r="W48" s="213"/>
      <c r="X48" s="213"/>
      <c r="Y48" s="213"/>
      <c r="Z48" s="213"/>
      <c r="AA48" s="213"/>
      <c r="AB48" s="213"/>
      <c r="AC48" s="213"/>
      <c r="AD48" s="213"/>
      <c r="AE48" s="213"/>
      <c r="AF48" s="213"/>
      <c r="AG48" s="213"/>
      <c r="AH48" s="213"/>
      <c r="AI48" s="213"/>
    </row>
    <row r="49" spans="1:35" s="215" customFormat="1" x14ac:dyDescent="0.2">
      <c r="A49" s="166" t="s">
        <v>277</v>
      </c>
      <c r="B49" s="212">
        <f>Other_input_data!B51/Other_input_data!B25</f>
      </c>
      <c r="C49" s="212">
        <f>Other_input_data!C51/Other_input_data!C25</f>
      </c>
      <c r="D49" s="212">
        <f>Other_input_data!D51/Other_input_data!D25</f>
      </c>
      <c r="E49" s="212">
        <f>Other_input_data!E51/Other_input_data!E25</f>
      </c>
      <c r="F49" s="212">
        <f>Other_input_data!F51/Other_input_data!F25</f>
      </c>
      <c r="G49" s="212">
        <f>Other_input_data!G51/Other_input_data!G25</f>
      </c>
      <c r="H49" s="212">
        <f>Other_input_data!H51/Other_input_data!H25</f>
      </c>
      <c r="I49" s="212">
        <f>Other_input_data!I51/Other_input_data!I25</f>
      </c>
      <c r="J49" s="212">
        <f>Other_input_data!J51/Other_input_data!J25</f>
      </c>
      <c r="K49" s="212">
        <f>Other_input_data!K51/Other_input_data!K25</f>
      </c>
      <c r="L49" s="212">
        <f>Other_input_data!K51/Other_input_data!K25</f>
      </c>
      <c r="M49" s="213">
        <f t="shared" si="2"/>
      </c>
      <c r="N49" s="213"/>
      <c r="O49" s="213"/>
      <c r="P49" s="213"/>
      <c r="Q49" s="213"/>
      <c r="R49" s="213"/>
      <c r="S49" s="213"/>
      <c r="T49" s="213"/>
      <c r="U49" s="213"/>
      <c r="V49" s="213"/>
      <c r="W49" s="213"/>
      <c r="X49" s="213"/>
      <c r="Y49" s="213"/>
      <c r="Z49" s="213"/>
      <c r="AA49" s="213"/>
      <c r="AB49" s="213"/>
      <c r="AC49" s="213"/>
      <c r="AD49" s="213"/>
      <c r="AE49" s="213"/>
      <c r="AF49" s="213"/>
      <c r="AG49" s="213"/>
      <c r="AH49" s="213"/>
      <c r="AI49" s="213"/>
    </row>
    <row r="50" spans="1:35" s="215" customFormat="1" x14ac:dyDescent="0.2">
      <c r="A50" s="166" t="s">
        <v>46</v>
      </c>
      <c r="B50" s="216">
        <f>IFERROR((Other_input_data!B7/Other_input_data!B25)*365,"NA")</f>
      </c>
      <c r="C50" s="216">
        <f>IFERROR((Other_input_data!C7/Other_input_data!C25)*365,"NA")</f>
      </c>
      <c r="D50" s="216">
        <f>IFERROR((Other_input_data!D7/Other_input_data!D25)*365,"NA")</f>
      </c>
      <c r="E50" s="216">
        <f>IFERROR((Other_input_data!E7/Other_input_data!E25)*365,"NA")</f>
      </c>
      <c r="F50" s="216">
        <f>IFERROR((Other_input_data!F7/Other_input_data!F25)*365,"NA")</f>
      </c>
      <c r="G50" s="216">
        <f>IFERROR((Other_input_data!G7/Other_input_data!G25)*365,"NA")</f>
      </c>
      <c r="H50" s="216">
        <f>IFERROR((Other_input_data!H7/Other_input_data!H25)*365,"NA")</f>
      </c>
      <c r="I50" s="216">
        <f>IFERROR((Other_input_data!I7/Other_input_data!I25)*365,"NA")</f>
      </c>
      <c r="J50" s="216">
        <f>IFERROR((Other_input_data!J7/Other_input_data!J25)*365,"NA")</f>
      </c>
      <c r="K50" s="216">
        <f>IFERROR((Other_input_data!K7/Other_input_data!K25)*365,"NA")</f>
      </c>
      <c r="L50" s="216">
        <f>IFERROR((Other_input_data!K7/Other_input_data!K25)*365,"NA")</f>
      </c>
      <c r="M50" s="213">
        <f t="shared" si="2"/>
      </c>
      <c r="N50" s="213"/>
      <c r="O50" s="213"/>
      <c r="P50" s="213"/>
      <c r="Q50" s="213"/>
      <c r="R50" s="213"/>
      <c r="S50" s="213"/>
      <c r="T50" s="213"/>
      <c r="U50" s="213"/>
      <c r="V50" s="213"/>
      <c r="W50" s="213"/>
      <c r="X50" s="213"/>
      <c r="Y50" s="213"/>
      <c r="Z50" s="213"/>
      <c r="AA50" s="213"/>
      <c r="AB50" s="213"/>
      <c r="AC50" s="213"/>
      <c r="AD50" s="213"/>
      <c r="AE50" s="213"/>
      <c r="AF50" s="213"/>
      <c r="AG50" s="213"/>
      <c r="AH50" s="213"/>
      <c r="AI50" s="213"/>
    </row>
    <row r="51" spans="1:35" s="215" customFormat="1" x14ac:dyDescent="0.2">
      <c r="A51" s="166" t="s">
        <v>477</v>
      </c>
      <c r="B51" s="216">
        <f>IFERROR((Other_input_data!B6/Other_input_data!B25)*365,"NA")</f>
      </c>
      <c r="C51" s="216">
        <f>IFERROR((Other_input_data!C6/Other_input_data!C25)*365,"NA")</f>
      </c>
      <c r="D51" s="216">
        <f>IFERROR((Other_input_data!D6/Other_input_data!D25)*365,"NA")</f>
      </c>
      <c r="E51" s="216">
        <f>IFERROR((Other_input_data!E6/Other_input_data!E25)*365,"NA")</f>
      </c>
      <c r="F51" s="216">
        <f>IFERROR((Other_input_data!F6/Other_input_data!F25)*365,"NA")</f>
      </c>
      <c r="G51" s="216">
        <f>IFERROR((Other_input_data!G6/Other_input_data!G25)*365,"NA")</f>
      </c>
      <c r="H51" s="216">
        <f>IFERROR((Other_input_data!H6/Other_input_data!H25)*365,"NA")</f>
      </c>
      <c r="I51" s="216">
        <f>IFERROR((Other_input_data!I6/Other_input_data!I25)*365,"NA")</f>
      </c>
      <c r="J51" s="216">
        <f>IFERROR((Other_input_data!J6/Other_input_data!J25)*365,"NA")</f>
      </c>
      <c r="K51" s="216">
        <f>IFERROR((Other_input_data!K6/Other_input_data!K25)*365,"NA")</f>
      </c>
      <c r="L51" s="216">
        <f>IFERROR((Other_input_data!K6/Other_input_data!K25)*365,"NA")</f>
      </c>
      <c r="M51" s="213">
        <f t="shared" si="2"/>
      </c>
      <c r="N51" s="213"/>
      <c r="O51" s="213"/>
      <c r="P51" s="213"/>
      <c r="Q51" s="213"/>
      <c r="R51" s="213"/>
      <c r="S51" s="213"/>
      <c r="T51" s="213"/>
      <c r="U51" s="213"/>
      <c r="V51" s="213"/>
      <c r="W51" s="213"/>
      <c r="X51" s="213"/>
      <c r="Y51" s="213"/>
      <c r="Z51" s="213"/>
      <c r="AA51" s="213"/>
      <c r="AB51" s="213"/>
      <c r="AC51" s="213"/>
      <c r="AD51" s="213"/>
      <c r="AE51" s="213"/>
      <c r="AF51" s="213"/>
      <c r="AG51" s="213"/>
      <c r="AH51" s="213"/>
      <c r="AI51" s="213"/>
    </row>
    <row r="52" spans="1:35" s="215" customFormat="1" x14ac:dyDescent="0.2">
      <c r="A52" s="166" t="s">
        <v>478</v>
      </c>
      <c r="B52" s="212">
        <f t="shared" ref="B52" si="3">365/B51</f>
      </c>
      <c r="C52" s="212">
        <f t="shared" ref="C52:L52" si="4">365/C51</f>
      </c>
      <c r="D52" s="212">
        <f t="shared" si="4"/>
      </c>
      <c r="E52" s="212">
        <f t="shared" si="4"/>
      </c>
      <c r="F52" s="212">
        <f t="shared" si="4"/>
      </c>
      <c r="G52" s="212">
        <f t="shared" si="4"/>
      </c>
      <c r="H52" s="212">
        <f t="shared" si="4"/>
      </c>
      <c r="I52" s="212">
        <f t="shared" si="4"/>
      </c>
      <c r="J52" s="212">
        <f t="shared" si="4"/>
      </c>
      <c r="K52" s="212">
        <f t="shared" si="4"/>
      </c>
      <c r="L52" s="212">
        <f t="shared" si="4"/>
      </c>
      <c r="M52" s="213">
        <f t="shared" si="2"/>
      </c>
      <c r="N52" s="213"/>
      <c r="O52" s="213"/>
      <c r="P52" s="213"/>
      <c r="Q52" s="213"/>
      <c r="R52" s="213"/>
      <c r="S52" s="213"/>
      <c r="T52" s="213"/>
      <c r="U52" s="213"/>
      <c r="V52" s="213"/>
      <c r="W52" s="213"/>
      <c r="X52" s="213"/>
      <c r="Y52" s="213"/>
      <c r="Z52" s="213"/>
      <c r="AA52" s="213"/>
      <c r="AB52" s="213"/>
      <c r="AC52" s="213"/>
      <c r="AD52" s="213"/>
      <c r="AE52" s="213"/>
      <c r="AF52" s="213"/>
      <c r="AG52" s="213"/>
      <c r="AH52" s="213"/>
      <c r="AI52" s="213"/>
    </row>
    <row r="53" spans="1:35" s="215" customFormat="1" ht="24" x14ac:dyDescent="0.2">
      <c r="A53" s="166" t="s">
        <v>479</v>
      </c>
      <c r="B53" s="212">
        <f>(Other_input_data!B7+Other_input_data!B8)/(Other_input_data!B10)</f>
      </c>
      <c r="C53" s="212">
        <f>(Other_input_data!C7+Other_input_data!C8)/(Other_input_data!C10)</f>
      </c>
      <c r="D53" s="212">
        <f>(Other_input_data!D7+Other_input_data!D8)/(Other_input_data!D10)</f>
      </c>
      <c r="E53" s="212">
        <f>(Other_input_data!E7+Other_input_data!E8)/(Other_input_data!E10)</f>
      </c>
      <c r="F53" s="212">
        <f>(Other_input_data!F7+Other_input_data!F8)/(Other_input_data!F10)</f>
      </c>
      <c r="G53" s="212">
        <f>(Other_input_data!G7+Other_input_data!G8)/(Other_input_data!G10)</f>
      </c>
      <c r="H53" s="212">
        <f>(Other_input_data!H7+Other_input_data!H8)/(Other_input_data!H10)</f>
      </c>
      <c r="I53" s="212">
        <f>(Other_input_data!I7+Other_input_data!I8)/(Other_input_data!I10)</f>
      </c>
      <c r="J53" s="212">
        <f>(Other_input_data!J7+Other_input_data!J8)/(Other_input_data!J10)</f>
      </c>
      <c r="K53" s="212">
        <f>(Other_input_data!K7+Other_input_data!K8)/(Other_input_data!K10)</f>
      </c>
      <c r="L53" s="212">
        <f>(Other_input_data!K7+Other_input_data!K8)/(Other_input_data!K10)</f>
      </c>
      <c r="M53" s="213">
        <f t="shared" si="2"/>
      </c>
      <c r="N53" s="213"/>
      <c r="O53" s="213"/>
      <c r="P53" s="213"/>
      <c r="Q53" s="213"/>
      <c r="R53" s="213"/>
      <c r="S53" s="213"/>
      <c r="T53" s="213"/>
      <c r="U53" s="213"/>
      <c r="V53" s="213"/>
      <c r="W53" s="213"/>
      <c r="X53" s="213"/>
      <c r="Y53" s="213"/>
      <c r="Z53" s="213"/>
      <c r="AA53" s="213"/>
      <c r="AB53" s="213"/>
      <c r="AC53" s="213"/>
      <c r="AD53" s="213"/>
      <c r="AE53" s="213"/>
      <c r="AF53" s="213"/>
      <c r="AG53" s="213"/>
      <c r="AH53" s="213"/>
      <c r="AI53" s="213"/>
    </row>
    <row r="54" spans="1:35" s="215" customFormat="1" x14ac:dyDescent="0.2">
      <c r="A54" s="166" t="s">
        <v>314</v>
      </c>
      <c r="B54" s="212">
        <f>Other_input_data!B9/Other_input_data!B10</f>
      </c>
      <c r="C54" s="212">
        <f>Other_input_data!C9/Other_input_data!C10</f>
      </c>
      <c r="D54" s="212">
        <f>Other_input_data!D9/Other_input_data!D10</f>
      </c>
      <c r="E54" s="212">
        <f>Other_input_data!E9/Other_input_data!E10</f>
      </c>
      <c r="F54" s="212">
        <f>Other_input_data!F9/Other_input_data!F10</f>
      </c>
      <c r="G54" s="212">
        <f>Other_input_data!G9/Other_input_data!G10</f>
      </c>
      <c r="H54" s="212">
        <f>Other_input_data!H9/Other_input_data!H10</f>
      </c>
      <c r="I54" s="212">
        <f>Other_input_data!I9/Other_input_data!I10</f>
      </c>
      <c r="J54" s="212">
        <f>Other_input_data!J9/Other_input_data!J10</f>
      </c>
      <c r="K54" s="212">
        <f>Other_input_data!K9/Other_input_data!K10</f>
      </c>
      <c r="L54" s="212">
        <f>Other_input_data!K9/Other_input_data!K10</f>
      </c>
      <c r="M54" s="213">
        <f t="shared" si="2"/>
      </c>
      <c r="N54" s="213"/>
      <c r="O54" s="213"/>
      <c r="P54" s="213"/>
      <c r="Q54" s="213"/>
      <c r="R54" s="213"/>
      <c r="S54" s="213"/>
      <c r="T54" s="213"/>
      <c r="U54" s="213"/>
      <c r="V54" s="213"/>
      <c r="W54" s="213"/>
      <c r="X54" s="213"/>
      <c r="Y54" s="213"/>
      <c r="Z54" s="213"/>
      <c r="AA54" s="213"/>
      <c r="AB54" s="213"/>
      <c r="AC54" s="213"/>
      <c r="AD54" s="213"/>
      <c r="AE54" s="213"/>
      <c r="AF54" s="213"/>
      <c r="AG54" s="213"/>
      <c r="AH54" s="213"/>
      <c r="AI54" s="213"/>
    </row>
    <row r="55" spans="1:35" s="215" customFormat="1" x14ac:dyDescent="0.2">
      <c r="A55" s="217" t="s">
        <v>480</v>
      </c>
      <c r="B55" s="212">
        <f>Other_input_data!B23/Other_input_data!B62</f>
      </c>
      <c r="C55" s="212">
        <f>Other_input_data!C23/Other_input_data!C62</f>
      </c>
      <c r="D55" s="212">
        <f>Other_input_data!D23/Other_input_data!D62</f>
      </c>
      <c r="E55" s="212">
        <f>Other_input_data!E23/Other_input_data!E62</f>
      </c>
      <c r="F55" s="212">
        <f>Other_input_data!F23/Other_input_data!F62</f>
      </c>
      <c r="G55" s="212">
        <f>Other_input_data!G23/Other_input_data!G62</f>
      </c>
      <c r="H55" s="212">
        <f>Other_input_data!H23/Other_input_data!H62</f>
      </c>
      <c r="I55" s="212">
        <f>Other_input_data!I23/Other_input_data!I62</f>
      </c>
      <c r="J55" s="212">
        <f>Other_input_data!J23/Other_input_data!J62</f>
      </c>
      <c r="K55" s="212">
        <f>Other_input_data!K23/Other_input_data!K62</f>
      </c>
      <c r="L55" s="212">
        <f>Other_input_data!K23/Other_input_data!K62</f>
      </c>
      <c r="M55" s="213">
        <f t="shared" si="2"/>
      </c>
      <c r="N55" s="213"/>
      <c r="O55" s="213"/>
      <c r="P55" s="213"/>
      <c r="Q55" s="213"/>
      <c r="R55" s="213"/>
      <c r="S55" s="213"/>
      <c r="T55" s="213"/>
      <c r="U55" s="213"/>
      <c r="V55" s="213"/>
      <c r="W55" s="213"/>
      <c r="X55" s="213"/>
      <c r="Y55" s="213"/>
      <c r="Z55" s="213"/>
      <c r="AA55" s="213"/>
      <c r="AB55" s="213"/>
      <c r="AC55" s="213"/>
      <c r="AD55" s="213"/>
      <c r="AE55" s="213"/>
      <c r="AF55" s="213"/>
      <c r="AG55" s="213"/>
      <c r="AH55" s="213"/>
      <c r="AI55" s="213"/>
    </row>
    <row r="56" spans="1:35" s="215" customFormat="1" x14ac:dyDescent="0.2">
      <c r="A56" s="217" t="s">
        <v>481</v>
      </c>
      <c r="B56" s="212">
        <f>Other_input_data!B62/Other_input_data!B34</f>
      </c>
      <c r="C56" s="212">
        <f>Other_input_data!C62/Other_input_data!C34</f>
      </c>
      <c r="D56" s="212">
        <f>Other_input_data!D62/Other_input_data!D34</f>
      </c>
      <c r="E56" s="212">
        <f>Other_input_data!E62/Other_input_data!E34</f>
      </c>
      <c r="F56" s="212">
        <f>Other_input_data!F62/Other_input_data!F34</f>
      </c>
      <c r="G56" s="212">
        <f>Other_input_data!G62/Other_input_data!G34</f>
      </c>
      <c r="H56" s="212">
        <f>Other_input_data!H62/Other_input_data!H34</f>
      </c>
      <c r="I56" s="212">
        <f>Other_input_data!I62/Other_input_data!I34</f>
      </c>
      <c r="J56" s="212">
        <f>Other_input_data!J62/Other_input_data!J34</f>
      </c>
      <c r="K56" s="212">
        <f>Other_input_data!K62/Other_input_data!K34</f>
      </c>
      <c r="L56" s="212">
        <f>Other_input_data!K62/Other_input_data!K34</f>
      </c>
      <c r="M56" s="213">
        <f t="shared" si="2"/>
      </c>
      <c r="N56" s="213"/>
      <c r="O56" s="213"/>
      <c r="P56" s="213"/>
      <c r="Q56" s="213"/>
      <c r="R56" s="213"/>
      <c r="S56" s="213"/>
      <c r="T56" s="213"/>
      <c r="U56" s="213"/>
      <c r="V56" s="213"/>
      <c r="W56" s="213"/>
      <c r="X56" s="213"/>
      <c r="Y56" s="213"/>
      <c r="Z56" s="213"/>
      <c r="AA56" s="213"/>
      <c r="AB56" s="213"/>
      <c r="AC56" s="213"/>
      <c r="AD56" s="213"/>
      <c r="AE56" s="213"/>
      <c r="AF56" s="213"/>
      <c r="AG56" s="213"/>
      <c r="AH56" s="213"/>
      <c r="AI56" s="213"/>
    </row>
    <row r="57" spans="1:35" s="215" customFormat="1" x14ac:dyDescent="0.2">
      <c r="A57" s="218" t="s">
        <v>399</v>
      </c>
      <c r="B57" s="212">
        <f>Other_input_data!B61/Other_input_data!B34</f>
      </c>
      <c r="C57" s="212">
        <f>Other_input_data!C61/Other_input_data!C34</f>
      </c>
      <c r="D57" s="212">
        <f>Other_input_data!D61/Other_input_data!D34</f>
      </c>
      <c r="E57" s="212">
        <f>Other_input_data!E61/Other_input_data!E34</f>
      </c>
      <c r="F57" s="212">
        <f>Other_input_data!F61/Other_input_data!F34</f>
      </c>
      <c r="G57" s="212">
        <f>Other_input_data!G61/Other_input_data!G34</f>
      </c>
      <c r="H57" s="212">
        <f>Other_input_data!H61/Other_input_data!H34</f>
      </c>
      <c r="I57" s="212">
        <f>Other_input_data!I61/Other_input_data!I34</f>
      </c>
      <c r="J57" s="212">
        <f>Other_input_data!J61/Other_input_data!J34</f>
      </c>
      <c r="K57" s="212">
        <f>Other_input_data!K61/Other_input_data!K34</f>
      </c>
      <c r="L57" s="212">
        <f>Other_input_data!K61/Other_input_data!K34</f>
      </c>
      <c r="M57" s="213">
        <f t="shared" si="2"/>
      </c>
      <c r="N57" s="213"/>
      <c r="O57" s="213"/>
      <c r="P57" s="213"/>
      <c r="Q57" s="213"/>
      <c r="R57" s="213"/>
      <c r="S57" s="213"/>
      <c r="T57" s="213"/>
      <c r="U57" s="213"/>
      <c r="V57" s="213"/>
      <c r="W57" s="213"/>
      <c r="X57" s="213"/>
      <c r="Y57" s="213"/>
      <c r="Z57" s="213"/>
      <c r="AA57" s="213"/>
      <c r="AB57" s="213"/>
      <c r="AC57" s="213"/>
      <c r="AD57" s="213"/>
      <c r="AE57" s="213"/>
      <c r="AF57" s="213"/>
      <c r="AG57" s="213"/>
      <c r="AH57" s="213"/>
      <c r="AI57" s="213"/>
    </row>
    <row r="58" spans="1:35" x14ac:dyDescent="0.2">
      <c r="A58" s="372"/>
      <c r="B58" s="372"/>
      <c r="C58" s="372"/>
      <c r="D58" s="372"/>
      <c r="E58" s="372"/>
      <c r="F58" s="372"/>
      <c r="G58" s="372"/>
      <c r="H58" s="372"/>
      <c r="I58" s="372"/>
      <c r="J58" s="372"/>
      <c r="K58" s="372"/>
      <c r="L58" s="121" t="s">
        <v>482</v>
      </c>
    </row>
    <row r="59" spans="1:35" x14ac:dyDescent="0.2">
      <c r="A59" s="219" t="s">
        <v>431</v>
      </c>
      <c r="B59" s="220">
        <f>Other_input_data!B27/Other_input_data!B25</f>
      </c>
      <c r="C59" s="221">
        <f>Other_input_data!C27/Other_input_data!C25</f>
      </c>
      <c r="D59" s="221">
        <f>Other_input_data!D27/Other_input_data!D25</f>
      </c>
      <c r="E59" s="221">
        <f>Other_input_data!E27/Other_input_data!E25</f>
      </c>
      <c r="F59" s="221">
        <f>Other_input_data!F27/Other_input_data!F25</f>
      </c>
      <c r="G59" s="221">
        <f>Other_input_data!G27/Other_input_data!G25</f>
      </c>
      <c r="H59" s="221">
        <f>Other_input_data!H27/Other_input_data!H25</f>
      </c>
      <c r="I59" s="221">
        <f>Other_input_data!I27/Other_input_data!I25</f>
      </c>
      <c r="J59" s="221">
        <f>Other_input_data!J27/Other_input_data!J25</f>
      </c>
      <c r="K59" s="221">
        <f>Other_input_data!K27/Other_input_data!K25</f>
      </c>
      <c r="L59" s="221">
        <f>Other_input_data!K27/Other_input_data!K25</f>
      </c>
      <c r="M59" s="222"/>
      <c r="N59" s="222"/>
      <c r="O59" s="222"/>
      <c r="P59" s="222"/>
      <c r="Q59" s="222"/>
      <c r="R59" s="222"/>
      <c r="S59" s="222"/>
      <c r="T59" s="222"/>
      <c r="U59" s="222"/>
      <c r="V59" s="222"/>
      <c r="W59" s="222"/>
      <c r="X59" s="222"/>
      <c r="Y59" s="222"/>
      <c r="Z59" s="222"/>
      <c r="AA59" s="222"/>
      <c r="AB59" s="222"/>
      <c r="AC59" s="222"/>
      <c r="AD59" s="222"/>
      <c r="AE59" s="222"/>
      <c r="AF59" s="222"/>
      <c r="AG59" s="222"/>
      <c r="AH59" s="222"/>
      <c r="AI59" s="222"/>
    </row>
    <row r="60" spans="1:35" x14ac:dyDescent="0.2">
      <c r="A60" s="166" t="s">
        <v>483</v>
      </c>
      <c r="B60" s="223">
        <f>Other_input_data!B28/Other_input_data!B25</f>
      </c>
      <c r="C60" s="224">
        <f>Other_input_data!C28/Other_input_data!C25</f>
      </c>
      <c r="D60" s="224">
        <f>Other_input_data!D28/Other_input_data!D25</f>
      </c>
      <c r="E60" s="224">
        <f>Other_input_data!E28/Other_input_data!E25</f>
      </c>
      <c r="F60" s="224">
        <f>Other_input_data!F28/Other_input_data!F25</f>
      </c>
      <c r="G60" s="224">
        <f>Other_input_data!G28/Other_input_data!G25</f>
      </c>
      <c r="H60" s="224">
        <f>Other_input_data!H28/Other_input_data!H25</f>
      </c>
      <c r="I60" s="224">
        <f>Other_input_data!I28/Other_input_data!I25</f>
      </c>
      <c r="J60" s="224">
        <f>Other_input_data!J28/Other_input_data!J25</f>
      </c>
      <c r="K60" s="224">
        <f>Other_input_data!K28/Other_input_data!K25</f>
      </c>
      <c r="L60" s="224">
        <f>Other_input_data!K28/Other_input_data!K25</f>
      </c>
      <c r="M60" s="222"/>
      <c r="N60" s="222"/>
      <c r="O60" s="222"/>
      <c r="P60" s="222"/>
      <c r="Q60" s="222"/>
      <c r="R60" s="222"/>
      <c r="S60" s="222"/>
      <c r="T60" s="222"/>
      <c r="U60" s="222"/>
      <c r="V60" s="222"/>
      <c r="W60" s="222"/>
      <c r="X60" s="222"/>
      <c r="Y60" s="222"/>
      <c r="Z60" s="222"/>
      <c r="AA60" s="222"/>
      <c r="AB60" s="222"/>
      <c r="AC60" s="222"/>
      <c r="AD60" s="222"/>
      <c r="AE60" s="222"/>
      <c r="AF60" s="222"/>
      <c r="AG60" s="222"/>
      <c r="AH60" s="222"/>
      <c r="AI60" s="222"/>
    </row>
    <row r="61" spans="1:35" x14ac:dyDescent="0.2">
      <c r="A61" s="166" t="s">
        <v>484</v>
      </c>
      <c r="B61" s="223">
        <f>Other_input_data!B34/Other_input_data!B25</f>
      </c>
      <c r="C61" s="224">
        <f>Other_input_data!C34/Other_input_data!C25</f>
      </c>
      <c r="D61" s="224">
        <f>Other_input_data!D34/Other_input_data!D25</f>
      </c>
      <c r="E61" s="224">
        <f>Other_input_data!E34/Other_input_data!E25</f>
      </c>
      <c r="F61" s="224">
        <f>Other_input_data!F34/Other_input_data!F25</f>
      </c>
      <c r="G61" s="224">
        <f>Other_input_data!G34/Other_input_data!G25</f>
      </c>
      <c r="H61" s="224">
        <f>Other_input_data!H34/Other_input_data!H25</f>
      </c>
      <c r="I61" s="224">
        <f>Other_input_data!I34/Other_input_data!I25</f>
      </c>
      <c r="J61" s="224">
        <f>Other_input_data!J34/Other_input_data!J25</f>
      </c>
      <c r="K61" s="224">
        <f>Other_input_data!K34/Other_input_data!K25</f>
      </c>
      <c r="L61" s="224">
        <f>Other_input_data!K34/Other_input_data!K25</f>
      </c>
      <c r="M61" s="222"/>
      <c r="N61" s="222"/>
      <c r="O61" s="222"/>
      <c r="P61" s="222"/>
      <c r="Q61" s="222"/>
      <c r="R61" s="222"/>
      <c r="S61" s="222"/>
      <c r="T61" s="222"/>
      <c r="U61" s="222"/>
      <c r="V61" s="222"/>
      <c r="W61" s="222"/>
      <c r="X61" s="222"/>
      <c r="Y61" s="222"/>
      <c r="Z61" s="222"/>
      <c r="AA61" s="222"/>
      <c r="AB61" s="222"/>
      <c r="AC61" s="222"/>
      <c r="AD61" s="222"/>
      <c r="AE61" s="222"/>
      <c r="AF61" s="222"/>
      <c r="AG61" s="222"/>
      <c r="AH61" s="222"/>
      <c r="AI61" s="222"/>
    </row>
    <row r="62" spans="1:35" x14ac:dyDescent="0.2">
      <c r="A62" s="166" t="s">
        <v>485</v>
      </c>
      <c r="B62" s="223">
        <f>Other_input_data!B62/Other_input_data!B25</f>
      </c>
      <c r="C62" s="224">
        <f>Other_input_data!C62/Other_input_data!C25</f>
      </c>
      <c r="D62" s="224">
        <f>Other_input_data!D62/Other_input_data!D25</f>
      </c>
      <c r="E62" s="224">
        <f>Other_input_data!E62/Other_input_data!E25</f>
      </c>
      <c r="F62" s="224">
        <f>Other_input_data!F62/Other_input_data!F25</f>
      </c>
      <c r="G62" s="224">
        <f>Other_input_data!G62/Other_input_data!G25</f>
      </c>
      <c r="H62" s="224">
        <f>Other_input_data!H62/Other_input_data!H25</f>
      </c>
      <c r="I62" s="224">
        <f>Other_input_data!I62/Other_input_data!I25</f>
      </c>
      <c r="J62" s="224">
        <f>Other_input_data!J62/Other_input_data!J25</f>
      </c>
      <c r="K62" s="224">
        <f>Other_input_data!K62/Other_input_data!K25</f>
      </c>
      <c r="L62" s="224">
        <f>Other_input_data!K62/Other_input_data!K25</f>
      </c>
      <c r="M62" s="222"/>
      <c r="N62" s="222"/>
      <c r="O62" s="222"/>
      <c r="P62" s="222"/>
      <c r="Q62" s="222"/>
      <c r="R62" s="222"/>
      <c r="S62" s="222"/>
      <c r="T62" s="222"/>
      <c r="U62" s="222"/>
      <c r="V62" s="222"/>
      <c r="W62" s="222"/>
      <c r="X62" s="222"/>
      <c r="Y62" s="222"/>
      <c r="Z62" s="222"/>
      <c r="AA62" s="222"/>
      <c r="AB62" s="222"/>
      <c r="AC62" s="222"/>
      <c r="AD62" s="222"/>
      <c r="AE62" s="222"/>
      <c r="AF62" s="222"/>
      <c r="AG62" s="222"/>
      <c r="AH62" s="222"/>
      <c r="AI62" s="222"/>
    </row>
    <row r="63" spans="1:35" x14ac:dyDescent="0.2">
      <c r="A63" s="372"/>
      <c r="B63" s="372"/>
      <c r="C63" s="372"/>
      <c r="D63" s="372"/>
      <c r="E63" s="372"/>
      <c r="F63" s="372"/>
      <c r="G63" s="372"/>
      <c r="H63" s="372"/>
      <c r="I63" s="372"/>
      <c r="J63" s="372"/>
      <c r="K63" s="372"/>
    </row>
    <row r="64" spans="1:35" x14ac:dyDescent="0.2">
      <c r="A64" s="166" t="s">
        <v>486</v>
      </c>
      <c r="B64" s="211">
        <f>Other_input_data!B25/Other_input_data!B56</f>
      </c>
      <c r="C64" s="212">
        <f>Other_input_data!C25/Other_input_data!C56</f>
      </c>
      <c r="D64" s="212">
        <f>Other_input_data!D25/Other_input_data!D56</f>
      </c>
      <c r="E64" s="212">
        <f>Other_input_data!E25/Other_input_data!E56</f>
      </c>
      <c r="F64" s="212">
        <f>Other_input_data!F25/Other_input_data!F56</f>
      </c>
      <c r="G64" s="212">
        <f>Other_input_data!G25/Other_input_data!G56</f>
      </c>
      <c r="H64" s="212">
        <f>Other_input_data!H25/Other_input_data!H56</f>
      </c>
      <c r="I64" s="212">
        <f>Other_input_data!I25/Other_input_data!I56</f>
      </c>
      <c r="J64" s="212">
        <f>Other_input_data!J25/Other_input_data!J56</f>
      </c>
      <c r="K64" s="212">
        <f>Other_input_data!K25/Other_input_data!K56</f>
      </c>
      <c r="L64" s="212">
        <f>Other_input_data!K25/Other_input_data!K56</f>
      </c>
    </row>
    <row r="65" spans="1:35" s="215" customFormat="1" x14ac:dyDescent="0.2">
      <c r="A65" s="166" t="s">
        <v>487</v>
      </c>
      <c r="B65" s="211">
        <f>Other_input_data!B25/Other_input_data!B49</f>
      </c>
      <c r="C65" s="212">
        <f>Other_input_data!C25/Other_input_data!C49</f>
      </c>
      <c r="D65" s="212">
        <f>Other_input_data!D25/Other_input_data!D49</f>
      </c>
      <c r="E65" s="212">
        <f>Other_input_data!E25/Other_input_data!E49</f>
      </c>
      <c r="F65" s="212">
        <f>Other_input_data!F25/Other_input_data!F49</f>
      </c>
      <c r="G65" s="212">
        <f>Other_input_data!G25/Other_input_data!G49</f>
      </c>
      <c r="H65" s="212">
        <f>Other_input_data!H25/Other_input_data!H49</f>
      </c>
      <c r="I65" s="212">
        <f>Other_input_data!I25/Other_input_data!I49</f>
      </c>
      <c r="J65" s="212">
        <f>Other_input_data!J25/Other_input_data!J49</f>
      </c>
      <c r="K65" s="212">
        <f>Other_input_data!K25/Other_input_data!K49</f>
      </c>
      <c r="L65" s="212">
        <f>Other_input_data!K25/Other_input_data!K49</f>
      </c>
    </row>
    <row r="66" spans="1:35" x14ac:dyDescent="0.2">
      <c r="A66" s="166" t="s">
        <v>488</v>
      </c>
      <c r="B66" s="211">
        <f>Other_input_data!B25/Other_input_data!B59</f>
      </c>
      <c r="C66" s="212">
        <f>Other_input_data!C25/Other_input_data!C59</f>
      </c>
      <c r="D66" s="212">
        <f>Other_input_data!D25/Other_input_data!D59</f>
      </c>
      <c r="E66" s="212">
        <f>Other_input_data!E25/Other_input_data!E59</f>
      </c>
      <c r="F66" s="212">
        <f>Other_input_data!F25/Other_input_data!F59</f>
      </c>
      <c r="G66" s="212">
        <f>Other_input_data!G25/Other_input_data!G59</f>
      </c>
      <c r="H66" s="212">
        <f>Other_input_data!H25/Other_input_data!H59</f>
      </c>
      <c r="I66" s="212">
        <f>Other_input_data!I25/Other_input_data!I59</f>
      </c>
      <c r="J66" s="212">
        <f>Other_input_data!J25/Other_input_data!J59</f>
      </c>
      <c r="K66" s="212">
        <f>Other_input_data!K25/Other_input_data!K59</f>
      </c>
      <c r="L66" s="212">
        <f>Other_input_data!K25/Other_input_data!K59</f>
      </c>
    </row>
    <row r="67" spans="1:35" x14ac:dyDescent="0.2">
      <c r="A67" s="166" t="s">
        <v>489</v>
      </c>
      <c r="B67" s="224">
        <f>B61*B66</f>
      </c>
      <c r="C67" s="224">
        <f t="shared" ref="C67:L67" si="5">C61*C66</f>
      </c>
      <c r="D67" s="224">
        <f t="shared" si="5"/>
      </c>
      <c r="E67" s="224">
        <f t="shared" si="5"/>
      </c>
      <c r="F67" s="224">
        <f t="shared" si="5"/>
      </c>
      <c r="G67" s="224">
        <f t="shared" si="5"/>
      </c>
      <c r="H67" s="224">
        <f t="shared" si="5"/>
      </c>
      <c r="I67" s="224">
        <f t="shared" si="5"/>
      </c>
      <c r="J67" s="224">
        <f t="shared" si="5"/>
      </c>
      <c r="K67" s="224">
        <f t="shared" si="5"/>
      </c>
      <c r="L67" s="224">
        <f t="shared" si="5"/>
      </c>
    </row>
    <row r="68" spans="1:35" x14ac:dyDescent="0.2">
      <c r="A68" s="166" t="s">
        <v>490</v>
      </c>
      <c r="B68" s="224">
        <f>B61*B66*B43</f>
      </c>
      <c r="C68" s="224">
        <f t="shared" ref="C68:L68" si="6">C61*C66*C43</f>
      </c>
      <c r="D68" s="224">
        <f t="shared" si="6"/>
      </c>
      <c r="E68" s="224">
        <f t="shared" si="6"/>
      </c>
      <c r="F68" s="224">
        <f t="shared" si="6"/>
      </c>
      <c r="G68" s="224">
        <f t="shared" si="6"/>
      </c>
      <c r="H68" s="224">
        <f t="shared" si="6"/>
      </c>
      <c r="I68" s="224">
        <f t="shared" si="6"/>
      </c>
      <c r="J68" s="224">
        <f t="shared" si="6"/>
      </c>
      <c r="K68" s="224">
        <f t="shared" si="6"/>
      </c>
      <c r="L68" s="224">
        <f t="shared" si="6"/>
      </c>
    </row>
    <row r="69" spans="1:35" x14ac:dyDescent="0.2">
      <c r="A69" s="166" t="s">
        <v>491</v>
      </c>
      <c r="B69" s="224">
        <f>Other_input_data!B30/Other_input_data!B57</f>
      </c>
      <c r="C69" s="224">
        <f>Other_input_data!C30/Other_input_data!C57</f>
      </c>
      <c r="D69" s="224">
        <f>Other_input_data!D30/Other_input_data!D57</f>
      </c>
      <c r="E69" s="224">
        <f>Other_input_data!E30/Other_input_data!E57</f>
      </c>
      <c r="F69" s="224">
        <f>Other_input_data!F30/Other_input_data!F57</f>
      </c>
      <c r="G69" s="224">
        <f>Other_input_data!G30/Other_input_data!G57</f>
      </c>
      <c r="H69" s="224">
        <f>Other_input_data!H30/Other_input_data!H57</f>
      </c>
      <c r="I69" s="224">
        <f>Other_input_data!I30/Other_input_data!I57</f>
      </c>
      <c r="J69" s="224">
        <f>Other_input_data!J30/Other_input_data!J57</f>
      </c>
      <c r="K69" s="224">
        <f>Other_input_data!K30/Other_input_data!K57</f>
      </c>
      <c r="L69" s="224">
        <f>Other_input_data!K30/Other_input_data!K57</f>
      </c>
    </row>
    <row r="70" spans="1:35" x14ac:dyDescent="0.2">
      <c r="A70" s="166" t="s">
        <v>492</v>
      </c>
      <c r="B70" s="224">
        <f t="shared" ref="B70:L70" si="7">B85*(1-B78)</f>
      </c>
      <c r="C70" s="224">
        <f t="shared" si="7"/>
      </c>
      <c r="D70" s="224">
        <f t="shared" si="7"/>
      </c>
      <c r="E70" s="224">
        <f t="shared" si="7"/>
      </c>
      <c r="F70" s="224">
        <f t="shared" si="7"/>
      </c>
      <c r="G70" s="224">
        <f t="shared" si="7"/>
      </c>
      <c r="H70" s="224">
        <f t="shared" si="7"/>
      </c>
      <c r="I70" s="224">
        <f t="shared" si="7"/>
      </c>
      <c r="J70" s="224">
        <f t="shared" si="7"/>
      </c>
      <c r="K70" s="224">
        <f t="shared" si="7"/>
      </c>
      <c r="L70" s="224">
        <f t="shared" si="7"/>
      </c>
    </row>
    <row r="71" spans="1:35" x14ac:dyDescent="0.2">
      <c r="A71" s="166" t="s">
        <v>493</v>
      </c>
      <c r="B71" s="224"/>
      <c r="C71" s="224">
        <f>(Other_input_data!C64-Other_input_data!B64)/(Other_input_data!C56-Other_input_data!B56)</f>
      </c>
      <c r="D71" s="224">
        <f>(Other_input_data!D64-Other_input_data!C64)/(Other_input_data!D56-Other_input_data!C56)</f>
      </c>
      <c r="E71" s="224">
        <f>(Other_input_data!E64-Other_input_data!D64)/(Other_input_data!E56-Other_input_data!D56)</f>
      </c>
      <c r="F71" s="224">
        <f>(Other_input_data!F64-Other_input_data!E64)/(Other_input_data!F56-Other_input_data!E56)</f>
      </c>
      <c r="G71" s="224">
        <f>(Other_input_data!G64-Other_input_data!F64)/(Other_input_data!G56-Other_input_data!F56)</f>
      </c>
      <c r="H71" s="224">
        <f>(Other_input_data!H64-Other_input_data!G64)/(Other_input_data!H56-Other_input_data!G56)</f>
      </c>
      <c r="I71" s="224">
        <f>(Other_input_data!I64-Other_input_data!H64)/(Other_input_data!I56-Other_input_data!H56)</f>
      </c>
      <c r="J71" s="224">
        <f>(Other_input_data!J64-Other_input_data!I64)/(Other_input_data!J56-Other_input_data!I56)</f>
      </c>
      <c r="K71" s="224">
        <f>(Other_input_data!K64-Other_input_data!J64)/(Other_input_data!K56-Other_input_data!J56)</f>
      </c>
      <c r="L71" s="224">
        <f>(Other_input_data!K64-Other_input_data!J64)/(Other_input_data!K56-Other_input_data!J56)</f>
      </c>
    </row>
    <row r="72" spans="1:35" ht="15" customHeight="1" x14ac:dyDescent="0.2">
      <c r="A72" s="166" t="s">
        <v>494</v>
      </c>
      <c r="B72" s="367"/>
      <c r="C72" s="368"/>
      <c r="D72" s="369"/>
      <c r="E72" s="224">
        <f>(Other_input_data!E64-Other_input_data!B64)/(Other_input_data!E56-Other_input_data!B56)</f>
      </c>
      <c r="F72" s="224">
        <f>(Other_input_data!F64-Other_input_data!C64)/(Other_input_data!F56-Other_input_data!C56)</f>
      </c>
      <c r="G72" s="224">
        <f>(Other_input_data!G64-Other_input_data!D64)/(Other_input_data!G56-Other_input_data!D56)</f>
      </c>
      <c r="H72" s="224">
        <f>(Other_input_data!H64-Other_input_data!E64)/(Other_input_data!H56-Other_input_data!E56)</f>
      </c>
      <c r="I72" s="224">
        <f>(Other_input_data!I64-Other_input_data!F64)/(Other_input_data!I56-Other_input_data!F56)</f>
      </c>
      <c r="J72" s="224">
        <f>(Other_input_data!J64-Other_input_data!G64)/(Other_input_data!J56-Other_input_data!G56)</f>
      </c>
      <c r="K72" s="224">
        <f>(Other_input_data!K64-Other_input_data!H64)/(Other_input_data!K56-Other_input_data!H56)</f>
      </c>
      <c r="L72" s="224">
        <f>(Other_input_data!K64-Other_input_data!H64)/(Other_input_data!K56-Other_input_data!H56)</f>
      </c>
    </row>
    <row r="73" spans="1:35" ht="15" customHeight="1" x14ac:dyDescent="0.2">
      <c r="A73" s="166" t="s">
        <v>495</v>
      </c>
      <c r="B73" s="367"/>
      <c r="C73" s="368"/>
      <c r="D73" s="368"/>
      <c r="E73" s="368"/>
      <c r="F73" s="369"/>
      <c r="G73" s="224">
        <f>(Other_input_data!G64-Other_input_data!B64)/(Other_input_data!G56-Other_input_data!B56)</f>
      </c>
      <c r="H73" s="224">
        <f>(Other_input_data!H64-Other_input_data!C64)/(Other_input_data!H56-Other_input_data!C56)</f>
      </c>
      <c r="I73" s="224">
        <f>(Other_input_data!I64-Other_input_data!D64)/(Other_input_data!I56-Other_input_data!D56)</f>
      </c>
      <c r="J73" s="224">
        <f>(Other_input_data!J64-Other_input_data!E64)/(Other_input_data!J56-Other_input_data!E56)</f>
      </c>
      <c r="K73" s="224">
        <f>(Other_input_data!K64-Other_input_data!F64)/(Other_input_data!K56-Other_input_data!F56)</f>
      </c>
      <c r="L73" s="224">
        <f>(Other_input_data!K64-Other_input_data!F64)/(Other_input_data!K56-Other_input_data!F56)</f>
      </c>
    </row>
    <row r="74" spans="1:35" ht="15" customHeight="1" x14ac:dyDescent="0.2">
      <c r="A74" s="166" t="s">
        <v>496</v>
      </c>
      <c r="B74" s="367"/>
      <c r="C74" s="368"/>
      <c r="D74" s="368"/>
      <c r="E74" s="368"/>
      <c r="F74" s="368"/>
      <c r="G74" s="368"/>
      <c r="H74" s="368"/>
      <c r="I74" s="368"/>
      <c r="J74" s="368"/>
      <c r="K74" s="369"/>
      <c r="L74" s="225">
        <f>(Other_input_data!K64-Other_input_data!B64)/(Other_input_data!K56-Other_input_data!B56)</f>
      </c>
    </row>
    <row r="75" spans="1:35" ht="15" customHeight="1" x14ac:dyDescent="0.2">
      <c r="A75" s="166"/>
      <c r="B75" s="226"/>
      <c r="C75" s="227"/>
      <c r="D75" s="228"/>
      <c r="E75" s="228"/>
      <c r="F75" s="228"/>
      <c r="G75" s="228"/>
      <c r="H75" s="228"/>
      <c r="I75" s="228"/>
      <c r="J75" s="228"/>
      <c r="K75" s="229"/>
    </row>
    <row r="76" spans="1:35" x14ac:dyDescent="0.2">
      <c r="A76" s="230"/>
      <c r="B76" s="231">
        <f>B42</f>
      </c>
      <c r="C76" s="231">
        <f t="shared" ref="C76:L76" si="8">C42</f>
      </c>
      <c r="D76" s="231">
        <f t="shared" si="8"/>
      </c>
      <c r="E76" s="231">
        <f t="shared" si="8"/>
      </c>
      <c r="F76" s="231">
        <f t="shared" si="8"/>
      </c>
      <c r="G76" s="231">
        <f t="shared" si="8"/>
      </c>
      <c r="H76" s="231">
        <f t="shared" si="8"/>
      </c>
      <c r="I76" s="231">
        <f t="shared" si="8"/>
      </c>
      <c r="J76" s="231">
        <f t="shared" si="8"/>
      </c>
      <c r="K76" s="231">
        <f t="shared" si="8"/>
      </c>
      <c r="L76" s="231">
        <f t="shared" si="8"/>
      </c>
    </row>
    <row r="77" spans="1:35" x14ac:dyDescent="0.2">
      <c r="A77" s="232" t="s">
        <v>154</v>
      </c>
      <c r="B77" s="233">
        <f>Other_input_data!B84</f>
      </c>
      <c r="C77" s="234">
        <f>Other_input_data!C84</f>
      </c>
      <c r="D77" s="234">
        <f>Other_input_data!D84</f>
      </c>
      <c r="E77" s="234">
        <f>Other_input_data!E84</f>
      </c>
      <c r="F77" s="234">
        <f>Other_input_data!F84</f>
      </c>
      <c r="G77" s="234">
        <f>Other_input_data!G84</f>
      </c>
      <c r="H77" s="234">
        <f>Other_input_data!H84</f>
      </c>
      <c r="I77" s="234">
        <f>Other_input_data!I84</f>
      </c>
      <c r="J77" s="234">
        <f>Other_input_data!J84</f>
      </c>
      <c r="K77" s="234">
        <f>Other_input_data!K84</f>
      </c>
      <c r="L77" s="234">
        <f>Other_input_data!K84</f>
      </c>
    </row>
    <row r="78" spans="1:35" x14ac:dyDescent="0.2">
      <c r="A78" s="235" t="s">
        <v>135</v>
      </c>
      <c r="B78" s="236">
        <f>Other_input_data!B33/Other_input_data!B32</f>
      </c>
      <c r="C78" s="236">
        <f>Other_input_data!C33/Other_input_data!C32</f>
      </c>
      <c r="D78" s="236">
        <f>Other_input_data!D33/Other_input_data!D32</f>
      </c>
      <c r="E78" s="236">
        <f>Other_input_data!E33/Other_input_data!E32</f>
      </c>
      <c r="F78" s="236">
        <f>Other_input_data!F33/Other_input_data!F32</f>
      </c>
      <c r="G78" s="236">
        <f>Other_input_data!G33/Other_input_data!G32</f>
      </c>
      <c r="H78" s="236">
        <f>Other_input_data!H33/Other_input_data!H32</f>
      </c>
      <c r="I78" s="236">
        <f>Other_input_data!I33/Other_input_data!I32</f>
      </c>
      <c r="J78" s="236">
        <f>Other_input_data!J33/Other_input_data!J32</f>
      </c>
      <c r="K78" s="236">
        <f>Other_input_data!K33/Other_input_data!K32</f>
      </c>
      <c r="L78" s="258">
        <f>Other_input_data!K33/Other_input_data!K32</f>
      </c>
    </row>
    <row r="79" spans="1:35" ht="24" x14ac:dyDescent="0.2">
      <c r="A79" s="235" t="s">
        <v>497</v>
      </c>
      <c r="B79" s="236"/>
      <c r="C79" s="236">
        <f>(Other_input_data!C39-Other_input_data!B39)/Other_input_data!B39</f>
      </c>
      <c r="D79" s="236">
        <f>(Other_input_data!D39-Other_input_data!C39)/Other_input_data!C39</f>
      </c>
      <c r="E79" s="236">
        <f>(Other_input_data!E39-Other_input_data!D39)/Other_input_data!D39</f>
      </c>
      <c r="F79" s="236">
        <f>(Other_input_data!F39-Other_input_data!E39)/Other_input_data!E39</f>
      </c>
      <c r="G79" s="236">
        <f>(Other_input_data!G39-Other_input_data!F39)/Other_input_data!F39</f>
      </c>
      <c r="H79" s="236">
        <f>(Other_input_data!H39-Other_input_data!G39)/Other_input_data!G39</f>
      </c>
      <c r="I79" s="236">
        <f>(Other_input_data!I39-Other_input_data!H39)/Other_input_data!H39</f>
      </c>
      <c r="J79" s="236">
        <f>(Other_input_data!J39-Other_input_data!I39)/Other_input_data!I39</f>
      </c>
      <c r="K79" s="236">
        <f>(Other_input_data!K39-Other_input_data!J39)/Other_input_data!J39</f>
      </c>
      <c r="L79" s="236">
        <f>(Other_input_data!K39-Other_input_data!J39)/Other_input_data!J39</f>
      </c>
      <c r="M79" s="213" t="e">
        <f>(L79/F79)^(1/6)-1</f>
      </c>
      <c r="N79" s="213"/>
      <c r="O79" s="213"/>
      <c r="P79" s="213"/>
      <c r="Q79" s="213"/>
      <c r="R79" s="213"/>
      <c r="S79" s="213"/>
      <c r="T79" s="213"/>
      <c r="U79" s="213"/>
      <c r="V79" s="213"/>
      <c r="W79" s="213"/>
      <c r="X79" s="213"/>
      <c r="Y79" s="213"/>
      <c r="Z79" s="213"/>
      <c r="AA79" s="213"/>
      <c r="AB79" s="213"/>
      <c r="AC79" s="213"/>
      <c r="AD79" s="213"/>
      <c r="AE79" s="213"/>
      <c r="AF79" s="213"/>
      <c r="AG79" s="213"/>
      <c r="AH79" s="213"/>
      <c r="AI79" s="213"/>
    </row>
    <row r="80" spans="1:35" ht="36" x14ac:dyDescent="0.2">
      <c r="A80" s="235" t="s">
        <v>498</v>
      </c>
      <c r="B80" s="237"/>
      <c r="C80" s="233">
        <f>((Other_input_data!C6-Other_input_data!B6)/Other_input_data!B6)/((Other_input_data!C25-Other_input_data!B25)/Other_input_data!B25)</f>
      </c>
      <c r="D80" s="233">
        <f>((Other_input_data!D6-Other_input_data!C6)/Other_input_data!C6)/((Other_input_data!D25-Other_input_data!C25)/Other_input_data!C25)</f>
      </c>
      <c r="E80" s="233">
        <f>((Other_input_data!E6-Other_input_data!D6)/Other_input_data!D6)/((Other_input_data!E25-Other_input_data!D25)/Other_input_data!D25)</f>
      </c>
      <c r="F80" s="233">
        <f>((Other_input_data!F6-Other_input_data!E6)/Other_input_data!E6)/((Other_input_data!F25-Other_input_data!E25)/Other_input_data!E25)</f>
      </c>
      <c r="G80" s="233">
        <f>((Other_input_data!G6-Other_input_data!F6)/Other_input_data!F6)/((Other_input_data!G25-Other_input_data!F25)/Other_input_data!F25)</f>
      </c>
      <c r="H80" s="233">
        <f>((Other_input_data!H6-Other_input_data!G6)/Other_input_data!G6)/((Other_input_data!H25-Other_input_data!G25)/Other_input_data!G25)</f>
      </c>
      <c r="I80" s="233">
        <f>((Other_input_data!I6-Other_input_data!H6)/Other_input_data!H6)/((Other_input_data!I25-Other_input_data!H25)/Other_input_data!H25)</f>
      </c>
      <c r="J80" s="233">
        <f>((Other_input_data!J6-Other_input_data!I6)/Other_input_data!I6)/((Other_input_data!J25-Other_input_data!I25)/Other_input_data!I25)</f>
      </c>
      <c r="K80" s="233">
        <f>((Other_input_data!K6-Other_input_data!J6)/Other_input_data!J6)/((Other_input_data!K25-Other_input_data!J25)/Other_input_data!J25)</f>
      </c>
      <c r="L80" s="233">
        <f>((Other_input_data!K6-Other_input_data!J6)/Other_input_data!J6)/((Other_input_data!K25-Other_input_data!J25)/Other_input_data!J25)</f>
      </c>
    </row>
    <row r="81" spans="1:35" ht="36" x14ac:dyDescent="0.2">
      <c r="A81" s="235" t="s">
        <v>499</v>
      </c>
      <c r="B81" s="237"/>
      <c r="C81" s="233">
        <f>((Other_input_data!C7-Other_input_data!B7)/Other_input_data!B7)/((Other_input_data!C25-Other_input_data!B25)/Other_input_data!B25)</f>
      </c>
      <c r="D81" s="233">
        <f>((Other_input_data!D7-Other_input_data!C7)/Other_input_data!C7)/((Other_input_data!D25-Other_input_data!C25)/Other_input_data!C25)</f>
      </c>
      <c r="E81" s="233">
        <f>((Other_input_data!E7-Other_input_data!D7)/Other_input_data!D7)/((Other_input_data!E25-Other_input_data!D25)/Other_input_data!D25)</f>
      </c>
      <c r="F81" s="233">
        <f>((Other_input_data!F7-Other_input_data!E7)/Other_input_data!E7)/((Other_input_data!F25-Other_input_data!E25)/Other_input_data!E25)</f>
      </c>
      <c r="G81" s="233">
        <f>((Other_input_data!G7-Other_input_data!F7)/Other_input_data!F7)/((Other_input_data!G25-Other_input_data!F25)/Other_input_data!F25)</f>
      </c>
      <c r="H81" s="233">
        <f>((Other_input_data!H7-Other_input_data!G7)/Other_input_data!G7)/((Other_input_data!H25-Other_input_data!G25)/Other_input_data!G25)</f>
      </c>
      <c r="I81" s="233">
        <f>((Other_input_data!I7-Other_input_data!H7)/Other_input_data!H7)/((Other_input_data!I25-Other_input_data!H25)/Other_input_data!H25)</f>
      </c>
      <c r="J81" s="233">
        <f>((Other_input_data!J7-Other_input_data!I7)/Other_input_data!I7)/((Other_input_data!J25-Other_input_data!I25)/Other_input_data!I25)</f>
      </c>
      <c r="K81" s="233">
        <f>((Other_input_data!K7-Other_input_data!J7)/Other_input_data!J7)/((Other_input_data!K25-Other_input_data!J25)/Other_input_data!J25)</f>
      </c>
      <c r="L81" s="233">
        <f>((Other_input_data!K7-Other_input_data!J7)/Other_input_data!J7)/((Other_input_data!K25-Other_input_data!J25)/Other_input_data!J25)</f>
      </c>
    </row>
    <row r="82" spans="1:35" x14ac:dyDescent="0.2">
      <c r="A82" s="235" t="s">
        <v>500</v>
      </c>
      <c r="B82" s="237"/>
      <c r="C82" s="237">
        <f>Other_input_data!C23/Other_input_data!C29</f>
      </c>
      <c r="D82" s="237">
        <f>Other_input_data!D23/Other_input_data!D29</f>
      </c>
      <c r="E82" s="237">
        <f>Other_input_data!E23/Other_input_data!E29</f>
      </c>
      <c r="F82" s="237">
        <f>Other_input_data!F23/Other_input_data!F29</f>
      </c>
      <c r="G82" s="237">
        <f>Other_input_data!G23/Other_input_data!G29</f>
      </c>
      <c r="H82" s="237">
        <f>Other_input_data!H23/Other_input_data!H29</f>
      </c>
      <c r="I82" s="237">
        <f>Other_input_data!I23/Other_input_data!I29</f>
      </c>
      <c r="J82" s="237">
        <f>Other_input_data!J23/Other_input_data!J29</f>
      </c>
      <c r="K82" s="237">
        <f>Other_input_data!K23/Other_input_data!K29</f>
      </c>
      <c r="L82" s="237">
        <f>Other_input_data!K23/Other_input_data!K29</f>
      </c>
    </row>
    <row r="83" spans="1:35" x14ac:dyDescent="0.2">
      <c r="A83" s="235" t="s">
        <v>17</v>
      </c>
      <c r="B83" s="258">
        <f>Other_input_data!B35/Other_input_data!B34</f>
      </c>
      <c r="C83" s="258">
        <f>Other_input_data!C35/Other_input_data!C34</f>
      </c>
      <c r="D83" s="258">
        <f>Other_input_data!D35/Other_input_data!D34</f>
      </c>
      <c r="E83" s="258">
        <f>Other_input_data!E35/Other_input_data!E34</f>
      </c>
      <c r="F83" s="258">
        <f>Other_input_data!F35/Other_input_data!F34</f>
      </c>
      <c r="G83" s="258">
        <f>Other_input_data!G35/Other_input_data!G34</f>
      </c>
      <c r="H83" s="258">
        <f>Other_input_data!H35/Other_input_data!H34</f>
      </c>
      <c r="I83" s="258">
        <f>Other_input_data!I35/Other_input_data!I34</f>
      </c>
      <c r="J83" s="258">
        <f>Other_input_data!J35/Other_input_data!J34</f>
      </c>
      <c r="K83" s="258">
        <f>Other_input_data!K35/Other_input_data!K34</f>
      </c>
      <c r="L83" s="258">
        <f>Other_input_data!K35/Other_input_data!K34</f>
      </c>
      <c r="M83" s="213">
        <f>(L83/F83)^(1/6)-1</f>
      </c>
      <c r="N83" s="213"/>
      <c r="O83" s="213"/>
      <c r="P83" s="213"/>
      <c r="Q83" s="213"/>
      <c r="R83" s="213"/>
      <c r="S83" s="213"/>
      <c r="T83" s="213"/>
      <c r="U83" s="213"/>
      <c r="V83" s="213"/>
      <c r="W83" s="213"/>
      <c r="X83" s="213"/>
      <c r="Y83" s="213"/>
      <c r="Z83" s="213"/>
      <c r="AA83" s="213"/>
      <c r="AB83" s="213"/>
      <c r="AC83" s="213"/>
      <c r="AD83" s="213"/>
      <c r="AE83" s="213"/>
      <c r="AF83" s="213"/>
      <c r="AG83" s="213"/>
      <c r="AH83" s="213"/>
      <c r="AI83" s="213"/>
    </row>
    <row r="84" spans="1:35" x14ac:dyDescent="0.2">
      <c r="A84" s="235" t="s">
        <v>501</v>
      </c>
      <c r="B84" s="238">
        <f>Other_input_data!B8/Other_input_data!B48</f>
      </c>
      <c r="C84" s="238">
        <f>Other_input_data!C8/Other_input_data!C48</f>
      </c>
      <c r="D84" s="238">
        <f>Other_input_data!D8/Other_input_data!D48</f>
      </c>
      <c r="E84" s="238">
        <f>Other_input_data!E8/Other_input_data!E48</f>
      </c>
      <c r="F84" s="238">
        <f>Other_input_data!F8/Other_input_data!F48</f>
      </c>
      <c r="G84" s="238">
        <f>Other_input_data!G8/Other_input_data!G48</f>
      </c>
      <c r="H84" s="238">
        <f>Other_input_data!H8/Other_input_data!H48</f>
      </c>
      <c r="I84" s="238">
        <f>Other_input_data!I8/Other_input_data!I48</f>
      </c>
      <c r="J84" s="238">
        <f>Other_input_data!J8/Other_input_data!J48</f>
      </c>
      <c r="K84" s="238">
        <f>Other_input_data!K8/Other_input_data!K48</f>
      </c>
      <c r="L84" s="259">
        <f>Other_input_data!K8/Other_input_data!K48</f>
      </c>
    </row>
    <row r="85" spans="1:35" ht="24" x14ac:dyDescent="0.2">
      <c r="A85" s="235" t="s">
        <v>502</v>
      </c>
      <c r="B85" s="236">
        <f>Other_input_data!B30/Other_input_data!B56</f>
      </c>
      <c r="C85" s="236">
        <f>Other_input_data!C30/Other_input_data!C56</f>
      </c>
      <c r="D85" s="236">
        <f>Other_input_data!D30/Other_input_data!D56</f>
      </c>
      <c r="E85" s="236">
        <f>Other_input_data!E30/Other_input_data!E56</f>
      </c>
      <c r="F85" s="236">
        <f>Other_input_data!F30/Other_input_data!F56</f>
      </c>
      <c r="G85" s="236">
        <f>Other_input_data!G30/Other_input_data!G56</f>
      </c>
      <c r="H85" s="236">
        <f>Other_input_data!H30/Other_input_data!H56</f>
      </c>
      <c r="I85" s="236">
        <f>Other_input_data!I30/Other_input_data!I56</f>
      </c>
      <c r="J85" s="236">
        <f>Other_input_data!J30/Other_input_data!J56</f>
      </c>
      <c r="K85" s="236">
        <f>Other_input_data!K30/Other_input_data!K56</f>
      </c>
      <c r="L85" s="236">
        <f>Other_input_data!K30/Other_input_data!K56</f>
      </c>
    </row>
    <row r="86" spans="1:35" x14ac:dyDescent="0.2">
      <c r="A86" s="235" t="s">
        <v>503</v>
      </c>
      <c r="B86" s="236">
        <v>0.1</v>
      </c>
      <c r="C86" s="236">
        <v>0.1</v>
      </c>
      <c r="D86" s="236">
        <v>0.1</v>
      </c>
      <c r="E86" s="236">
        <v>0.1</v>
      </c>
      <c r="F86" s="236">
        <v>0.1</v>
      </c>
      <c r="G86" s="236">
        <v>0.1</v>
      </c>
      <c r="H86" s="236">
        <v>0.1</v>
      </c>
      <c r="I86" s="236">
        <v>0.1</v>
      </c>
      <c r="J86" s="236">
        <v>0.1</v>
      </c>
      <c r="K86" s="236">
        <v>0.1</v>
      </c>
      <c r="L86" s="239">
        <v>0.1</v>
      </c>
    </row>
    <row r="87" spans="1:35" x14ac:dyDescent="0.2">
      <c r="A87" s="235" t="s">
        <v>417</v>
      </c>
      <c r="B87" s="237">
        <f>Other_input_data!B56*(Analysis2!B70-Analysis2!B86)</f>
      </c>
      <c r="C87" s="237">
        <f>Other_input_data!C56*(Analysis2!C70-Analysis2!C86)</f>
      </c>
      <c r="D87" s="237">
        <f>Other_input_data!D56*(Analysis2!D70-Analysis2!D86)</f>
      </c>
      <c r="E87" s="237">
        <f>Other_input_data!E56*(Analysis2!E70-Analysis2!E86)</f>
      </c>
      <c r="F87" s="237">
        <f>Other_input_data!F56*(Analysis2!F70-Analysis2!F86)</f>
      </c>
      <c r="G87" s="237">
        <f>Other_input_data!G56*(Analysis2!G70-Analysis2!G86)</f>
      </c>
      <c r="H87" s="237">
        <f>Other_input_data!H56*(Analysis2!H70-Analysis2!H86)</f>
      </c>
      <c r="I87" s="237">
        <f>Other_input_data!I56*(Analysis2!I70-Analysis2!I86)</f>
      </c>
      <c r="J87" s="237">
        <f>Other_input_data!J56*(Analysis2!J70-Analysis2!J86)</f>
      </c>
      <c r="K87" s="237">
        <f>Other_input_data!K56*(Analysis2!K70-Analysis2!K86)</f>
      </c>
      <c r="L87" s="237">
        <f>Other_input_data!K56*(Analysis2!L70-Analysis2!L86)</f>
      </c>
    </row>
    <row r="88" spans="1:35" x14ac:dyDescent="0.2">
      <c r="A88" s="235" t="s">
        <v>418</v>
      </c>
      <c r="B88" s="236">
        <f>B87/Other_input_data!B25</f>
      </c>
      <c r="C88" s="236">
        <f>C87/Other_input_data!C25</f>
      </c>
      <c r="D88" s="236">
        <f>D87/Other_input_data!D25</f>
      </c>
      <c r="E88" s="236">
        <f>E87/Other_input_data!E25</f>
      </c>
      <c r="F88" s="236">
        <f>F87/Other_input_data!F25</f>
      </c>
      <c r="G88" s="236">
        <f>G87/Other_input_data!G25</f>
      </c>
      <c r="H88" s="236">
        <f>H87/Other_input_data!H25</f>
      </c>
      <c r="I88" s="236">
        <f>I87/Other_input_data!I25</f>
      </c>
      <c r="J88" s="236">
        <f>J87/Other_input_data!J25</f>
      </c>
      <c r="K88" s="236">
        <f>K87/Other_input_data!K25</f>
      </c>
      <c r="L88" s="236">
        <f>L87/Other_input_data!K25</f>
      </c>
    </row>
    <row r="89" spans="1:35" ht="15" customHeight="1" x14ac:dyDescent="0.2">
      <c r="A89" s="240" t="s">
        <v>504</v>
      </c>
      <c r="B89" s="121">
        <f>Other_input_data!B36</f>
      </c>
      <c r="C89" s="241">
        <f>Other_input_data!C36</f>
      </c>
      <c r="D89" s="241">
        <f>Other_input_data!D36</f>
      </c>
      <c r="E89" s="241">
        <f>Other_input_data!E36</f>
      </c>
      <c r="F89" s="241">
        <f>Other_input_data!F36</f>
      </c>
      <c r="G89" s="241">
        <f>Other_input_data!G36</f>
      </c>
      <c r="H89" s="241">
        <f>Other_input_data!H36</f>
      </c>
      <c r="I89" s="241">
        <f>Other_input_data!I36</f>
      </c>
      <c r="J89" s="241">
        <f>Other_input_data!J36</f>
      </c>
      <c r="K89" s="241">
        <f>Other_input_data!K36</f>
      </c>
      <c r="L89" s="241">
        <f>Other_input_data!K36</f>
      </c>
    </row>
    <row r="90" spans="1:35" ht="15" customHeight="1" x14ac:dyDescent="0.2">
      <c r="A90" s="242" t="s">
        <v>505</v>
      </c>
      <c r="B90" s="243"/>
      <c r="D90" s="244">
        <f t="shared" ref="D90:L90" si="9">D89-C89</f>
      </c>
      <c r="E90" s="244">
        <f t="shared" si="9"/>
      </c>
      <c r="F90" s="244">
        <f t="shared" si="9"/>
      </c>
      <c r="G90" s="244">
        <f t="shared" si="9"/>
      </c>
      <c r="H90" s="244">
        <f t="shared" si="9"/>
      </c>
      <c r="I90" s="244">
        <f t="shared" si="9"/>
      </c>
      <c r="J90" s="244">
        <f t="shared" si="9"/>
      </c>
      <c r="K90" s="244">
        <f t="shared" si="9"/>
      </c>
      <c r="L90" s="244">
        <f t="shared" si="9"/>
      </c>
    </row>
    <row r="91" spans="1:35" x14ac:dyDescent="0.2">
      <c r="A91" s="245" t="s">
        <v>506</v>
      </c>
      <c r="B91" s="246"/>
      <c r="D91" s="246">
        <f t="shared" ref="D91:L91" si="10">D90-C87</f>
      </c>
      <c r="E91" s="246">
        <f t="shared" si="10"/>
      </c>
      <c r="F91" s="246">
        <f t="shared" si="10"/>
      </c>
      <c r="G91" s="246">
        <f t="shared" si="10"/>
      </c>
      <c r="H91" s="246">
        <f t="shared" si="10"/>
      </c>
      <c r="I91" s="246">
        <f t="shared" si="10"/>
      </c>
      <c r="J91" s="246">
        <f t="shared" si="10"/>
      </c>
      <c r="K91" s="246">
        <f t="shared" si="10"/>
      </c>
      <c r="L91" s="246">
        <f t="shared" si="10"/>
      </c>
    </row>
    <row r="92" spans="1:35" x14ac:dyDescent="0.2">
      <c r="A92" s="153"/>
      <c r="B92" s="247"/>
      <c r="C92" s="247"/>
      <c r="D92" s="247"/>
      <c r="E92" s="247"/>
      <c r="F92" s="247"/>
      <c r="G92" s="247"/>
      <c r="H92" s="247"/>
      <c r="I92" s="247"/>
      <c r="J92" s="247"/>
      <c r="K92" s="247"/>
    </row>
    <row r="93" spans="1:35" ht="24" x14ac:dyDescent="0.2">
      <c r="A93" s="242" t="s">
        <v>507</v>
      </c>
      <c r="B93" s="248">
        <f>SUM(Other_input_data!B23:K23)/SUM(Other_input_data!B61:K61)</f>
      </c>
      <c r="C93" s="310" t="s">
        <v>568</v>
      </c>
      <c r="D93" s="249"/>
      <c r="E93" s="249"/>
      <c r="F93" s="249"/>
      <c r="G93" s="249"/>
      <c r="H93" s="249"/>
      <c r="I93" s="249"/>
      <c r="J93" s="249"/>
      <c r="K93" s="249"/>
    </row>
    <row r="94" spans="1:35" ht="24" x14ac:dyDescent="0.2">
      <c r="A94" s="242" t="s">
        <v>508</v>
      </c>
      <c r="B94" s="248">
        <f>SUM(Other_input_data!E23:K23)/SUM(Other_input_data!E61:K61)</f>
      </c>
      <c r="C94" s="250"/>
      <c r="D94" s="250"/>
      <c r="E94" s="250"/>
      <c r="F94" s="250"/>
      <c r="G94" s="250"/>
      <c r="H94" s="250"/>
      <c r="I94" s="250"/>
      <c r="J94" s="250"/>
      <c r="K94" s="250"/>
    </row>
    <row r="95" spans="1:35" ht="24" x14ac:dyDescent="0.2">
      <c r="A95" s="242" t="s">
        <v>509</v>
      </c>
      <c r="B95" s="248">
        <f>SUM(Other_input_data!G23:K23)/SUM(Other_input_data!G61:K61)</f>
      </c>
      <c r="C95" s="251"/>
      <c r="D95" s="251"/>
      <c r="E95" s="251"/>
      <c r="F95" s="251"/>
      <c r="G95" s="251"/>
      <c r="H95" s="251"/>
      <c r="I95" s="251"/>
      <c r="J95" s="251"/>
      <c r="K95" s="251"/>
    </row>
    <row r="96" spans="1:35" ht="24" x14ac:dyDescent="0.2">
      <c r="A96" s="242" t="s">
        <v>510</v>
      </c>
      <c r="B96" s="248">
        <f>SUM(Other_input_data!I23:K23)/SUM(Other_input_data!I61:K61)</f>
      </c>
      <c r="C96" s="252"/>
      <c r="D96" s="252"/>
      <c r="E96" s="252"/>
      <c r="F96" s="252"/>
      <c r="G96" s="252"/>
      <c r="H96" s="252"/>
      <c r="I96" s="252"/>
      <c r="J96" s="252"/>
      <c r="K96" s="252"/>
    </row>
    <row r="97" spans="1:3" ht="24" x14ac:dyDescent="0.2">
      <c r="A97" s="245" t="s">
        <v>511</v>
      </c>
      <c r="B97" s="246">
        <f>SUM(Other_input_data!C23:L23)/SUM(Other_input_data!C29:L29)</f>
      </c>
      <c r="C97" s="310" t="s">
        <v>568</v>
      </c>
    </row>
    <row r="98" spans="1:3" x14ac:dyDescent="0.2">
      <c r="B98" s="253"/>
    </row>
    <row r="99" spans="1:3" ht="24" x14ac:dyDescent="0.2">
      <c r="A99" s="137" t="s">
        <v>512</v>
      </c>
      <c r="B99" s="254">
        <f>AVERAGE(I60:K60)</f>
      </c>
    </row>
    <row r="100" spans="1:3" ht="24" x14ac:dyDescent="0.2">
      <c r="A100" s="137" t="s">
        <v>513</v>
      </c>
      <c r="B100" s="254">
        <f>AVERAGE(G60:K60)</f>
      </c>
    </row>
    <row r="101" spans="1:3" ht="24" x14ac:dyDescent="0.2">
      <c r="A101" s="137" t="s">
        <v>514</v>
      </c>
      <c r="B101" s="255">
        <f>AVERAGE(I64:K64)</f>
      </c>
    </row>
    <row r="102" spans="1:3" ht="24" x14ac:dyDescent="0.2">
      <c r="A102" s="137" t="s">
        <v>515</v>
      </c>
      <c r="B102" s="255">
        <f>AVERAGE(G64:K64)</f>
      </c>
    </row>
    <row r="103" spans="1:3" x14ac:dyDescent="0.2">
      <c r="A103" s="137" t="s">
        <v>516</v>
      </c>
      <c r="B103" s="254">
        <f>AVERAGE(I70:K70)</f>
      </c>
    </row>
    <row r="104" spans="1:3" x14ac:dyDescent="0.2">
      <c r="A104" s="137" t="s">
        <v>517</v>
      </c>
      <c r="B104" s="254">
        <f>AVERAGE(G70:K70)</f>
      </c>
    </row>
    <row r="105" spans="1:3" ht="24" x14ac:dyDescent="0.2">
      <c r="A105" s="137" t="s">
        <v>518</v>
      </c>
      <c r="B105" s="255">
        <f>AVERAGE(Other_input_data!I56:K56)</f>
      </c>
    </row>
    <row r="106" spans="1:3" ht="24" x14ac:dyDescent="0.2">
      <c r="A106" s="137" t="s">
        <v>519</v>
      </c>
      <c r="B106" s="255">
        <f>AVERAGE(Other_input_data!F56:K56)</f>
      </c>
    </row>
    <row r="107" spans="1:3" x14ac:dyDescent="0.2">
      <c r="A107" s="137" t="s">
        <v>520</v>
      </c>
      <c r="B107" s="256">
        <f>AVERAGE(I88:K88)</f>
      </c>
    </row>
    <row r="108" spans="1:3" x14ac:dyDescent="0.2">
      <c r="A108" s="137" t="s">
        <v>521</v>
      </c>
      <c r="B108" s="256">
        <f>AVERAGE(G88:K88)</f>
      </c>
    </row>
  </sheetData>
  <sheetProtection selectLockedCells="1" selectUnlockedCells="1"/>
  <mergeCells count="8">
    <mergeCell ref="B73:F73"/>
    <mergeCell ref="B74:K74"/>
    <mergeCell ref="A1:J1"/>
    <mergeCell ref="K1:AI1"/>
    <mergeCell ref="A15:D15"/>
    <mergeCell ref="A58:K58"/>
    <mergeCell ref="A63:K63"/>
    <mergeCell ref="B72:D72"/>
  </mergeCells>
  <conditionalFormatting sqref="B7:E7 I7:J8 B8">
    <cfRule type="cellIs" dxfId="99" priority="101" operator="lessThan">
      <formula>-0.2</formula>
    </cfRule>
    <cfRule type="cellIs" dxfId="98" priority="102" operator="between">
      <formula>0</formula>
      <formula>0.1</formula>
    </cfRule>
    <cfRule type="cellIs" dxfId="97" priority="103" operator="between">
      <formula>0.1</formula>
      <formula>0.2</formula>
    </cfRule>
    <cfRule type="cellIs" dxfId="96" priority="104" operator="greaterThan">
      <formula>0.2</formula>
    </cfRule>
  </conditionalFormatting>
  <conditionalFormatting sqref="B7:E7 I7:J8 B8">
    <cfRule type="cellIs" dxfId="95" priority="99" operator="between">
      <formula>0</formula>
      <formula>-0.1</formula>
    </cfRule>
    <cfRule type="cellIs" dxfId="94" priority="100" operator="between">
      <formula>-0.1</formula>
      <formula>-0.2</formula>
    </cfRule>
  </conditionalFormatting>
  <conditionalFormatting sqref="C7 I7:J8 B8">
    <cfRule type="cellIs" dxfId="93" priority="98" operator="between">
      <formula>-0.1</formula>
      <formula>-0.2</formula>
    </cfRule>
  </conditionalFormatting>
  <conditionalFormatting sqref="D7">
    <cfRule type="cellIs" dxfId="92" priority="97" operator="between">
      <formula>-0.1</formula>
      <formula>-0.2</formula>
    </cfRule>
  </conditionalFormatting>
  <conditionalFormatting sqref="E7">
    <cfRule type="cellIs" dxfId="91" priority="96" operator="between">
      <formula>-0.1</formula>
      <formula>-0.2</formula>
    </cfRule>
  </conditionalFormatting>
  <conditionalFormatting sqref="H11">
    <cfRule type="cellIs" dxfId="90" priority="92" operator="lessThan">
      <formula>0</formula>
    </cfRule>
    <cfRule type="cellIs" dxfId="89" priority="93" operator="between">
      <formula>0</formula>
      <formula>0.5</formula>
    </cfRule>
    <cfRule type="cellIs" dxfId="88" priority="94" operator="between">
      <formula>0.5</formula>
      <formula>1</formula>
    </cfRule>
    <cfRule type="cellIs" dxfId="87" priority="95" operator="greaterThanOrEqual">
      <formula>1</formula>
    </cfRule>
  </conditionalFormatting>
  <conditionalFormatting sqref="H12:H14">
    <cfRule type="cellIs" dxfId="86" priority="88" operator="lessThan">
      <formula>0</formula>
    </cfRule>
    <cfRule type="cellIs" dxfId="85" priority="89" operator="between">
      <formula>0</formula>
      <formula>0.5</formula>
    </cfRule>
    <cfRule type="cellIs" dxfId="84" priority="90" operator="between">
      <formula>0.5</formula>
      <formula>1</formula>
    </cfRule>
    <cfRule type="cellIs" dxfId="83" priority="91" operator="greaterThanOrEqual">
      <formula>1</formula>
    </cfRule>
  </conditionalFormatting>
  <conditionalFormatting sqref="L11:L14">
    <cfRule type="cellIs" dxfId="82" priority="86" operator="lessThanOrEqual">
      <formula>0</formula>
    </cfRule>
    <cfRule type="cellIs" dxfId="81" priority="87" operator="greaterThan">
      <formula>0</formula>
    </cfRule>
  </conditionalFormatting>
  <conditionalFormatting sqref="N11:N14">
    <cfRule type="cellIs" dxfId="80" priority="82" operator="lessThan">
      <formula>-0.2</formula>
    </cfRule>
    <cfRule type="cellIs" dxfId="79" priority="83" operator="between">
      <formula>0</formula>
      <formula>0.1</formula>
    </cfRule>
    <cfRule type="cellIs" dxfId="78" priority="84" operator="between">
      <formula>0.1</formula>
      <formula>0.2</formula>
    </cfRule>
    <cfRule type="cellIs" dxfId="77" priority="85" operator="greaterThan">
      <formula>0.2</formula>
    </cfRule>
  </conditionalFormatting>
  <conditionalFormatting sqref="N11:N14">
    <cfRule type="cellIs" dxfId="76" priority="80" operator="between">
      <formula>0</formula>
      <formula>-0.1</formula>
    </cfRule>
    <cfRule type="cellIs" dxfId="75" priority="81" operator="between">
      <formula>-0.1</formula>
      <formula>-0.2</formula>
    </cfRule>
  </conditionalFormatting>
  <conditionalFormatting sqref="N11:N14">
    <cfRule type="cellIs" dxfId="74" priority="79" operator="between">
      <formula>-0.1</formula>
      <formula>-0.2</formula>
    </cfRule>
  </conditionalFormatting>
  <conditionalFormatting sqref="O11:O14">
    <cfRule type="cellIs" dxfId="73" priority="75" operator="lessThan">
      <formula>-0.2</formula>
    </cfRule>
    <cfRule type="cellIs" dxfId="72" priority="76" operator="between">
      <formula>0</formula>
      <formula>0.1</formula>
    </cfRule>
    <cfRule type="cellIs" dxfId="71" priority="77" operator="between">
      <formula>0.1</formula>
      <formula>0.2</formula>
    </cfRule>
    <cfRule type="cellIs" dxfId="70" priority="78" operator="greaterThan">
      <formula>0.2</formula>
    </cfRule>
  </conditionalFormatting>
  <conditionalFormatting sqref="O11:O14">
    <cfRule type="cellIs" dxfId="69" priority="73" operator="between">
      <formula>0</formula>
      <formula>-0.1</formula>
    </cfRule>
    <cfRule type="cellIs" dxfId="68" priority="74" operator="between">
      <formula>-0.1</formula>
      <formula>-0.2</formula>
    </cfRule>
  </conditionalFormatting>
  <conditionalFormatting sqref="O11:O14">
    <cfRule type="cellIs" dxfId="67" priority="72" operator="between">
      <formula>-0.1</formula>
      <formula>-0.2</formula>
    </cfRule>
  </conditionalFormatting>
  <conditionalFormatting sqref="B18:B21">
    <cfRule type="cellIs" dxfId="66" priority="68" operator="lessThan">
      <formula>-0.2</formula>
    </cfRule>
    <cfRule type="cellIs" dxfId="65" priority="69" operator="between">
      <formula>0</formula>
      <formula>0.1</formula>
    </cfRule>
    <cfRule type="cellIs" dxfId="64" priority="70" operator="between">
      <formula>0.1</formula>
      <formula>0.2</formula>
    </cfRule>
    <cfRule type="cellIs" dxfId="63" priority="71" operator="greaterThan">
      <formula>0.2</formula>
    </cfRule>
  </conditionalFormatting>
  <conditionalFormatting sqref="B18:B21">
    <cfRule type="cellIs" dxfId="62" priority="66" operator="between">
      <formula>0</formula>
      <formula>-0.1</formula>
    </cfRule>
    <cfRule type="cellIs" dxfId="61" priority="67" operator="between">
      <formula>-0.1</formula>
      <formula>-0.2</formula>
    </cfRule>
  </conditionalFormatting>
  <conditionalFormatting sqref="D18:E21">
    <cfRule type="cellIs" dxfId="60" priority="62" operator="lessThan">
      <formula>-0.2</formula>
    </cfRule>
    <cfRule type="cellIs" dxfId="59" priority="63" operator="between">
      <formula>0</formula>
      <formula>0.1</formula>
    </cfRule>
    <cfRule type="cellIs" dxfId="58" priority="64" operator="between">
      <formula>0.1</formula>
      <formula>0.2</formula>
    </cfRule>
    <cfRule type="cellIs" dxfId="57" priority="65" operator="greaterThan">
      <formula>0.2</formula>
    </cfRule>
  </conditionalFormatting>
  <conditionalFormatting sqref="D18:E21">
    <cfRule type="cellIs" dxfId="56" priority="60" operator="between">
      <formula>0</formula>
      <formula>-0.1</formula>
    </cfRule>
    <cfRule type="cellIs" dxfId="55" priority="61" operator="between">
      <formula>-0.1</formula>
      <formula>-0.2</formula>
    </cfRule>
  </conditionalFormatting>
  <conditionalFormatting sqref="C18:C21">
    <cfRule type="cellIs" dxfId="54" priority="56" operator="lessThan">
      <formula>-0.2</formula>
    </cfRule>
    <cfRule type="cellIs" dxfId="53" priority="57" operator="between">
      <formula>0</formula>
      <formula>0.1</formula>
    </cfRule>
    <cfRule type="cellIs" dxfId="52" priority="58" operator="between">
      <formula>0.1</formula>
      <formula>0.2</formula>
    </cfRule>
    <cfRule type="cellIs" dxfId="51" priority="59" operator="greaterThan">
      <formula>0.2</formula>
    </cfRule>
  </conditionalFormatting>
  <conditionalFormatting sqref="C18:C21">
    <cfRule type="cellIs" dxfId="50" priority="54" operator="between">
      <formula>0</formula>
      <formula>-0.1</formula>
    </cfRule>
    <cfRule type="cellIs" dxfId="49" priority="55" operator="between">
      <formula>-0.1</formula>
      <formula>-0.2</formula>
    </cfRule>
  </conditionalFormatting>
  <conditionalFormatting sqref="F18">
    <cfRule type="cellIs" dxfId="48" priority="47" operator="lessThan">
      <formula>0.1</formula>
    </cfRule>
    <cfRule type="cellIs" dxfId="47" priority="48" operator="between">
      <formula>0.1</formula>
      <formula>0.2</formula>
    </cfRule>
    <cfRule type="cellIs" dxfId="46" priority="49" operator="greaterThanOrEqual">
      <formula>0.2</formula>
    </cfRule>
  </conditionalFormatting>
  <conditionalFormatting sqref="F19:F21">
    <cfRule type="cellIs" dxfId="45" priority="44" operator="lessThan">
      <formula>0.1</formula>
    </cfRule>
    <cfRule type="cellIs" dxfId="44" priority="45" operator="between">
      <formula>0.1</formula>
      <formula>0.2</formula>
    </cfRule>
    <cfRule type="cellIs" dxfId="43" priority="46" operator="greaterThanOrEqual">
      <formula>0.2</formula>
    </cfRule>
  </conditionalFormatting>
  <conditionalFormatting sqref="M18:N21">
    <cfRule type="cellIs" dxfId="42" priority="40" operator="lessThan">
      <formula>-0.2</formula>
    </cfRule>
    <cfRule type="cellIs" dxfId="41" priority="41" operator="between">
      <formula>0</formula>
      <formula>0.1</formula>
    </cfRule>
    <cfRule type="cellIs" dxfId="40" priority="42" operator="between">
      <formula>0.1</formula>
      <formula>0.2</formula>
    </cfRule>
    <cfRule type="cellIs" dxfId="39" priority="43" operator="greaterThan">
      <formula>0.2</formula>
    </cfRule>
  </conditionalFormatting>
  <conditionalFormatting sqref="M18:N21">
    <cfRule type="cellIs" dxfId="38" priority="38" operator="between">
      <formula>0</formula>
      <formula>-0.1</formula>
    </cfRule>
    <cfRule type="cellIs" dxfId="37" priority="39" operator="between">
      <formula>-0.1</formula>
      <formula>-0.2</formula>
    </cfRule>
  </conditionalFormatting>
  <conditionalFormatting sqref="K7">
    <cfRule type="cellIs" dxfId="36" priority="36" operator="lessThan">
      <formula>0</formula>
    </cfRule>
    <cfRule type="cellIs" dxfId="35" priority="37" operator="greaterThan">
      <formula>0</formula>
    </cfRule>
  </conditionalFormatting>
  <conditionalFormatting sqref="L7:O7">
    <cfRule type="cellIs" dxfId="34" priority="34" operator="lessThan">
      <formula>0</formula>
    </cfRule>
    <cfRule type="cellIs" dxfId="33" priority="35" operator="greaterThan">
      <formula>0</formula>
    </cfRule>
  </conditionalFormatting>
  <conditionalFormatting sqref="P7">
    <cfRule type="expression" dxfId="32" priority="32">
      <formula>$P$7="Negative"</formula>
    </cfRule>
    <cfRule type="expression" dxfId="31" priority="33">
      <formula>$P$7="Positive"</formula>
    </cfRule>
  </conditionalFormatting>
  <conditionalFormatting sqref="Q7:R7">
    <cfRule type="expression" dxfId="30" priority="30">
      <formula>$P$7="Negative"</formula>
    </cfRule>
    <cfRule type="expression" dxfId="29" priority="31">
      <formula>$P$7="Positive"</formula>
    </cfRule>
  </conditionalFormatting>
  <conditionalFormatting sqref="S7">
    <cfRule type="cellIs" dxfId="28" priority="28" operator="lessThan">
      <formula>0</formula>
    </cfRule>
    <cfRule type="cellIs" dxfId="27" priority="29" operator="greaterThan">
      <formula>0</formula>
    </cfRule>
  </conditionalFormatting>
  <conditionalFormatting sqref="T7">
    <cfRule type="cellIs" dxfId="26" priority="26" operator="lessThan">
      <formula>0</formula>
    </cfRule>
    <cfRule type="cellIs" dxfId="25" priority="27" operator="greaterThan">
      <formula>0</formula>
    </cfRule>
  </conditionalFormatting>
  <conditionalFormatting sqref="X7:AD7">
    <cfRule type="cellIs" dxfId="24" priority="24" operator="lessThan">
      <formula>0</formula>
    </cfRule>
    <cfRule type="cellIs" dxfId="23" priority="25" operator="greaterThan">
      <formula>0</formula>
    </cfRule>
  </conditionalFormatting>
  <conditionalFormatting sqref="G18">
    <cfRule type="cellIs" dxfId="22" priority="19" operator="lessThan">
      <formula>0.15</formula>
    </cfRule>
    <cfRule type="cellIs" dxfId="21" priority="20" operator="between">
      <formula>0.15</formula>
      <formula>0.2</formula>
    </cfRule>
    <cfRule type="cellIs" dxfId="20" priority="21" operator="greaterThanOrEqual">
      <formula>0.2</formula>
    </cfRule>
  </conditionalFormatting>
  <conditionalFormatting sqref="G19:G21">
    <cfRule type="cellIs" dxfId="19" priority="16" operator="lessThan">
      <formula>0.15</formula>
    </cfRule>
    <cfRule type="cellIs" dxfId="18" priority="17" operator="between">
      <formula>0.15</formula>
      <formula>0.2</formula>
    </cfRule>
    <cfRule type="cellIs" dxfId="17" priority="18" operator="greaterThanOrEqual">
      <formula>0.2</formula>
    </cfRule>
  </conditionalFormatting>
  <conditionalFormatting sqref="H18:H19">
    <cfRule type="cellIs" dxfId="16" priority="13" operator="lessThan">
      <formula>0.15</formula>
    </cfRule>
    <cfRule type="cellIs" dxfId="15" priority="14" operator="between">
      <formula>0.15</formula>
      <formula>0.2</formula>
    </cfRule>
    <cfRule type="cellIs" dxfId="14" priority="15" operator="greaterThanOrEqual">
      <formula>0.2</formula>
    </cfRule>
  </conditionalFormatting>
  <conditionalFormatting sqref="I18:I21">
    <cfRule type="cellIs" dxfId="13" priority="10" operator="lessThan">
      <formula>0.15</formula>
    </cfRule>
    <cfRule type="cellIs" dxfId="12" priority="11" operator="between">
      <formula>0.15</formula>
      <formula>0.2</formula>
    </cfRule>
    <cfRule type="cellIs" dxfId="11" priority="12" operator="greaterThanOrEqual">
      <formula>0.2</formula>
    </cfRule>
  </conditionalFormatting>
  <conditionalFormatting sqref="J18:J21">
    <cfRule type="cellIs" dxfId="10" priority="7" operator="lessThan">
      <formula>0.06</formula>
    </cfRule>
    <cfRule type="cellIs" dxfId="9" priority="8" operator="between">
      <formula>0.06</formula>
      <formula>0.09</formula>
    </cfRule>
    <cfRule type="cellIs" dxfId="8" priority="9" operator="greaterThanOrEqual">
      <formula>0.09</formula>
    </cfRule>
  </conditionalFormatting>
  <conditionalFormatting sqref="K18:K21">
    <cfRule type="cellIs" dxfId="7" priority="4" operator="lessThan">
      <formula>0.15</formula>
    </cfRule>
    <cfRule type="cellIs" dxfId="6" priority="5" operator="between">
      <formula>0.15</formula>
      <formula>0.2</formula>
    </cfRule>
    <cfRule type="cellIs" dxfId="5" priority="6" operator="greaterThanOrEqual">
      <formula>0.2</formula>
    </cfRule>
  </conditionalFormatting>
  <conditionalFormatting sqref="L18:L21">
    <cfRule type="cellIs" dxfId="4" priority="1" operator="lessThan">
      <formula>0.15</formula>
    </cfRule>
    <cfRule type="cellIs" dxfId="3" priority="2" operator="between">
      <formula>0.15</formula>
      <formula>0.2</formula>
    </cfRule>
    <cfRule type="cellIs" dxfId="2" priority="3" operator="greaterThanOrEqual">
      <formula>0.2</formula>
    </cfRule>
  </conditionalFormatting>
  <conditionalFormatting sqref="P11:Q14">
    <cfRule type="expression" dxfId="1" priority="105">
      <formula>$P11&gt;=N11</formula>
    </cfRule>
    <cfRule type="expression" dxfId="0" priority="106">
      <formula>$P11&lt;N11</formula>
    </cfRule>
  </conditionalFormatting>
  <pageMargins left="0.7" right="0.7" top="0.75" bottom="0.75" header="0.51180555555555551" footer="0.51180555555555551"/>
  <pageSetup firstPageNumber="0" orientation="portrait" horizontalDpi="300" verticalDpi="300"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10"/>
  <sheetViews>
    <sheetView workbookViewId="0">
      <selection activeCell="C12" sqref="C12"/>
    </sheetView>
  </sheetViews>
  <sheetFormatPr defaultRowHeight="15" x14ac:dyDescent="0.25"/>
  <cols>
    <col min="1" max="1" width="29.7109375" bestFit="1" customWidth="1"/>
    <col min="2" max="2" width="10.42578125" customWidth="1"/>
    <col min="4" max="4" width="13.85546875" bestFit="1" customWidth="1"/>
    <col min="5" max="5" width="8.7109375" customWidth="1"/>
    <col min="6" max="6" width="10.140625" customWidth="1"/>
    <col min="7" max="7" width="8.5703125" customWidth="1"/>
    <col min="8" max="8" width="9.28515625" customWidth="1"/>
    <col min="9" max="9" width="13.85546875" bestFit="1" customWidth="1"/>
    <col min="10" max="10" width="8.7109375" customWidth="1"/>
    <col min="11" max="11" width="8.85546875" customWidth="1"/>
    <col min="12" max="13" width="1.140625" customWidth="1"/>
    <col min="14" max="14" width="33.42578125" customWidth="1"/>
    <col min="15" max="15" width="10.140625" customWidth="1"/>
    <col min="16" max="16" width="2.5703125" customWidth="1"/>
    <col min="17" max="17" width="24.85546875" bestFit="1" customWidth="1"/>
    <col min="18" max="18" width="13.7109375" customWidth="1"/>
  </cols>
  <sheetData>
    <row r="1" spans="1:19" ht="11.25" customHeight="1" x14ac:dyDescent="0.25">
      <c r="A1" s="373" t="str">
        <f>CONCATENATE('Data Sheet'!B1,"    : 3-Stage DCF")</f>
      </c>
      <c r="B1" s="374"/>
      <c r="C1" s="375"/>
      <c r="D1" s="260"/>
      <c r="E1" s="16"/>
      <c r="F1" s="16"/>
      <c r="G1" s="16"/>
      <c r="H1" s="16"/>
      <c r="I1" s="16"/>
      <c r="J1" s="16"/>
      <c r="K1" s="16"/>
      <c r="L1" s="16"/>
    </row>
    <row r="2" spans="1:19" ht="4.5" customHeight="1" thickBot="1" x14ac:dyDescent="0.3">
      <c r="A2" s="376"/>
      <c r="B2" s="377"/>
      <c r="C2" s="378"/>
      <c r="D2" s="260"/>
      <c r="M2" s="98"/>
    </row>
    <row r="3" spans="1:19" x14ac:dyDescent="0.25">
      <c r="A3" s="379" t="s">
        <v>522</v>
      </c>
      <c r="B3" s="379"/>
      <c r="C3" s="379"/>
      <c r="D3" s="380" t="s">
        <v>523</v>
      </c>
      <c r="E3" s="380"/>
      <c r="F3" s="103">
        <f>Analysis2!B24</f>
      </c>
      <c r="G3" s="261" t="s">
        <v>524</v>
      </c>
      <c r="H3" s="261"/>
      <c r="I3" s="262">
        <f>Analysis2!H14</f>
      </c>
      <c r="M3" s="98"/>
      <c r="N3" s="381" t="s">
        <v>525</v>
      </c>
      <c r="O3" s="382"/>
      <c r="P3" s="260"/>
      <c r="Q3" s="381" t="s">
        <v>526</v>
      </c>
      <c r="R3" s="382"/>
      <c r="S3" s="260"/>
    </row>
    <row r="4" spans="1:19" ht="15" customHeight="1" x14ac:dyDescent="0.25">
      <c r="A4" s="260" t="s">
        <v>527</v>
      </c>
      <c r="B4" s="108">
        <f>Analysis2!K13/3</f>
      </c>
      <c r="C4" s="260"/>
      <c r="D4" s="380" t="s">
        <v>528</v>
      </c>
      <c r="E4" s="380"/>
      <c r="F4" s="103">
        <f>AVERAGE('Financial Analysis'!E31:K31)</f>
      </c>
      <c r="G4" s="380" t="s">
        <v>529</v>
      </c>
      <c r="H4" s="380"/>
      <c r="I4" s="262">
        <f>Analysis2!H12</f>
      </c>
      <c r="M4" s="98"/>
      <c r="N4" s="263" t="s">
        <v>530</v>
      </c>
      <c r="O4" s="264">
        <f>(B45*B30)+B45</f>
      </c>
      <c r="P4" s="260"/>
      <c r="Q4" s="263" t="s">
        <v>530</v>
      </c>
      <c r="R4" s="264">
        <f>(G45*B31)+G45</f>
      </c>
      <c r="S4" s="260"/>
    </row>
    <row r="5" spans="1:19" x14ac:dyDescent="0.25">
      <c r="A5" s="265" t="s">
        <v>531</v>
      </c>
      <c r="B5" s="266">
        <f>'Financial Analysis'!N46</f>
      </c>
      <c r="C5" s="260"/>
      <c r="D5" s="380" t="s">
        <v>532</v>
      </c>
      <c r="E5" s="380"/>
      <c r="F5" s="86">
        <f>'Financial Analysis'!L78</f>
      </c>
      <c r="G5" s="380" t="s">
        <v>237</v>
      </c>
      <c r="H5" s="380"/>
      <c r="I5" s="304">
        <f>Other_input_data!L49</f>
      </c>
      <c r="J5" s="267"/>
      <c r="K5" s="267"/>
      <c r="L5" s="267"/>
      <c r="M5" s="267"/>
      <c r="N5" s="268" t="s">
        <v>533</v>
      </c>
      <c r="O5" s="264">
        <f>SUM(D36:D45)</f>
      </c>
      <c r="Q5" s="268" t="s">
        <v>533</v>
      </c>
      <c r="R5" s="264">
        <f>SUM(I36:I45)</f>
      </c>
    </row>
    <row r="6" spans="1:19" x14ac:dyDescent="0.25">
      <c r="A6" s="265" t="s">
        <v>534</v>
      </c>
      <c r="B6" s="269">
        <v>0.2</v>
      </c>
      <c r="C6" s="260"/>
      <c r="D6" s="380" t="s">
        <v>535</v>
      </c>
      <c r="E6" s="380"/>
      <c r="F6" s="305">
        <f>AVERAGE('Financial Analysis'!G78:K78)</f>
      </c>
      <c r="G6" s="380" t="s">
        <v>536</v>
      </c>
      <c r="H6" s="380"/>
      <c r="I6" s="270">
        <v>0.24</v>
      </c>
      <c r="N6" s="263" t="s">
        <v>537</v>
      </c>
      <c r="O6" s="264">
        <f>((O4)/($B$28-$B$30))/(1+$B$28)^A45</f>
      </c>
      <c r="Q6" s="263" t="s">
        <v>537</v>
      </c>
      <c r="R6" s="264">
        <f>((R4)/($B$29-$B$31))/(1+$B$29)^F45</f>
      </c>
    </row>
    <row r="7" spans="1:19" x14ac:dyDescent="0.25">
      <c r="A7" t="s">
        <v>538</v>
      </c>
      <c r="B7" s="83">
        <f>AVERAGE(Other_input_data!C23:L23)/AVERAGE(Other_input_data!C49:L49)</f>
      </c>
      <c r="C7" s="260"/>
      <c r="D7" s="380" t="s">
        <v>539</v>
      </c>
      <c r="E7" s="380"/>
      <c r="F7" s="111">
        <f>Analysis2!K14</f>
      </c>
      <c r="G7" s="380" t="s">
        <v>10</v>
      </c>
      <c r="H7" s="380"/>
      <c r="I7" s="262">
        <f>AVERAGE('Financial Analysis'!G24:K24)</f>
      </c>
      <c r="N7" s="263" t="s">
        <v>540</v>
      </c>
      <c r="O7" s="264">
        <f>O5+O6</f>
      </c>
      <c r="P7" s="260"/>
      <c r="Q7" s="263" t="s">
        <v>540</v>
      </c>
      <c r="R7" s="264">
        <f>R5+R6</f>
      </c>
    </row>
    <row r="8" spans="1:19" x14ac:dyDescent="0.25">
      <c r="A8" s="265"/>
      <c r="B8" s="271"/>
      <c r="C8" s="260"/>
      <c r="D8" s="380" t="s">
        <v>541</v>
      </c>
      <c r="E8" s="380"/>
      <c r="F8" s="103">
        <f>Analysis2!B21</f>
      </c>
      <c r="G8" s="380" t="s">
        <v>542</v>
      </c>
      <c r="H8" s="380"/>
      <c r="I8" s="103">
        <f>Analysis2!B19</f>
      </c>
      <c r="N8" s="263" t="s">
        <v>543</v>
      </c>
      <c r="O8" s="272">
        <f>B32</f>
      </c>
      <c r="P8" s="260"/>
      <c r="Q8" s="263" t="s">
        <v>543</v>
      </c>
      <c r="R8" s="272">
        <f>B32</f>
      </c>
    </row>
    <row r="9" spans="1:19" ht="15.75" thickBot="1" x14ac:dyDescent="0.3">
      <c r="A9" s="265"/>
      <c r="B9" s="271"/>
      <c r="C9" s="260"/>
      <c r="D9" s="261"/>
      <c r="E9" s="261"/>
      <c r="N9" s="273" t="s">
        <v>544</v>
      </c>
      <c r="O9" s="274">
        <f>(O7-B33)/O8</f>
      </c>
      <c r="P9" s="260"/>
      <c r="Q9" s="273" t="s">
        <v>544</v>
      </c>
      <c r="R9" s="274">
        <f>(R7-B33)/R8</f>
      </c>
    </row>
    <row r="10" spans="1:19" ht="13.5" customHeight="1" thickBot="1" x14ac:dyDescent="0.3">
      <c r="A10" s="275" t="s">
        <v>545</v>
      </c>
      <c r="B10" s="276">
        <v>1</v>
      </c>
      <c r="C10" s="276">
        <v>2</v>
      </c>
      <c r="D10" s="277">
        <v>3</v>
      </c>
      <c r="E10" s="278">
        <v>4</v>
      </c>
      <c r="F10" s="278">
        <v>5</v>
      </c>
      <c r="G10" s="278">
        <v>6</v>
      </c>
      <c r="H10" s="278">
        <v>7</v>
      </c>
      <c r="I10" s="278">
        <v>8</v>
      </c>
      <c r="J10" s="278">
        <v>9</v>
      </c>
      <c r="K10" s="278">
        <v>10</v>
      </c>
      <c r="N10" s="279" t="s">
        <v>546</v>
      </c>
      <c r="O10" s="280">
        <f>O5/O7</f>
      </c>
      <c r="P10" s="106"/>
      <c r="Q10" s="279" t="s">
        <v>546</v>
      </c>
      <c r="R10" s="280">
        <f>R5/R7</f>
      </c>
      <c r="S10" s="260"/>
    </row>
    <row r="11" spans="1:19" ht="13.5" customHeight="1" x14ac:dyDescent="0.25">
      <c r="A11" s="275" t="s">
        <v>166</v>
      </c>
      <c r="B11" s="269">
        <v>0.1</v>
      </c>
      <c r="C11" s="269">
        <v>0.1</v>
      </c>
      <c r="D11" s="269">
        <v>0.06</v>
      </c>
      <c r="E11" s="269">
        <v>0.04</v>
      </c>
      <c r="F11" s="269">
        <v>0.04</v>
      </c>
      <c r="G11" s="269">
        <v>0.04</v>
      </c>
      <c r="H11" s="269">
        <v>0.02</v>
      </c>
      <c r="I11" s="269">
        <v>0.02</v>
      </c>
      <c r="J11" s="269">
        <v>0.02</v>
      </c>
      <c r="K11" s="269">
        <v>0.02</v>
      </c>
      <c r="N11" s="279" t="s">
        <v>547</v>
      </c>
      <c r="O11" s="280">
        <f>O6/O7</f>
      </c>
      <c r="P11" s="106"/>
      <c r="Q11" s="279" t="s">
        <v>547</v>
      </c>
      <c r="R11" s="280">
        <f>R6/R7</f>
      </c>
      <c r="S11" s="260"/>
    </row>
    <row r="12" spans="1:19" ht="13.5" customHeight="1" x14ac:dyDescent="0.25">
      <c r="A12" s="275" t="s">
        <v>548</v>
      </c>
      <c r="B12" s="281">
        <f>'Data Sheet'!K17*(1+B11)</f>
      </c>
      <c r="C12" s="281">
        <f>B12*(1+C11)</f>
      </c>
      <c r="D12" s="281">
        <f t="shared" ref="D12:K12" si="0">C12*(1+D11)</f>
      </c>
      <c r="E12" s="281">
        <f t="shared" si="0"/>
      </c>
      <c r="F12" s="281">
        <f t="shared" si="0"/>
      </c>
      <c r="G12" s="281">
        <f t="shared" si="0"/>
      </c>
      <c r="H12" s="281">
        <f t="shared" si="0"/>
      </c>
      <c r="I12" s="281">
        <f t="shared" si="0"/>
      </c>
      <c r="J12" s="281">
        <f t="shared" si="0"/>
      </c>
      <c r="K12" s="281">
        <f t="shared" si="0"/>
      </c>
      <c r="S12" s="260"/>
    </row>
    <row r="13" spans="1:19" ht="13.5" customHeight="1" x14ac:dyDescent="0.25">
      <c r="A13" s="275" t="s">
        <v>202</v>
      </c>
      <c r="B13" s="282">
        <v>7.2999999999999995E-2</v>
      </c>
      <c r="C13" s="282">
        <v>7.2999999999999995E-2</v>
      </c>
      <c r="D13" s="282">
        <v>7.2999999999999995E-2</v>
      </c>
      <c r="E13" s="282">
        <v>7.2999999999999995E-2</v>
      </c>
      <c r="F13" s="282">
        <v>7.2999999999999995E-2</v>
      </c>
      <c r="G13" s="282">
        <v>7.2999999999999995E-2</v>
      </c>
      <c r="H13" s="282">
        <v>7.2999999999999995E-2</v>
      </c>
      <c r="I13" s="282">
        <v>7.2999999999999995E-2</v>
      </c>
      <c r="J13" s="282">
        <v>7.2999999999999995E-2</v>
      </c>
      <c r="K13" s="282">
        <v>7.2999999999999995E-2</v>
      </c>
      <c r="N13" s="314" t="s">
        <v>591</v>
      </c>
      <c r="O13" s="267">
        <f>'Data Sheet'!B8</f>
      </c>
      <c r="Q13" s="314" t="s">
        <v>591</v>
      </c>
      <c r="R13" s="315">
        <f>'Data Sheet'!B8</f>
      </c>
    </row>
    <row r="14" spans="1:19" ht="13.5" customHeight="1" x14ac:dyDescent="0.25">
      <c r="A14" s="275" t="s">
        <v>116</v>
      </c>
      <c r="B14" s="283">
        <f>B12*B13</f>
      </c>
      <c r="C14" s="283">
        <f t="shared" ref="C14:K14" si="1">C12*C13</f>
      </c>
      <c r="D14" s="283">
        <f t="shared" si="1"/>
      </c>
      <c r="E14" s="283">
        <f t="shared" si="1"/>
      </c>
      <c r="F14" s="283">
        <f t="shared" si="1"/>
      </c>
      <c r="G14" s="283">
        <f t="shared" si="1"/>
      </c>
      <c r="H14" s="283">
        <f t="shared" si="1"/>
      </c>
      <c r="I14" s="283">
        <f t="shared" si="1"/>
      </c>
      <c r="J14" s="283">
        <f t="shared" si="1"/>
      </c>
      <c r="K14" s="283">
        <f t="shared" si="1"/>
      </c>
    </row>
    <row r="15" spans="1:19" ht="13.5" customHeight="1" x14ac:dyDescent="0.25">
      <c r="A15" s="275" t="s">
        <v>304</v>
      </c>
      <c r="B15" s="283">
        <f t="shared" ref="B15:K15" si="2">MIN($I$3,$I$4)*B14</f>
      </c>
      <c r="C15" s="283">
        <f t="shared" si="2"/>
      </c>
      <c r="D15" s="283">
        <f t="shared" si="2"/>
      </c>
      <c r="E15" s="283">
        <f t="shared" si="2"/>
      </c>
      <c r="F15" s="283">
        <f t="shared" si="2"/>
      </c>
      <c r="G15" s="283">
        <f t="shared" si="2"/>
      </c>
      <c r="H15" s="283">
        <f t="shared" si="2"/>
      </c>
      <c r="I15" s="283">
        <f t="shared" si="2"/>
      </c>
      <c r="J15" s="283">
        <f t="shared" si="2"/>
      </c>
      <c r="K15" s="283">
        <f t="shared" si="2"/>
      </c>
      <c r="N15" s="316" t="s">
        <v>596</v>
      </c>
      <c r="O15" s="318">
        <f>(O9-O13)/O9</f>
      </c>
      <c r="Q15" s="316" t="s">
        <v>597</v>
      </c>
      <c r="R15" s="318">
        <f>(R9-R13)/R9</f>
      </c>
    </row>
    <row r="16" spans="1:19" ht="13.5" customHeight="1" x14ac:dyDescent="0.25">
      <c r="A16" s="275" t="s">
        <v>237</v>
      </c>
      <c r="B16" s="283">
        <f>I5*(1-I7)</f>
      </c>
      <c r="C16" s="283">
        <f>(B16+B21)*(1-$I$7)</f>
      </c>
      <c r="D16" s="283">
        <f t="shared" ref="D16:K16" si="3">(C16+C21)*(1-$I$7)</f>
      </c>
      <c r="E16" s="283">
        <f t="shared" si="3"/>
      </c>
      <c r="F16" s="283">
        <f t="shared" si="3"/>
      </c>
      <c r="G16" s="283">
        <f t="shared" si="3"/>
      </c>
      <c r="H16" s="283">
        <f t="shared" si="3"/>
      </c>
      <c r="I16" s="283">
        <f t="shared" si="3"/>
      </c>
      <c r="J16" s="283">
        <f t="shared" si="3"/>
      </c>
      <c r="K16" s="283">
        <f t="shared" si="3"/>
      </c>
    </row>
    <row r="17" spans="1:18" ht="13.5" customHeight="1" x14ac:dyDescent="0.25">
      <c r="A17" s="275" t="s">
        <v>549</v>
      </c>
      <c r="B17" s="284">
        <f>AVERAGE($B$7*(B11/$I$8),$B$7)</f>
      </c>
      <c r="C17" s="284">
        <f t="shared" ref="C17:K17" si="4">AVERAGE($B$7*(C11/$I$8),$B$7)</f>
      </c>
      <c r="D17" s="284">
        <f t="shared" si="4"/>
      </c>
      <c r="E17" s="284">
        <f t="shared" si="4"/>
      </c>
      <c r="F17" s="284">
        <f t="shared" si="4"/>
      </c>
      <c r="G17" s="284">
        <f t="shared" si="4"/>
      </c>
      <c r="H17" s="284">
        <f t="shared" si="4"/>
      </c>
      <c r="I17" s="284">
        <f t="shared" si="4"/>
      </c>
      <c r="J17" s="284">
        <f t="shared" si="4"/>
      </c>
      <c r="K17" s="284">
        <f t="shared" si="4"/>
      </c>
      <c r="N17" t="str">
        <f>'PE Forecast'!D13</f>
      </c>
      <c r="O17" s="108">
        <f>'PE Forecast'!E13</f>
      </c>
      <c r="Q17" s="317" t="s">
        <v>593</v>
      </c>
      <c r="R17" s="318">
        <f>($O$20-O17)/$O$20</f>
      </c>
    </row>
    <row r="18" spans="1:18" ht="13.5" customHeight="1" x14ac:dyDescent="0.25">
      <c r="A18" s="275" t="s">
        <v>550</v>
      </c>
      <c r="B18" s="285">
        <v>-0.4</v>
      </c>
      <c r="C18" s="285">
        <v>-0.4</v>
      </c>
      <c r="D18" s="285">
        <v>-0.6</v>
      </c>
      <c r="E18" s="285">
        <v>0</v>
      </c>
      <c r="F18" s="285">
        <v>0</v>
      </c>
      <c r="G18" s="285">
        <v>0.5</v>
      </c>
      <c r="H18" s="285">
        <v>2.1</v>
      </c>
      <c r="I18" s="285">
        <v>-0.4</v>
      </c>
      <c r="J18" s="285">
        <v>-0.4</v>
      </c>
      <c r="K18" s="285">
        <v>-0.6</v>
      </c>
      <c r="N18" t="str">
        <f>'PE Forecast'!D14</f>
      </c>
      <c r="O18" s="108">
        <f>'PE Forecast'!E14</f>
      </c>
      <c r="Q18" s="317" t="s">
        <v>594</v>
      </c>
      <c r="R18" s="318">
        <f>($O$20-O18)/$O$20</f>
      </c>
    </row>
    <row r="19" spans="1:18" ht="13.5" customHeight="1" x14ac:dyDescent="0.25">
      <c r="A19" s="275" t="s">
        <v>551</v>
      </c>
      <c r="B19" s="286">
        <f>B17*B18</f>
      </c>
      <c r="C19" s="286">
        <f t="shared" ref="C19:K19" si="5">C17*C18</f>
      </c>
      <c r="D19" s="286">
        <f t="shared" si="5"/>
      </c>
      <c r="E19" s="286">
        <f t="shared" si="5"/>
      </c>
      <c r="F19" s="286">
        <f t="shared" si="5"/>
      </c>
      <c r="G19" s="286">
        <f t="shared" si="5"/>
      </c>
      <c r="H19" s="286">
        <f t="shared" si="5"/>
      </c>
      <c r="I19" s="286">
        <f t="shared" si="5"/>
      </c>
      <c r="J19" s="286">
        <f t="shared" si="5"/>
      </c>
      <c r="K19" s="286">
        <f t="shared" si="5"/>
      </c>
      <c r="N19" t="str">
        <f>'PE Forecast'!D15</f>
      </c>
      <c r="O19" s="108">
        <f>'PE Forecast'!E15</f>
      </c>
      <c r="Q19" s="317" t="s">
        <v>595</v>
      </c>
      <c r="R19" s="318">
        <f>($O$20-O19)/$O$20</f>
      </c>
    </row>
    <row r="20" spans="1:18" ht="13.5" customHeight="1" x14ac:dyDescent="0.25">
      <c r="A20" s="275" t="s">
        <v>552</v>
      </c>
      <c r="B20" s="286">
        <f>B17+B19</f>
      </c>
      <c r="C20" s="286">
        <f t="shared" ref="C20:K20" si="6">C17+C19</f>
      </c>
      <c r="D20" s="286">
        <f t="shared" si="6"/>
      </c>
      <c r="E20" s="286">
        <f t="shared" si="6"/>
      </c>
      <c r="F20" s="286">
        <f t="shared" si="6"/>
      </c>
      <c r="G20" s="286">
        <f t="shared" si="6"/>
      </c>
      <c r="H20" s="286">
        <f t="shared" si="6"/>
      </c>
      <c r="I20" s="286">
        <f t="shared" si="6"/>
      </c>
      <c r="J20" s="286">
        <f t="shared" si="6"/>
      </c>
      <c r="K20" s="286">
        <f t="shared" si="6"/>
      </c>
      <c r="N20" t="s">
        <v>592</v>
      </c>
      <c r="O20" s="107">
        <f>Analysis2!B5</f>
      </c>
      <c r="P20" s="106"/>
      <c r="R20" s="106"/>
    </row>
    <row r="21" spans="1:18" ht="13.5" customHeight="1" x14ac:dyDescent="0.25">
      <c r="A21" s="275" t="s">
        <v>222</v>
      </c>
      <c r="B21" s="283">
        <f>B20*B16</f>
      </c>
      <c r="C21" s="283">
        <f t="shared" ref="C21:K21" si="7">C20*C16</f>
      </c>
      <c r="D21" s="283">
        <f t="shared" si="7"/>
      </c>
      <c r="E21" s="283">
        <f t="shared" si="7"/>
      </c>
      <c r="F21" s="283">
        <f t="shared" si="7"/>
      </c>
      <c r="G21" s="283">
        <f t="shared" si="7"/>
      </c>
      <c r="H21" s="283">
        <f t="shared" si="7"/>
      </c>
      <c r="I21" s="283">
        <f t="shared" si="7"/>
      </c>
      <c r="J21" s="283">
        <f t="shared" si="7"/>
      </c>
      <c r="K21" s="283">
        <f t="shared" si="7"/>
      </c>
      <c r="P21" s="106"/>
      <c r="Q21" s="320" t="s">
        <v>598</v>
      </c>
      <c r="R21" s="107">
        <f>'Data Sheet'!B9/('Data Sheet'!K57+'Data Sheet'!K58)</f>
      </c>
    </row>
    <row r="22" spans="1:18" ht="13.5" customHeight="1" x14ac:dyDescent="0.25">
      <c r="A22" s="275" t="s">
        <v>553</v>
      </c>
      <c r="B22" s="287">
        <v>0</v>
      </c>
      <c r="C22" s="287">
        <v>0</v>
      </c>
      <c r="D22" s="287">
        <v>0</v>
      </c>
      <c r="E22" s="287">
        <v>0.1</v>
      </c>
      <c r="F22" s="287">
        <v>0</v>
      </c>
      <c r="G22" s="287">
        <v>0</v>
      </c>
      <c r="H22" s="287">
        <v>0</v>
      </c>
      <c r="I22" s="287">
        <v>0.1</v>
      </c>
      <c r="J22" s="287">
        <v>0</v>
      </c>
      <c r="K22" s="287">
        <v>0</v>
      </c>
      <c r="N22" s="323" t="s">
        <v>604</v>
      </c>
      <c r="O22" s="324">
        <v>1.2</v>
      </c>
      <c r="P22" s="106"/>
      <c r="Q22" s="320" t="s">
        <v>599</v>
      </c>
      <c r="R22" s="319">
        <f>Analysis2!C5</f>
      </c>
    </row>
    <row r="23" spans="1:18" ht="13.5" customHeight="1" x14ac:dyDescent="0.25">
      <c r="A23" s="275" t="s">
        <v>400</v>
      </c>
      <c r="B23" s="283">
        <f>B14*($F$5*(1+B22))</f>
      </c>
      <c r="C23" s="283">
        <f t="shared" ref="C23:K23" si="8">C14*($F$5*(1+C22))</f>
      </c>
      <c r="D23" s="283">
        <f t="shared" si="8"/>
      </c>
      <c r="E23" s="283">
        <f t="shared" si="8"/>
      </c>
      <c r="F23" s="283">
        <f t="shared" si="8"/>
      </c>
      <c r="G23" s="283">
        <f t="shared" si="8"/>
      </c>
      <c r="H23" s="283">
        <f t="shared" si="8"/>
      </c>
      <c r="I23" s="283">
        <f t="shared" si="8"/>
      </c>
      <c r="J23" s="283">
        <f t="shared" si="8"/>
      </c>
      <c r="K23" s="283">
        <f t="shared" si="8"/>
      </c>
      <c r="N23" s="323" t="s">
        <v>605</v>
      </c>
      <c r="O23" s="324">
        <v>1</v>
      </c>
      <c r="P23" s="106"/>
      <c r="Q23" t="s">
        <v>601</v>
      </c>
      <c r="R23" s="83">
        <f>(('Data Sheet'!K57+'Data Sheet'!K58)-('Data Sheet'!J57+'Data Sheet'!J58))/('Data Sheet'!J57+'Data Sheet'!J58)</f>
      </c>
    </row>
    <row r="24" spans="1:18" ht="13.5" customHeight="1" x14ac:dyDescent="0.25">
      <c r="A24" s="275" t="s">
        <v>554</v>
      </c>
      <c r="B24" s="283">
        <f>B15-B21</f>
      </c>
      <c r="C24" s="283">
        <f t="shared" ref="C24:K24" si="9">C15-C21</f>
      </c>
      <c r="D24" s="283">
        <f t="shared" si="9"/>
      </c>
      <c r="E24" s="283">
        <f t="shared" si="9"/>
      </c>
      <c r="F24" s="283">
        <f t="shared" si="9"/>
      </c>
      <c r="G24" s="283">
        <f t="shared" si="9"/>
      </c>
      <c r="H24" s="283">
        <f t="shared" si="9"/>
      </c>
      <c r="I24" s="283">
        <f t="shared" si="9"/>
      </c>
      <c r="J24" s="283">
        <f t="shared" si="9"/>
      </c>
      <c r="K24" s="283">
        <f t="shared" si="9"/>
      </c>
      <c r="N24" s="323" t="s">
        <v>606</v>
      </c>
      <c r="O24" s="324">
        <v>0.7</v>
      </c>
      <c r="P24" s="106"/>
      <c r="Q24" t="s">
        <v>603</v>
      </c>
      <c r="R24" s="321">
        <f>'Data Sheet'!B9/(('Data Sheet'!K57+'Data Sheet'!K58)*(1+R23))</f>
      </c>
    </row>
    <row r="25" spans="1:18" ht="13.5" customHeight="1" x14ac:dyDescent="0.25">
      <c r="A25" s="275" t="s">
        <v>555</v>
      </c>
      <c r="B25" s="283">
        <f t="shared" ref="B25:K25" si="10">B24*(1-$B$6)</f>
      </c>
      <c r="C25" s="283">
        <f t="shared" si="10"/>
      </c>
      <c r="D25" s="283">
        <f t="shared" si="10"/>
      </c>
      <c r="E25" s="283">
        <f t="shared" si="10"/>
      </c>
      <c r="F25" s="283">
        <f t="shared" si="10"/>
      </c>
      <c r="G25" s="283">
        <f t="shared" si="10"/>
      </c>
      <c r="H25" s="283">
        <f t="shared" si="10"/>
      </c>
      <c r="I25" s="283">
        <f t="shared" si="10"/>
      </c>
      <c r="J25" s="283">
        <f t="shared" si="10"/>
      </c>
      <c r="K25" s="283">
        <f t="shared" si="10"/>
      </c>
      <c r="P25" s="106"/>
    </row>
    <row r="26" spans="1:18" x14ac:dyDescent="0.25">
      <c r="A26" s="265" t="s">
        <v>556</v>
      </c>
      <c r="B26" s="266">
        <f>(B24-F7)/F7</f>
      </c>
      <c r="C26" s="266">
        <f>(C24-B24)/B24</f>
      </c>
      <c r="D26" s="266">
        <f t="shared" ref="D26:K27" si="11">(D24-C24)/C24</f>
      </c>
      <c r="E26" s="266">
        <f t="shared" si="11"/>
      </c>
      <c r="F26" s="266">
        <f t="shared" si="11"/>
      </c>
      <c r="G26" s="266">
        <f t="shared" si="11"/>
      </c>
      <c r="H26" s="266">
        <f t="shared" si="11"/>
      </c>
      <c r="I26" s="266">
        <f t="shared" si="11"/>
      </c>
      <c r="J26" s="266">
        <f t="shared" si="11"/>
      </c>
      <c r="K26" s="266">
        <f t="shared" si="11"/>
      </c>
      <c r="P26" s="106"/>
      <c r="Q26" s="317" t="s">
        <v>600</v>
      </c>
      <c r="R26" s="322">
        <f>(R22-R21)/R22</f>
      </c>
    </row>
    <row r="27" spans="1:18" x14ac:dyDescent="0.25">
      <c r="A27" s="265" t="s">
        <v>557</v>
      </c>
      <c r="B27" s="266">
        <f>(B25-$F$7)/$F$7</f>
      </c>
      <c r="C27" s="266">
        <f>(C25-B25)/B25</f>
      </c>
      <c r="D27" s="266">
        <f t="shared" si="11"/>
      </c>
      <c r="E27" s="266">
        <f t="shared" si="11"/>
      </c>
      <c r="F27" s="266">
        <f t="shared" si="11"/>
      </c>
      <c r="G27" s="266">
        <f t="shared" si="11"/>
      </c>
      <c r="H27" s="266">
        <f t="shared" si="11"/>
      </c>
      <c r="I27" s="266">
        <f t="shared" si="11"/>
      </c>
      <c r="J27" s="266">
        <f t="shared" si="11"/>
      </c>
      <c r="K27" s="266">
        <f t="shared" si="11"/>
      </c>
      <c r="P27" s="106"/>
      <c r="Q27" s="317" t="s">
        <v>602</v>
      </c>
      <c r="R27" s="322">
        <f>(R22-R24)/R22</f>
      </c>
    </row>
    <row r="28" spans="1:18" x14ac:dyDescent="0.25">
      <c r="A28" s="265" t="s">
        <v>558</v>
      </c>
      <c r="B28" s="269">
        <v>0.1</v>
      </c>
      <c r="C28" s="288"/>
      <c r="D28" s="288"/>
    </row>
    <row r="29" spans="1:18" x14ac:dyDescent="0.25">
      <c r="A29" s="265" t="s">
        <v>559</v>
      </c>
      <c r="B29" s="269">
        <v>0.1</v>
      </c>
      <c r="C29" s="288"/>
      <c r="D29" s="288"/>
    </row>
    <row r="30" spans="1:18" x14ac:dyDescent="0.25">
      <c r="A30" s="265" t="s">
        <v>560</v>
      </c>
      <c r="B30" s="269">
        <v>0.02</v>
      </c>
      <c r="C30" s="288"/>
      <c r="D30" s="288"/>
      <c r="M30" s="87"/>
    </row>
    <row r="31" spans="1:18" x14ac:dyDescent="0.25">
      <c r="A31" s="265" t="s">
        <v>561</v>
      </c>
      <c r="B31" s="269">
        <v>0</v>
      </c>
      <c r="C31" s="288"/>
      <c r="D31" s="288"/>
      <c r="M31" s="87"/>
    </row>
    <row r="32" spans="1:18" x14ac:dyDescent="0.25">
      <c r="A32" s="265" t="s">
        <v>562</v>
      </c>
      <c r="B32" s="289">
        <f>'Data Sheet'!B6</f>
      </c>
      <c r="C32" s="260"/>
      <c r="D32" s="260"/>
      <c r="M32" s="98"/>
    </row>
    <row r="33" spans="1:13" x14ac:dyDescent="0.25">
      <c r="A33" s="290" t="s">
        <v>563</v>
      </c>
      <c r="B33" s="289">
        <f>'Data Sheet'!K59-'Data Sheet'!K64</f>
      </c>
      <c r="C33" s="260"/>
      <c r="D33" s="260"/>
      <c r="M33" s="98"/>
    </row>
    <row r="34" spans="1:13" ht="18" customHeight="1" thickBot="1" x14ac:dyDescent="0.3">
      <c r="A34" s="383" t="s">
        <v>525</v>
      </c>
      <c r="B34" s="383"/>
      <c r="C34" s="383"/>
      <c r="D34" s="383"/>
      <c r="F34" s="383" t="s">
        <v>564</v>
      </c>
      <c r="G34" s="383"/>
      <c r="H34" s="383"/>
      <c r="I34" s="383"/>
    </row>
    <row r="35" spans="1:13" x14ac:dyDescent="0.25">
      <c r="A35" s="291" t="s">
        <v>565</v>
      </c>
      <c r="B35" s="292" t="s">
        <v>305</v>
      </c>
      <c r="C35" s="292" t="s">
        <v>566</v>
      </c>
      <c r="D35" s="293" t="s">
        <v>567</v>
      </c>
      <c r="F35" s="291" t="s">
        <v>565</v>
      </c>
      <c r="G35" s="292" t="s">
        <v>305</v>
      </c>
      <c r="H35" s="292" t="s">
        <v>566</v>
      </c>
      <c r="I35" s="293" t="s">
        <v>567</v>
      </c>
    </row>
    <row r="36" spans="1:13" x14ac:dyDescent="0.25">
      <c r="A36" s="294">
        <v>1</v>
      </c>
      <c r="B36" s="295">
        <f>B24+B23</f>
      </c>
      <c r="C36" s="296">
        <f>B26</f>
      </c>
      <c r="D36" s="297">
        <f>B36/((1+$B$28)^A36)</f>
      </c>
      <c r="F36" s="294">
        <v>1</v>
      </c>
      <c r="G36" s="295">
        <f>B25+B23</f>
      </c>
      <c r="H36" s="296">
        <f>B27</f>
      </c>
      <c r="I36" s="297">
        <f>G36/((1+$B$29)^F36)</f>
      </c>
    </row>
    <row r="37" spans="1:13" x14ac:dyDescent="0.25">
      <c r="A37" s="294">
        <v>2</v>
      </c>
      <c r="B37" s="295">
        <f>C24+C23</f>
      </c>
      <c r="C37" s="296">
        <f>(B37-B36)/B36</f>
      </c>
      <c r="D37" s="297">
        <f t="shared" ref="D37:D45" si="12">B37/((1+$B$28)^A37)</f>
      </c>
      <c r="F37" s="294">
        <v>2</v>
      </c>
      <c r="G37" s="295">
        <f>C25+C23</f>
      </c>
      <c r="H37" s="296">
        <f>(G37-G36)/G36</f>
      </c>
      <c r="I37" s="297">
        <f>G37/((1+$B$29)^F37)</f>
      </c>
    </row>
    <row r="38" spans="1:13" x14ac:dyDescent="0.25">
      <c r="A38" s="294">
        <v>3</v>
      </c>
      <c r="B38" s="295">
        <f>D24+D23</f>
      </c>
      <c r="C38" s="296">
        <f t="shared" ref="C38:C45" si="13">(B38-B37)/B37</f>
      </c>
      <c r="D38" s="297">
        <f t="shared" si="12"/>
      </c>
      <c r="F38" s="294">
        <v>3</v>
      </c>
      <c r="G38" s="295">
        <f>D25+D23</f>
      </c>
      <c r="H38" s="296">
        <f t="shared" ref="H38:H45" si="14">(G38-G37)/G37</f>
      </c>
      <c r="I38" s="297">
        <f>G38/((1+$B$29)^F38)</f>
      </c>
    </row>
    <row r="39" spans="1:13" x14ac:dyDescent="0.25">
      <c r="A39" s="294">
        <v>4</v>
      </c>
      <c r="B39" s="295">
        <f>E24+E23</f>
      </c>
      <c r="C39" s="296">
        <f t="shared" si="13"/>
      </c>
      <c r="D39" s="297">
        <f t="shared" si="12"/>
      </c>
      <c r="F39" s="294">
        <v>4</v>
      </c>
      <c r="G39" s="295">
        <f>E25+E23</f>
      </c>
      <c r="H39" s="296">
        <f t="shared" si="14"/>
      </c>
      <c r="I39" s="297">
        <f>G39/((1+$B$29)^F39)</f>
      </c>
    </row>
    <row r="40" spans="1:13" x14ac:dyDescent="0.25">
      <c r="A40" s="294">
        <v>5</v>
      </c>
      <c r="B40" s="295">
        <f>F24+F23</f>
      </c>
      <c r="C40" s="296">
        <f t="shared" si="13"/>
      </c>
      <c r="D40" s="297">
        <f t="shared" si="12"/>
      </c>
      <c r="F40" s="294">
        <v>5</v>
      </c>
      <c r="G40" s="295">
        <f>F25+F23</f>
      </c>
      <c r="H40" s="296">
        <f t="shared" si="14"/>
      </c>
      <c r="I40" s="297">
        <f>G40/((1+$B$29)^F40)</f>
      </c>
    </row>
    <row r="41" spans="1:13" x14ac:dyDescent="0.25">
      <c r="A41" s="294">
        <v>6</v>
      </c>
      <c r="B41" s="295">
        <f>G24+G23</f>
      </c>
      <c r="C41" s="296">
        <f t="shared" si="13"/>
      </c>
      <c r="D41" s="297">
        <f t="shared" si="12"/>
      </c>
      <c r="F41" s="294">
        <v>6</v>
      </c>
      <c r="G41" s="295">
        <f>G25+G23</f>
      </c>
      <c r="H41" s="296">
        <f t="shared" si="14"/>
      </c>
      <c r="I41" s="297">
        <f t="shared" ref="I41:I45" si="15">G41/((1+$B$29)^F41)</f>
      </c>
    </row>
    <row r="42" spans="1:13" x14ac:dyDescent="0.25">
      <c r="A42" s="294">
        <v>7</v>
      </c>
      <c r="B42" s="295">
        <f>H24+H23</f>
      </c>
      <c r="C42" s="296">
        <f t="shared" si="13"/>
      </c>
      <c r="D42" s="297">
        <f t="shared" si="12"/>
      </c>
      <c r="F42" s="294">
        <v>7</v>
      </c>
      <c r="G42" s="295">
        <f>H25+H23</f>
      </c>
      <c r="H42" s="296">
        <f t="shared" si="14"/>
      </c>
      <c r="I42" s="297">
        <f t="shared" si="15"/>
      </c>
    </row>
    <row r="43" spans="1:13" x14ac:dyDescent="0.25">
      <c r="A43" s="294">
        <v>8</v>
      </c>
      <c r="B43" s="295">
        <f>I24+I23</f>
      </c>
      <c r="C43" s="296">
        <f t="shared" si="13"/>
      </c>
      <c r="D43" s="297">
        <f t="shared" si="12"/>
      </c>
      <c r="F43" s="294">
        <v>8</v>
      </c>
      <c r="G43" s="295">
        <f>I25+I23</f>
      </c>
      <c r="H43" s="296">
        <f t="shared" si="14"/>
      </c>
      <c r="I43" s="297">
        <f t="shared" si="15"/>
      </c>
    </row>
    <row r="44" spans="1:13" x14ac:dyDescent="0.25">
      <c r="A44" s="294">
        <v>9</v>
      </c>
      <c r="B44" s="295">
        <f>J24+J23</f>
      </c>
      <c r="C44" s="296">
        <f t="shared" si="13"/>
      </c>
      <c r="D44" s="297">
        <f t="shared" si="12"/>
      </c>
      <c r="F44" s="294">
        <v>9</v>
      </c>
      <c r="G44" s="295">
        <f>J25+J23</f>
      </c>
      <c r="H44" s="296">
        <f t="shared" si="14"/>
      </c>
      <c r="I44" s="297">
        <f t="shared" si="15"/>
      </c>
    </row>
    <row r="45" spans="1:13" ht="15.75" thickBot="1" x14ac:dyDescent="0.3">
      <c r="A45" s="298">
        <v>10</v>
      </c>
      <c r="B45" s="295">
        <f>K24+K23</f>
      </c>
      <c r="C45" s="296">
        <f t="shared" si="13"/>
      </c>
      <c r="D45" s="299">
        <f t="shared" si="12"/>
      </c>
      <c r="F45" s="298">
        <v>10</v>
      </c>
      <c r="G45" s="300">
        <f>K25+K23</f>
      </c>
      <c r="H45" s="296">
        <f t="shared" si="14"/>
      </c>
      <c r="I45" s="297">
        <f t="shared" si="15"/>
      </c>
    </row>
    <row r="46" spans="1:13" ht="6.75" customHeight="1" x14ac:dyDescent="0.25">
      <c r="A46" s="260"/>
      <c r="B46" s="301"/>
      <c r="C46" s="302"/>
      <c r="D46" s="264"/>
    </row>
    <row r="47" spans="1:13" x14ac:dyDescent="0.25">
      <c r="D47" s="260"/>
    </row>
    <row r="48" spans="1:13" x14ac:dyDescent="0.25">
      <c r="D48" s="260"/>
    </row>
    <row r="49" spans="1:14" x14ac:dyDescent="0.25">
      <c r="D49" s="260"/>
    </row>
    <row r="50" spans="1:14" x14ac:dyDescent="0.25">
      <c r="D50" s="260"/>
    </row>
    <row r="51" spans="1:14" x14ac:dyDescent="0.25">
      <c r="D51" s="260"/>
    </row>
    <row r="52" spans="1:14" x14ac:dyDescent="0.25">
      <c r="D52" s="260"/>
      <c r="F52" s="267"/>
      <c r="N52" s="267"/>
    </row>
    <row r="53" spans="1:14" x14ac:dyDescent="0.25">
      <c r="D53" s="260"/>
      <c r="F53" s="267"/>
      <c r="N53" s="267"/>
    </row>
    <row r="54" spans="1:14" x14ac:dyDescent="0.25">
      <c r="C54" s="87"/>
    </row>
    <row r="55" spans="1:14" x14ac:dyDescent="0.25">
      <c r="C55" s="87"/>
    </row>
    <row r="56" spans="1:14" x14ac:dyDescent="0.25">
      <c r="C56" s="87"/>
    </row>
    <row r="57" spans="1:14" x14ac:dyDescent="0.25">
      <c r="C57" s="303"/>
    </row>
    <row r="58" spans="1:14" x14ac:dyDescent="0.25">
      <c r="A58" s="87">
        <v>0</v>
      </c>
      <c r="B58" s="87">
        <v>0</v>
      </c>
      <c r="C58" s="87"/>
    </row>
    <row r="59" spans="1:14" x14ac:dyDescent="0.25">
      <c r="A59" s="87">
        <v>0.01</v>
      </c>
      <c r="B59" s="87">
        <v>0.01</v>
      </c>
      <c r="C59" s="87"/>
    </row>
    <row r="60" spans="1:14" x14ac:dyDescent="0.25">
      <c r="A60" s="87">
        <v>0.02</v>
      </c>
      <c r="B60" s="87">
        <v>0.02</v>
      </c>
      <c r="C60" s="87"/>
    </row>
    <row r="61" spans="1:14" x14ac:dyDescent="0.25">
      <c r="A61" s="87">
        <v>0.03</v>
      </c>
      <c r="B61" s="87">
        <v>0.03</v>
      </c>
      <c r="C61" s="87"/>
    </row>
    <row r="62" spans="1:14" x14ac:dyDescent="0.25">
      <c r="A62" s="87">
        <v>0.04</v>
      </c>
      <c r="B62" s="87">
        <v>0.04</v>
      </c>
    </row>
    <row r="63" spans="1:14" x14ac:dyDescent="0.25">
      <c r="A63" s="87">
        <v>0.06</v>
      </c>
      <c r="B63" s="87">
        <v>0.05</v>
      </c>
    </row>
    <row r="64" spans="1:14" x14ac:dyDescent="0.25">
      <c r="A64" s="87">
        <v>0.08</v>
      </c>
      <c r="B64" s="87">
        <v>0.06</v>
      </c>
    </row>
    <row r="65" spans="1:2" x14ac:dyDescent="0.25">
      <c r="A65" s="87">
        <v>0.1</v>
      </c>
      <c r="B65" s="87">
        <v>7.0000000000000007E-2</v>
      </c>
    </row>
    <row r="66" spans="1:2" x14ac:dyDescent="0.25">
      <c r="A66" s="87">
        <v>0.12</v>
      </c>
      <c r="B66" s="87">
        <v>0.08</v>
      </c>
    </row>
    <row r="67" spans="1:2" x14ac:dyDescent="0.25">
      <c r="A67" s="87">
        <v>0.14000000000000001</v>
      </c>
      <c r="B67" s="87">
        <v>0.09</v>
      </c>
    </row>
    <row r="68" spans="1:2" x14ac:dyDescent="0.25">
      <c r="A68" s="87">
        <v>0.16</v>
      </c>
      <c r="B68" s="87">
        <v>0.1</v>
      </c>
    </row>
    <row r="69" spans="1:2" x14ac:dyDescent="0.25">
      <c r="A69" s="87">
        <v>0.18</v>
      </c>
      <c r="B69" s="87">
        <v>0.11</v>
      </c>
    </row>
    <row r="70" spans="1:2" x14ac:dyDescent="0.25">
      <c r="A70" s="87">
        <v>0.2</v>
      </c>
      <c r="B70" s="87">
        <v>0.12</v>
      </c>
    </row>
    <row r="71" spans="1:2" x14ac:dyDescent="0.25">
      <c r="A71" s="87">
        <v>0.22</v>
      </c>
      <c r="B71" s="87">
        <v>0.13</v>
      </c>
    </row>
    <row r="72" spans="1:2" x14ac:dyDescent="0.25">
      <c r="A72" s="87">
        <v>0.24</v>
      </c>
      <c r="B72" s="87">
        <v>0.14000000000000001</v>
      </c>
    </row>
    <row r="73" spans="1:2" x14ac:dyDescent="0.25">
      <c r="A73" s="87">
        <v>0.26</v>
      </c>
      <c r="B73" s="87">
        <v>0.15</v>
      </c>
    </row>
    <row r="74" spans="1:2" x14ac:dyDescent="0.25">
      <c r="A74" s="87">
        <v>0.28000000000000003</v>
      </c>
      <c r="B74" s="87">
        <v>0.16</v>
      </c>
    </row>
    <row r="75" spans="1:2" x14ac:dyDescent="0.25">
      <c r="A75" s="87">
        <v>0.3</v>
      </c>
      <c r="B75" s="87">
        <v>0.17</v>
      </c>
    </row>
    <row r="76" spans="1:2" x14ac:dyDescent="0.25">
      <c r="A76" s="87">
        <v>0.32</v>
      </c>
      <c r="B76" s="87">
        <v>0.18</v>
      </c>
    </row>
    <row r="77" spans="1:2" x14ac:dyDescent="0.25">
      <c r="A77" s="87">
        <v>0.34</v>
      </c>
      <c r="B77" s="87">
        <v>0.19</v>
      </c>
    </row>
    <row r="78" spans="1:2" x14ac:dyDescent="0.25">
      <c r="A78" s="87">
        <v>0.36</v>
      </c>
      <c r="B78" s="87">
        <v>0.2</v>
      </c>
    </row>
    <row r="79" spans="1:2" x14ac:dyDescent="0.25">
      <c r="A79" s="87">
        <v>0.38</v>
      </c>
      <c r="B79" s="87">
        <v>0.21</v>
      </c>
    </row>
    <row r="80" spans="1:2" x14ac:dyDescent="0.25">
      <c r="A80" s="87">
        <v>0.4</v>
      </c>
      <c r="B80" s="87">
        <v>0.22</v>
      </c>
    </row>
    <row r="81" spans="1:2" x14ac:dyDescent="0.25">
      <c r="A81" s="87">
        <v>0.42</v>
      </c>
      <c r="B81" s="87">
        <v>0.23</v>
      </c>
    </row>
    <row r="82" spans="1:2" x14ac:dyDescent="0.25">
      <c r="A82" s="87">
        <v>0.44</v>
      </c>
      <c r="B82" s="87">
        <v>0.24</v>
      </c>
    </row>
    <row r="83" spans="1:2" x14ac:dyDescent="0.25">
      <c r="A83" s="87">
        <v>0.46</v>
      </c>
      <c r="B83" s="87">
        <v>0.25</v>
      </c>
    </row>
    <row r="84" spans="1:2" x14ac:dyDescent="0.25">
      <c r="A84" s="87">
        <v>0.48</v>
      </c>
      <c r="B84" s="87">
        <v>0.26</v>
      </c>
    </row>
    <row r="85" spans="1:2" x14ac:dyDescent="0.25">
      <c r="A85" s="87">
        <v>0.5</v>
      </c>
      <c r="B85" s="87">
        <v>0.27</v>
      </c>
    </row>
    <row r="86" spans="1:2" x14ac:dyDescent="0.25">
      <c r="A86" s="87">
        <v>0.52</v>
      </c>
      <c r="B86" s="87">
        <v>0.28000000000000003</v>
      </c>
    </row>
    <row r="87" spans="1:2" x14ac:dyDescent="0.25">
      <c r="A87" s="87">
        <v>0.54</v>
      </c>
      <c r="B87" s="87">
        <v>0.28999999999999998</v>
      </c>
    </row>
    <row r="88" spans="1:2" x14ac:dyDescent="0.25">
      <c r="A88" s="87">
        <v>0.56000000000000005</v>
      </c>
      <c r="B88" s="87">
        <v>0.3</v>
      </c>
    </row>
    <row r="89" spans="1:2" x14ac:dyDescent="0.25">
      <c r="A89" s="87">
        <v>0.57999999999999996</v>
      </c>
      <c r="B89" s="87">
        <v>0.31</v>
      </c>
    </row>
    <row r="90" spans="1:2" x14ac:dyDescent="0.25">
      <c r="A90" s="87">
        <v>0.6</v>
      </c>
      <c r="B90" s="87">
        <v>0.32</v>
      </c>
    </row>
    <row r="91" spans="1:2" x14ac:dyDescent="0.25">
      <c r="A91" s="87">
        <v>0.62</v>
      </c>
      <c r="B91" s="87">
        <v>0.33</v>
      </c>
    </row>
    <row r="92" spans="1:2" x14ac:dyDescent="0.25">
      <c r="A92" s="87">
        <v>0.64</v>
      </c>
      <c r="B92" s="87">
        <v>0.34</v>
      </c>
    </row>
    <row r="93" spans="1:2" x14ac:dyDescent="0.25">
      <c r="A93" s="87">
        <v>0.66</v>
      </c>
      <c r="B93" s="87">
        <v>0.35</v>
      </c>
    </row>
    <row r="94" spans="1:2" x14ac:dyDescent="0.25">
      <c r="A94" s="87">
        <v>0.68</v>
      </c>
      <c r="B94" s="87">
        <v>0.36</v>
      </c>
    </row>
    <row r="95" spans="1:2" x14ac:dyDescent="0.25">
      <c r="A95" s="87">
        <v>0.7</v>
      </c>
      <c r="B95" s="87">
        <v>0.37</v>
      </c>
    </row>
    <row r="96" spans="1:2" x14ac:dyDescent="0.25">
      <c r="A96" s="87">
        <v>0.72</v>
      </c>
      <c r="B96" s="87">
        <v>0.38</v>
      </c>
    </row>
    <row r="97" spans="1:2" x14ac:dyDescent="0.25">
      <c r="A97" s="87">
        <v>0.74</v>
      </c>
      <c r="B97" s="87">
        <v>0.39</v>
      </c>
    </row>
    <row r="98" spans="1:2" x14ac:dyDescent="0.25">
      <c r="A98" s="87">
        <v>0.76</v>
      </c>
      <c r="B98" s="87">
        <v>0.4</v>
      </c>
    </row>
    <row r="99" spans="1:2" x14ac:dyDescent="0.25">
      <c r="A99" s="87">
        <v>0.78</v>
      </c>
      <c r="B99" s="87">
        <v>0.41</v>
      </c>
    </row>
    <row r="100" spans="1:2" x14ac:dyDescent="0.25">
      <c r="A100" s="87">
        <v>0.8</v>
      </c>
      <c r="B100" s="87">
        <v>0.42</v>
      </c>
    </row>
    <row r="101" spans="1:2" x14ac:dyDescent="0.25">
      <c r="A101" s="87">
        <v>0.82</v>
      </c>
      <c r="B101" s="87">
        <v>0.43</v>
      </c>
    </row>
    <row r="102" spans="1:2" x14ac:dyDescent="0.25">
      <c r="A102" s="87">
        <v>0.84</v>
      </c>
      <c r="B102" s="87">
        <v>0.44</v>
      </c>
    </row>
    <row r="103" spans="1:2" x14ac:dyDescent="0.25">
      <c r="A103" s="87">
        <v>0.86</v>
      </c>
      <c r="B103" s="87">
        <v>0.45</v>
      </c>
    </row>
    <row r="104" spans="1:2" x14ac:dyDescent="0.25">
      <c r="A104" s="87">
        <v>0.88</v>
      </c>
      <c r="B104" s="87">
        <v>0.46</v>
      </c>
    </row>
    <row r="105" spans="1:2" x14ac:dyDescent="0.25">
      <c r="A105" s="87">
        <v>0.9</v>
      </c>
      <c r="B105" s="87">
        <v>0.47</v>
      </c>
    </row>
    <row r="106" spans="1:2" x14ac:dyDescent="0.25">
      <c r="A106" s="87">
        <v>0.92</v>
      </c>
      <c r="B106" s="87">
        <v>0.48</v>
      </c>
    </row>
    <row r="107" spans="1:2" x14ac:dyDescent="0.25">
      <c r="A107" s="87">
        <v>0.94</v>
      </c>
      <c r="B107" s="87">
        <v>0.49</v>
      </c>
    </row>
    <row r="108" spans="1:2" x14ac:dyDescent="0.25">
      <c r="A108" s="87">
        <v>0.96000000000000096</v>
      </c>
      <c r="B108" s="87">
        <v>0.5</v>
      </c>
    </row>
    <row r="109" spans="1:2" x14ac:dyDescent="0.25">
      <c r="A109" s="87">
        <v>0.98000000000000098</v>
      </c>
    </row>
    <row r="110" spans="1:2" x14ac:dyDescent="0.25">
      <c r="A110" s="87">
        <v>1</v>
      </c>
    </row>
  </sheetData>
  <mergeCells count="17">
    <mergeCell ref="D4:E4"/>
    <mergeCell ref="G4:H4"/>
    <mergeCell ref="D8:E8"/>
    <mergeCell ref="G8:H8"/>
    <mergeCell ref="A34:D34"/>
    <mergeCell ref="F34:I34"/>
    <mergeCell ref="D5:E5"/>
    <mergeCell ref="G5:H5"/>
    <mergeCell ref="D6:E6"/>
    <mergeCell ref="G6:H6"/>
    <mergeCell ref="D7:E7"/>
    <mergeCell ref="G7:H7"/>
    <mergeCell ref="A1:C2"/>
    <mergeCell ref="A3:C3"/>
    <mergeCell ref="D3:E3"/>
    <mergeCell ref="N3:O3"/>
    <mergeCell ref="Q3:R3"/>
  </mergeCells>
  <dataValidations count="3">
    <dataValidation type="list" allowBlank="1" showInputMessage="1" showErrorMessage="1" sqref="B22:D22 F22:H22 J22:K22">
      <formula1>$B$58:$B$108</formula1>
    </dataValidation>
    <dataValidation type="list" allowBlank="1" showInputMessage="1" showErrorMessage="1" sqref="I22 E22">
      <formula1>$B$59:$B$108</formula1>
    </dataValidation>
    <dataValidation type="list" allowBlank="1" showInputMessage="1" showErrorMessage="1" sqref="B28:B29 B11:K11">
      <formula1>$A$59:$A$80</formula1>
    </dataValidation>
  </dataValidation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E1" sqref="E1:E3"/>
    </sheetView>
  </sheetViews>
  <sheetFormatPr defaultRowHeight="15" x14ac:dyDescent="0.25"/>
  <cols>
    <col min="1" max="1" width="30.42578125" customWidth="1"/>
    <col min="2" max="2" width="14.85546875" style="95" customWidth="1"/>
    <col min="3" max="3" width="4.7109375" customWidth="1"/>
    <col min="4" max="4" width="33.140625" bestFit="1" customWidth="1"/>
    <col min="6" max="6" width="4.28515625" customWidth="1"/>
    <col min="7" max="7" width="40.7109375" customWidth="1"/>
    <col min="8" max="8" width="13.140625" style="95" customWidth="1"/>
  </cols>
  <sheetData>
    <row r="1" spans="1:8" x14ac:dyDescent="0.25">
      <c r="A1" t="s">
        <v>212</v>
      </c>
      <c r="B1" s="95">
        <f>'Data Sheet'!B8</f>
      </c>
      <c r="D1" t="s">
        <v>578</v>
      </c>
      <c r="E1" s="95">
        <f>Valuation!O22</f>
      </c>
      <c r="G1" t="s">
        <v>580</v>
      </c>
      <c r="H1" s="108">
        <f>$B$4*(1+$B$5)*E1</f>
      </c>
    </row>
    <row r="2" spans="1:8" x14ac:dyDescent="0.25">
      <c r="A2" t="s">
        <v>572</v>
      </c>
      <c r="B2" s="312">
        <f>'Data Sheet'!K93</f>
      </c>
      <c r="D2" t="s">
        <v>579</v>
      </c>
      <c r="E2" s="95">
        <f>Valuation!O23</f>
      </c>
      <c r="G2" t="s">
        <v>581</v>
      </c>
      <c r="H2" s="108">
        <f t="shared" ref="H2:H3" si="0">$B$4*(1+$B$5)*E2</f>
      </c>
    </row>
    <row r="3" spans="1:8" x14ac:dyDescent="0.25">
      <c r="A3" t="s">
        <v>573</v>
      </c>
      <c r="B3" s="95">
        <f>('Data Sheet'!K49+'Data Sheet'!J49)</f>
      </c>
      <c r="D3" t="s">
        <v>577</v>
      </c>
      <c r="E3" s="95">
        <f>Valuation!O24</f>
      </c>
      <c r="G3" t="s">
        <v>582</v>
      </c>
      <c r="H3" s="108">
        <f t="shared" si="0"/>
      </c>
    </row>
    <row r="4" spans="1:8" x14ac:dyDescent="0.25">
      <c r="A4" t="s">
        <v>575</v>
      </c>
      <c r="B4" s="95">
        <f>'Data Sheet'!I49+'Data Sheet'!H49</f>
      </c>
    </row>
    <row r="5" spans="1:8" x14ac:dyDescent="0.25">
      <c r="A5" t="s">
        <v>574</v>
      </c>
      <c r="B5" s="103">
        <f>(('Data Sheet'!J49+'Data Sheet'!K49)-('Data Sheet'!F49+'Data Sheet'!G49))/('Data Sheet'!F49+'Data Sheet'!G49)</f>
      </c>
    </row>
    <row r="6" spans="1:8" x14ac:dyDescent="0.25">
      <c r="B6" s="108"/>
      <c r="G6" t="s">
        <v>583</v>
      </c>
      <c r="H6" s="108">
        <f>$B$3+H1</f>
      </c>
    </row>
    <row r="7" spans="1:8" x14ac:dyDescent="0.25">
      <c r="G7" t="s">
        <v>576</v>
      </c>
      <c r="H7" s="108">
        <f t="shared" ref="H7:H8" si="1">$B$3+H2</f>
      </c>
    </row>
    <row r="8" spans="1:8" x14ac:dyDescent="0.25">
      <c r="G8" t="s">
        <v>584</v>
      </c>
      <c r="H8" s="108">
        <f t="shared" si="1"/>
      </c>
    </row>
    <row r="9" spans="1:8" x14ac:dyDescent="0.25">
      <c r="A9" t="s">
        <v>576</v>
      </c>
      <c r="B9" s="108">
        <f>B3+B6</f>
      </c>
    </row>
    <row r="13" spans="1:8" x14ac:dyDescent="0.25">
      <c r="A13" t="s">
        <v>585</v>
      </c>
      <c r="B13" s="313">
        <f>H6/$B$2</f>
      </c>
      <c r="D13" t="s">
        <v>588</v>
      </c>
      <c r="E13" s="312">
        <f>$B$1/B13</f>
      </c>
    </row>
    <row r="14" spans="1:8" x14ac:dyDescent="0.25">
      <c r="A14" t="s">
        <v>586</v>
      </c>
      <c r="B14" s="313">
        <f t="shared" ref="B14:B15" si="2">H7/$B$2</f>
      </c>
      <c r="D14" t="s">
        <v>589</v>
      </c>
      <c r="E14" s="312">
        <f t="shared" ref="E14:E15" si="3">$B$1/B14</f>
      </c>
    </row>
    <row r="15" spans="1:8" x14ac:dyDescent="0.25">
      <c r="A15" t="s">
        <v>587</v>
      </c>
      <c r="B15" s="313">
        <f t="shared" si="2"/>
      </c>
      <c r="D15" t="s">
        <v>590</v>
      </c>
      <c r="E15" s="312">
        <f t="shared" si="3"/>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2"/>
  <sheetViews>
    <sheetView workbookViewId="0">
      <pane xSplit="1" ySplit="3" topLeftCell="D4" activePane="bottomRight" state="frozen"/>
      <selection pane="topRight" activeCell="B1" sqref="B1"/>
      <selection pane="bottomLeft" activeCell="A4" sqref="A4"/>
      <selection pane="bottomRight" activeCell="K5" sqref="K5"/>
    </sheetView>
  </sheetViews>
  <sheetFormatPr defaultRowHeight="15" x14ac:dyDescent="0.25"/>
  <cols>
    <col min="1" max="1" width="20.7109375" style="6" customWidth="1"/>
    <col min="2" max="11" width="13.5703125" style="6" bestFit="1" customWidth="1"/>
    <col min="12" max="16384" width="9.140625" style="6"/>
  </cols>
  <sheetData>
    <row r="1" spans="1:11" s="8" customFormat="1" x14ac:dyDescent="0.25">
      <c r="A1" s="8" t="str">
        <f>'Profit &amp; Loss'!A1</f>
      </c>
      <c r="E1" t="str">
        <f>UPDATE</f>
      </c>
      <c r="J1" s="4" t="s">
        <v>1</v>
      </c>
      <c r="K1" s="4"/>
    </row>
    <row r="3" spans="1:11" s="2" customFormat="1" x14ac:dyDescent="0.25">
      <c r="A3" s="15" t="s">
        <v>2</v>
      </c>
      <c r="B3" s="16">
        <f>'Data Sheet'!B41</f>
      </c>
      <c r="C3" s="16">
        <f>'Data Sheet'!C41</f>
      </c>
      <c r="D3" s="16">
        <f>'Data Sheet'!D41</f>
      </c>
      <c r="E3" s="16">
        <f>'Data Sheet'!E41</f>
      </c>
      <c r="F3" s="16">
        <f>'Data Sheet'!F41</f>
      </c>
      <c r="G3" s="16">
        <f>'Data Sheet'!G41</f>
      </c>
      <c r="H3" s="16">
        <f>'Data Sheet'!H41</f>
      </c>
      <c r="I3" s="16">
        <f>'Data Sheet'!I41</f>
      </c>
      <c r="J3" s="16">
        <f>'Data Sheet'!J41</f>
      </c>
      <c r="K3" s="16">
        <f>'Data Sheet'!K41</f>
      </c>
    </row>
    <row r="4" spans="1:11" s="8" customFormat="1" x14ac:dyDescent="0.25">
      <c r="A4" s="8" t="s">
        <v>6</v>
      </c>
      <c r="B4" s="1">
        <f>'Data Sheet'!B42</f>
      </c>
      <c r="C4" s="1">
        <f>'Data Sheet'!C42</f>
      </c>
      <c r="D4" s="1">
        <f>'Data Sheet'!D42</f>
      </c>
      <c r="E4" s="1">
        <f>'Data Sheet'!E42</f>
      </c>
      <c r="F4" s="1">
        <f>'Data Sheet'!F42</f>
      </c>
      <c r="G4" s="1">
        <f>'Data Sheet'!G42</f>
      </c>
      <c r="H4" s="1">
        <f>'Data Sheet'!H42</f>
      </c>
      <c r="I4" s="1">
        <f>'Data Sheet'!I42</f>
      </c>
      <c r="J4" s="1">
        <f>'Data Sheet'!J42</f>
      </c>
      <c r="K4" s="1">
        <f>'Data Sheet'!K42</f>
      </c>
    </row>
    <row r="5" spans="1:11" x14ac:dyDescent="0.25">
      <c r="A5" s="6" t="s">
        <v>7</v>
      </c>
      <c r="B5" s="9">
        <f>'Data Sheet'!B43</f>
      </c>
      <c r="C5" s="9">
        <f>'Data Sheet'!C43</f>
      </c>
      <c r="D5" s="9">
        <f>'Data Sheet'!D43</f>
      </c>
      <c r="E5" s="9">
        <f>'Data Sheet'!E43</f>
      </c>
      <c r="F5" s="9">
        <f>'Data Sheet'!F43</f>
      </c>
      <c r="G5" s="9">
        <f>'Data Sheet'!G43</f>
      </c>
      <c r="H5" s="9">
        <f>'Data Sheet'!H43</f>
      </c>
      <c r="I5" s="9">
        <f>'Data Sheet'!I43</f>
      </c>
      <c r="J5" s="9">
        <f>'Data Sheet'!J43</f>
      </c>
      <c r="K5" s="9">
        <f>'Data Sheet'!K43</f>
      </c>
    </row>
    <row r="6" spans="1:11" s="8" customFormat="1" x14ac:dyDescent="0.25">
      <c r="A6" s="8" t="s">
        <v>8</v>
      </c>
      <c r="B6" s="1">
        <f>'Data Sheet'!B50</f>
      </c>
      <c r="C6" s="1">
        <f>'Data Sheet'!C50</f>
      </c>
      <c r="D6" s="1">
        <f>'Data Sheet'!D50</f>
      </c>
      <c r="E6" s="1">
        <f>'Data Sheet'!E50</f>
      </c>
      <c r="F6" s="1">
        <f>'Data Sheet'!F50</f>
      </c>
      <c r="G6" s="1">
        <f>'Data Sheet'!G50</f>
      </c>
      <c r="H6" s="1">
        <f>'Data Sheet'!H50</f>
      </c>
      <c r="I6" s="1">
        <f>'Data Sheet'!I50</f>
      </c>
      <c r="J6" s="1">
        <f>'Data Sheet'!J50</f>
      </c>
      <c r="K6" s="1">
        <f>'Data Sheet'!K50</f>
      </c>
    </row>
    <row r="7" spans="1:11" x14ac:dyDescent="0.25">
      <c r="A7" s="6" t="s">
        <v>9</v>
      </c>
      <c r="B7" s="9">
        <f>'Data Sheet'!B44</f>
      </c>
      <c r="C7" s="9">
        <f>'Data Sheet'!C44</f>
      </c>
      <c r="D7" s="9">
        <f>'Data Sheet'!D44</f>
      </c>
      <c r="E7" s="9">
        <f>'Data Sheet'!E44</f>
      </c>
      <c r="F7" s="9">
        <f>'Data Sheet'!F44</f>
      </c>
      <c r="G7" s="9">
        <f>'Data Sheet'!G44</f>
      </c>
      <c r="H7" s="9">
        <f>'Data Sheet'!H44</f>
      </c>
      <c r="I7" s="9">
        <f>'Data Sheet'!I44</f>
      </c>
      <c r="J7" s="9">
        <f>'Data Sheet'!J44</f>
      </c>
      <c r="K7" s="9">
        <f>'Data Sheet'!K44</f>
      </c>
    </row>
    <row r="8" spans="1:11" x14ac:dyDescent="0.25">
      <c r="A8" s="6" t="s">
        <v>10</v>
      </c>
      <c r="B8" s="9">
        <f>'Data Sheet'!B45</f>
      </c>
      <c r="C8" s="9">
        <f>'Data Sheet'!C45</f>
      </c>
      <c r="D8" s="9">
        <f>'Data Sheet'!D45</f>
      </c>
      <c r="E8" s="9">
        <f>'Data Sheet'!E45</f>
      </c>
      <c r="F8" s="9">
        <f>'Data Sheet'!F45</f>
      </c>
      <c r="G8" s="9">
        <f>'Data Sheet'!G45</f>
      </c>
      <c r="H8" s="9">
        <f>'Data Sheet'!H45</f>
      </c>
      <c r="I8" s="9">
        <f>'Data Sheet'!I45</f>
      </c>
      <c r="J8" s="9">
        <f>'Data Sheet'!J45</f>
      </c>
      <c r="K8" s="9">
        <f>'Data Sheet'!K45</f>
      </c>
    </row>
    <row r="9" spans="1:11" x14ac:dyDescent="0.25">
      <c r="A9" s="6" t="s">
        <v>11</v>
      </c>
      <c r="B9" s="9">
        <f>'Data Sheet'!B46</f>
      </c>
      <c r="C9" s="9">
        <f>'Data Sheet'!C46</f>
      </c>
      <c r="D9" s="9">
        <f>'Data Sheet'!D46</f>
      </c>
      <c r="E9" s="9">
        <f>'Data Sheet'!E46</f>
      </c>
      <c r="F9" s="9">
        <f>'Data Sheet'!F46</f>
      </c>
      <c r="G9" s="9">
        <f>'Data Sheet'!G46</f>
      </c>
      <c r="H9" s="9">
        <f>'Data Sheet'!H46</f>
      </c>
      <c r="I9" s="9">
        <f>'Data Sheet'!I46</f>
      </c>
      <c r="J9" s="9">
        <f>'Data Sheet'!J46</f>
      </c>
      <c r="K9" s="9">
        <f>'Data Sheet'!K46</f>
      </c>
    </row>
    <row r="10" spans="1:11" x14ac:dyDescent="0.25">
      <c r="A10" s="6" t="s">
        <v>12</v>
      </c>
      <c r="B10" s="9">
        <f>'Data Sheet'!B47</f>
      </c>
      <c r="C10" s="9">
        <f>'Data Sheet'!C47</f>
      </c>
      <c r="D10" s="9">
        <f>'Data Sheet'!D47</f>
      </c>
      <c r="E10" s="9">
        <f>'Data Sheet'!E47</f>
      </c>
      <c r="F10" s="9">
        <f>'Data Sheet'!F47</f>
      </c>
      <c r="G10" s="9">
        <f>'Data Sheet'!G47</f>
      </c>
      <c r="H10" s="9">
        <f>'Data Sheet'!H47</f>
      </c>
      <c r="I10" s="9">
        <f>'Data Sheet'!I47</f>
      </c>
      <c r="J10" s="9">
        <f>'Data Sheet'!J47</f>
      </c>
      <c r="K10" s="9">
        <f>'Data Sheet'!K47</f>
      </c>
    </row>
    <row r="11" spans="1:11" x14ac:dyDescent="0.25">
      <c r="A11" s="6" t="s">
        <v>13</v>
      </c>
      <c r="B11" s="9">
        <f>'Data Sheet'!B48</f>
      </c>
      <c r="C11" s="9">
        <f>'Data Sheet'!C48</f>
      </c>
      <c r="D11" s="9">
        <f>'Data Sheet'!D48</f>
      </c>
      <c r="E11" s="9">
        <f>'Data Sheet'!E48</f>
      </c>
      <c r="F11" s="9">
        <f>'Data Sheet'!F48</f>
      </c>
      <c r="G11" s="9">
        <f>'Data Sheet'!G48</f>
      </c>
      <c r="H11" s="9">
        <f>'Data Sheet'!H48</f>
      </c>
      <c r="I11" s="9">
        <f>'Data Sheet'!I48</f>
      </c>
      <c r="J11" s="9">
        <f>'Data Sheet'!J48</f>
      </c>
      <c r="K11" s="9">
        <f>'Data Sheet'!K48</f>
      </c>
    </row>
    <row r="12" spans="1:11" s="8" customFormat="1" x14ac:dyDescent="0.25">
      <c r="A12" s="8" t="s">
        <v>14</v>
      </c>
      <c r="B12" s="1">
        <f>'Data Sheet'!B49</f>
      </c>
      <c r="C12" s="1">
        <f>'Data Sheet'!C49</f>
      </c>
      <c r="D12" s="1">
        <f>'Data Sheet'!D49</f>
      </c>
      <c r="E12" s="1">
        <f>'Data Sheet'!E49</f>
      </c>
      <c r="F12" s="1">
        <f>'Data Sheet'!F49</f>
      </c>
      <c r="G12" s="1">
        <f>'Data Sheet'!G49</f>
      </c>
      <c r="H12" s="1">
        <f>'Data Sheet'!H49</f>
      </c>
      <c r="I12" s="1">
        <f>'Data Sheet'!I49</f>
      </c>
      <c r="J12" s="1">
        <f>'Data Sheet'!J49</f>
      </c>
      <c r="K12" s="1">
        <f>'Data Sheet'!K49</f>
      </c>
    </row>
    <row r="14" spans="1:11" s="8" customFormat="1" x14ac:dyDescent="0.25">
      <c r="A14" s="2" t="s">
        <v>18</v>
      </c>
      <c r="B14" s="14">
        <f>IF(B4&gt;0,B6/B4,"")</f>
      </c>
      <c r="C14" s="14">
        <f t="shared" ref="C14:K14" si="0">IF(C4&gt;0,C6/C4,"")</f>
      </c>
      <c r="D14" s="14">
        <f t="shared" si="0"/>
      </c>
      <c r="E14" s="14">
        <f t="shared" si="0"/>
      </c>
      <c r="F14" s="14">
        <f t="shared" si="0"/>
      </c>
      <c r="G14" s="14">
        <f t="shared" si="0"/>
      </c>
      <c r="H14" s="14">
        <f t="shared" si="0"/>
      </c>
      <c r="I14" s="14">
        <f t="shared" si="0"/>
      </c>
      <c r="J14" s="14">
        <f t="shared" si="0"/>
      </c>
      <c r="K14" s="14">
        <f t="shared" si="0"/>
      </c>
    </row>
    <row r="22" s="30" customFormat="1" x14ac:dyDescent="0.25"/>
  </sheetData>
  <hyperlinks>
    <hyperlink ref="J1" r:id="rId1"/>
  </hyperlinks>
  <printOptions gridLines="1"/>
  <pageMargins left="0.7" right="0.7" top="0.75" bottom="0.75" header="0.3" footer="0.3"/>
  <pageSetup paperSize="9" scale="83" orientation="landscape" horizontalDpi="300" verticalDpi="300"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25"/>
  <sheetViews>
    <sheetView workbookViewId="0">
      <pane xSplit="1" ySplit="3" topLeftCell="B4" activePane="bottomRight" state="frozen"/>
      <selection activeCell="C4" sqref="C4"/>
      <selection pane="topRight" activeCell="C4" sqref="C4"/>
      <selection pane="bottomLeft" activeCell="C4" sqref="C4"/>
      <selection pane="bottomRight" activeCell="B16" sqref="B16"/>
    </sheetView>
  </sheetViews>
  <sheetFormatPr defaultRowHeight="15" x14ac:dyDescent="0.25"/>
  <cols>
    <col min="1" max="1" width="22.85546875" style="11" bestFit="1" customWidth="1"/>
    <col min="2" max="2" width="13.5703125" style="11" customWidth="1"/>
    <col min="3" max="11" width="15.5703125" style="11" customWidth="1"/>
    <col min="12" max="16384" width="9.140625" style="11"/>
  </cols>
  <sheetData>
    <row r="1" spans="1:11" s="8" customFormat="1" x14ac:dyDescent="0.25">
      <c r="A1" s="8" t="str">
        <f>'Profit &amp; Loss'!A1</f>
      </c>
      <c r="E1" t="str">
        <f>UPDATE</f>
      </c>
      <c r="G1"/>
      <c r="J1" s="4" t="s">
        <v>1</v>
      </c>
      <c r="K1" s="4"/>
    </row>
    <row r="2" spans="1:11" x14ac:dyDescent="0.25">
      <c r="G2" s="8"/>
      <c r="H2" s="8"/>
    </row>
    <row r="3" spans="1:11" s="18" customFormat="1" x14ac:dyDescent="0.25">
      <c r="A3" s="15" t="s">
        <v>2</v>
      </c>
      <c r="B3" s="16">
        <f>'Data Sheet'!B56</f>
      </c>
      <c r="C3" s="16">
        <f>'Data Sheet'!C56</f>
      </c>
      <c r="D3" s="16">
        <f>'Data Sheet'!D56</f>
      </c>
      <c r="E3" s="16">
        <f>'Data Sheet'!E56</f>
      </c>
      <c r="F3" s="16">
        <f>'Data Sheet'!F56</f>
      </c>
      <c r="G3" s="16">
        <f>'Data Sheet'!G56</f>
      </c>
      <c r="H3" s="16">
        <f>'Data Sheet'!H56</f>
      </c>
      <c r="I3" s="16">
        <f>'Data Sheet'!I56</f>
      </c>
      <c r="J3" s="16">
        <f>'Data Sheet'!J56</f>
      </c>
      <c r="K3" s="16">
        <f>'Data Sheet'!K56</f>
      </c>
    </row>
    <row r="4" spans="1:11" x14ac:dyDescent="0.25">
      <c r="A4" s="6" t="s">
        <v>24</v>
      </c>
      <c r="B4" s="19">
        <f>'Data Sheet'!B57</f>
      </c>
      <c r="C4" s="19">
        <f>'Data Sheet'!C57</f>
      </c>
      <c r="D4" s="19">
        <f>'Data Sheet'!D57</f>
      </c>
      <c r="E4" s="19">
        <f>'Data Sheet'!E57</f>
      </c>
      <c r="F4" s="19">
        <f>'Data Sheet'!F57</f>
      </c>
      <c r="G4" s="19">
        <f>'Data Sheet'!G57</f>
      </c>
      <c r="H4" s="19">
        <f>'Data Sheet'!H57</f>
      </c>
      <c r="I4" s="19">
        <f>'Data Sheet'!I57</f>
      </c>
      <c r="J4" s="19">
        <f>'Data Sheet'!J57</f>
      </c>
      <c r="K4" s="19">
        <f>'Data Sheet'!K57</f>
      </c>
    </row>
    <row r="5" spans="1:11" s="6" customFormat="1" x14ac:dyDescent="0.25">
      <c r="A5" s="6" t="s">
        <v>25</v>
      </c>
      <c r="B5" s="19">
        <f>'Data Sheet'!B58</f>
      </c>
      <c r="C5" s="19">
        <f>'Data Sheet'!C58</f>
      </c>
      <c r="D5" s="19">
        <f>'Data Sheet'!D58</f>
      </c>
      <c r="E5" s="19">
        <f>'Data Sheet'!E58</f>
      </c>
      <c r="F5" s="19">
        <f>'Data Sheet'!F58</f>
      </c>
      <c r="G5" s="19">
        <f>'Data Sheet'!G58</f>
      </c>
      <c r="H5" s="19">
        <f>'Data Sheet'!H58</f>
      </c>
      <c r="I5" s="19">
        <f>'Data Sheet'!I58</f>
      </c>
      <c r="J5" s="19">
        <f>'Data Sheet'!J58</f>
      </c>
      <c r="K5" s="19">
        <f>'Data Sheet'!K58</f>
      </c>
    </row>
    <row r="6" spans="1:11" x14ac:dyDescent="0.25">
      <c r="A6" s="11" t="s">
        <v>72</v>
      </c>
      <c r="B6" s="19">
        <f>'Data Sheet'!B59</f>
      </c>
      <c r="C6" s="19">
        <f>'Data Sheet'!C59</f>
      </c>
      <c r="D6" s="19">
        <f>'Data Sheet'!D59</f>
      </c>
      <c r="E6" s="19">
        <f>'Data Sheet'!E59</f>
      </c>
      <c r="F6" s="19">
        <f>'Data Sheet'!F59</f>
      </c>
      <c r="G6" s="19">
        <f>'Data Sheet'!G59</f>
      </c>
      <c r="H6" s="19">
        <f>'Data Sheet'!H59</f>
      </c>
      <c r="I6" s="19">
        <f>'Data Sheet'!I59</f>
      </c>
      <c r="J6" s="19">
        <f>'Data Sheet'!J59</f>
      </c>
      <c r="K6" s="19">
        <f>'Data Sheet'!K59</f>
      </c>
    </row>
    <row r="7" spans="1:11" s="6" customFormat="1" x14ac:dyDescent="0.25">
      <c r="A7" s="11" t="s">
        <v>73</v>
      </c>
      <c r="B7" s="19">
        <f>'Data Sheet'!B60</f>
      </c>
      <c r="C7" s="19">
        <f>'Data Sheet'!C60</f>
      </c>
      <c r="D7" s="19">
        <f>'Data Sheet'!D60</f>
      </c>
      <c r="E7" s="19">
        <f>'Data Sheet'!E60</f>
      </c>
      <c r="F7" s="19">
        <f>'Data Sheet'!F60</f>
      </c>
      <c r="G7" s="19">
        <f>'Data Sheet'!G60</f>
      </c>
      <c r="H7" s="19">
        <f>'Data Sheet'!H60</f>
      </c>
      <c r="I7" s="19">
        <f>'Data Sheet'!I60</f>
      </c>
      <c r="J7" s="19">
        <f>'Data Sheet'!J60</f>
      </c>
      <c r="K7" s="19">
        <f>'Data Sheet'!K60</f>
      </c>
    </row>
    <row r="8" spans="1:11" s="8" customFormat="1" x14ac:dyDescent="0.25">
      <c r="A8" s="8" t="s">
        <v>26</v>
      </c>
      <c r="B8" s="20">
        <f>'Data Sheet'!B61</f>
      </c>
      <c r="C8" s="20">
        <f>'Data Sheet'!C61</f>
      </c>
      <c r="D8" s="20">
        <f>'Data Sheet'!D61</f>
      </c>
      <c r="E8" s="20">
        <f>'Data Sheet'!E61</f>
      </c>
      <c r="F8" s="20">
        <f>'Data Sheet'!F61</f>
      </c>
      <c r="G8" s="20">
        <f>'Data Sheet'!G61</f>
      </c>
      <c r="H8" s="20">
        <f>'Data Sheet'!H61</f>
      </c>
      <c r="I8" s="20">
        <f>'Data Sheet'!I61</f>
      </c>
      <c r="J8" s="20">
        <f>'Data Sheet'!J61</f>
      </c>
      <c r="K8" s="20">
        <f>'Data Sheet'!K61</f>
      </c>
    </row>
    <row r="9" spans="1:11" s="8" customFormat="1" x14ac:dyDescent="0.25">
      <c r="B9" s="20"/>
      <c r="C9" s="20"/>
      <c r="D9" s="20"/>
      <c r="E9" s="20"/>
      <c r="F9" s="20"/>
      <c r="G9" s="20"/>
      <c r="H9" s="20"/>
      <c r="I9" s="20"/>
      <c r="J9" s="20"/>
      <c r="K9" s="20"/>
    </row>
    <row r="10" spans="1:11" x14ac:dyDescent="0.25">
      <c r="A10" s="6" t="s">
        <v>27</v>
      </c>
      <c r="B10" s="19">
        <f>'Data Sheet'!B62</f>
      </c>
      <c r="C10" s="19">
        <f>'Data Sheet'!C62</f>
      </c>
      <c r="D10" s="19">
        <f>'Data Sheet'!D62</f>
      </c>
      <c r="E10" s="19">
        <f>'Data Sheet'!E62</f>
      </c>
      <c r="F10" s="19">
        <f>'Data Sheet'!F62</f>
      </c>
      <c r="G10" s="19">
        <f>'Data Sheet'!G62</f>
      </c>
      <c r="H10" s="19">
        <f>'Data Sheet'!H62</f>
      </c>
      <c r="I10" s="19">
        <f>'Data Sheet'!I62</f>
      </c>
      <c r="J10" s="19">
        <f>'Data Sheet'!J62</f>
      </c>
      <c r="K10" s="19">
        <f>'Data Sheet'!K62</f>
      </c>
    </row>
    <row r="11" spans="1:11" x14ac:dyDescent="0.25">
      <c r="A11" s="6" t="s">
        <v>28</v>
      </c>
      <c r="B11" s="19">
        <f>'Data Sheet'!B63</f>
      </c>
      <c r="C11" s="19">
        <f>'Data Sheet'!C63</f>
      </c>
      <c r="D11" s="19">
        <f>'Data Sheet'!D63</f>
      </c>
      <c r="E11" s="19">
        <f>'Data Sheet'!E63</f>
      </c>
      <c r="F11" s="19">
        <f>'Data Sheet'!F63</f>
      </c>
      <c r="G11" s="19">
        <f>'Data Sheet'!G63</f>
      </c>
      <c r="H11" s="19">
        <f>'Data Sheet'!H63</f>
      </c>
      <c r="I11" s="19">
        <f>'Data Sheet'!I63</f>
      </c>
      <c r="J11" s="19">
        <f>'Data Sheet'!J63</f>
      </c>
      <c r="K11" s="19">
        <f>'Data Sheet'!K63</f>
      </c>
    </row>
    <row r="12" spans="1:11" x14ac:dyDescent="0.25">
      <c r="A12" s="6" t="s">
        <v>29</v>
      </c>
      <c r="B12" s="19">
        <f>'Data Sheet'!B64</f>
      </c>
      <c r="C12" s="19">
        <f>'Data Sheet'!C64</f>
      </c>
      <c r="D12" s="19">
        <f>'Data Sheet'!D64</f>
      </c>
      <c r="E12" s="19">
        <f>'Data Sheet'!E64</f>
      </c>
      <c r="F12" s="19">
        <f>'Data Sheet'!F64</f>
      </c>
      <c r="G12" s="19">
        <f>'Data Sheet'!G64</f>
      </c>
      <c r="H12" s="19">
        <f>'Data Sheet'!H64</f>
      </c>
      <c r="I12" s="19">
        <f>'Data Sheet'!I64</f>
      </c>
      <c r="J12" s="19">
        <f>'Data Sheet'!J64</f>
      </c>
      <c r="K12" s="19">
        <f>'Data Sheet'!K64</f>
      </c>
    </row>
    <row r="13" spans="1:11" x14ac:dyDescent="0.25">
      <c r="A13" s="11" t="s">
        <v>74</v>
      </c>
      <c r="B13" s="19">
        <f>'Data Sheet'!B65</f>
      </c>
      <c r="C13" s="19">
        <f>'Data Sheet'!C65</f>
      </c>
      <c r="D13" s="19">
        <f>'Data Sheet'!D65</f>
      </c>
      <c r="E13" s="19">
        <f>'Data Sheet'!E65</f>
      </c>
      <c r="F13" s="19">
        <f>'Data Sheet'!F65</f>
      </c>
      <c r="G13" s="19">
        <f>'Data Sheet'!G65</f>
      </c>
      <c r="H13" s="19">
        <f>'Data Sheet'!H65</f>
      </c>
      <c r="I13" s="19">
        <f>'Data Sheet'!I65</f>
      </c>
      <c r="J13" s="19">
        <f>'Data Sheet'!J65</f>
      </c>
      <c r="K13" s="19">
        <f>'Data Sheet'!K65</f>
      </c>
    </row>
    <row r="14" spans="1:11" s="8" customFormat="1" x14ac:dyDescent="0.25">
      <c r="A14" s="8" t="s">
        <v>26</v>
      </c>
      <c r="B14" s="19">
        <f>'Data Sheet'!B66</f>
      </c>
      <c r="C14" s="19">
        <f>'Data Sheet'!C66</f>
      </c>
      <c r="D14" s="19">
        <f>'Data Sheet'!D66</f>
      </c>
      <c r="E14" s="19">
        <f>'Data Sheet'!E66</f>
      </c>
      <c r="F14" s="19">
        <f>'Data Sheet'!F66</f>
      </c>
      <c r="G14" s="19">
        <f>'Data Sheet'!G66</f>
      </c>
      <c r="H14" s="19">
        <f>'Data Sheet'!H66</f>
      </c>
      <c r="I14" s="19">
        <f>'Data Sheet'!I66</f>
      </c>
      <c r="J14" s="19">
        <f>'Data Sheet'!J66</f>
      </c>
      <c r="K14" s="19">
        <f>'Data Sheet'!K66</f>
      </c>
    </row>
    <row r="15" spans="1:11" x14ac:dyDescent="0.25">
      <c r="A15" s="6"/>
      <c r="B15" s="21"/>
      <c r="C15" s="21"/>
      <c r="D15" s="21"/>
      <c r="E15" s="21"/>
      <c r="F15" s="21"/>
      <c r="G15" s="21"/>
      <c r="H15" s="21"/>
      <c r="I15" s="21"/>
      <c r="J15" s="21"/>
      <c r="K15" s="21"/>
    </row>
    <row r="16" spans="1:11" x14ac:dyDescent="0.25">
      <c r="A16" s="29" t="s">
        <v>30</v>
      </c>
      <c r="B16" s="21">
        <f>B13-B7</f>
      </c>
      <c r="C16" s="21">
        <f t="shared" ref="C16:K16" si="0">C13-C7</f>
      </c>
      <c r="D16" s="21">
        <f t="shared" si="0"/>
      </c>
      <c r="E16" s="21">
        <f t="shared" si="0"/>
      </c>
      <c r="F16" s="21">
        <f t="shared" si="0"/>
      </c>
      <c r="G16" s="21">
        <f t="shared" si="0"/>
      </c>
      <c r="H16" s="21">
        <f t="shared" si="0"/>
      </c>
      <c r="I16" s="21">
        <f t="shared" si="0"/>
      </c>
      <c r="J16" s="21">
        <f t="shared" si="0"/>
      </c>
      <c r="K16" s="21">
        <f t="shared" si="0"/>
      </c>
    </row>
    <row r="17" spans="1:11" x14ac:dyDescent="0.25">
      <c r="A17" s="11" t="s">
        <v>44</v>
      </c>
      <c r="B17" s="21">
        <f>'Data Sheet'!B67</f>
      </c>
      <c r="C17" s="21">
        <f>'Data Sheet'!C67</f>
      </c>
      <c r="D17" s="21">
        <f>'Data Sheet'!D67</f>
      </c>
      <c r="E17" s="21">
        <f>'Data Sheet'!E67</f>
      </c>
      <c r="F17" s="21">
        <f>'Data Sheet'!F67</f>
      </c>
      <c r="G17" s="21">
        <f>'Data Sheet'!G67</f>
      </c>
      <c r="H17" s="21">
        <f>'Data Sheet'!H67</f>
      </c>
      <c r="I17" s="21">
        <f>'Data Sheet'!I67</f>
      </c>
      <c r="J17" s="21">
        <f>'Data Sheet'!J67</f>
      </c>
      <c r="K17" s="21">
        <f>'Data Sheet'!K67</f>
      </c>
    </row>
    <row r="18" spans="1:11" x14ac:dyDescent="0.25">
      <c r="A18" s="11" t="s">
        <v>45</v>
      </c>
      <c r="B18" s="21">
        <f>'Data Sheet'!B68</f>
      </c>
      <c r="C18" s="21">
        <f>'Data Sheet'!C68</f>
      </c>
      <c r="D18" s="21">
        <f>'Data Sheet'!D68</f>
      </c>
      <c r="E18" s="21">
        <f>'Data Sheet'!E68</f>
      </c>
      <c r="F18" s="21">
        <f>'Data Sheet'!F68</f>
      </c>
      <c r="G18" s="21">
        <f>'Data Sheet'!G68</f>
      </c>
      <c r="H18" s="21">
        <f>'Data Sheet'!H68</f>
      </c>
      <c r="I18" s="21">
        <f>'Data Sheet'!I68</f>
      </c>
      <c r="J18" s="21">
        <f>'Data Sheet'!J68</f>
      </c>
      <c r="K18" s="21">
        <f>'Data Sheet'!K68</f>
      </c>
    </row>
    <row r="20" spans="1:11" x14ac:dyDescent="0.25">
      <c r="A20" s="11" t="s">
        <v>46</v>
      </c>
      <c r="B20" s="5">
        <f>IF('Profit &amp; Loss'!B4&gt;0,'Balance Sheet'!B17/('Profit &amp; Loss'!B4/365),0)</f>
      </c>
      <c r="C20" s="5">
        <f>IF('Profit &amp; Loss'!C4&gt;0,'Balance Sheet'!C17/('Profit &amp; Loss'!C4/365),0)</f>
      </c>
      <c r="D20" s="5">
        <f>IF('Profit &amp; Loss'!D4&gt;0,'Balance Sheet'!D17/('Profit &amp; Loss'!D4/365),0)</f>
      </c>
      <c r="E20" s="5">
        <f>IF('Profit &amp; Loss'!E4&gt;0,'Balance Sheet'!E17/('Profit &amp; Loss'!E4/365),0)</f>
      </c>
      <c r="F20" s="5">
        <f>IF('Profit &amp; Loss'!F4&gt;0,'Balance Sheet'!F17/('Profit &amp; Loss'!F4/365),0)</f>
      </c>
      <c r="G20" s="5">
        <f>IF('Profit &amp; Loss'!G4&gt;0,'Balance Sheet'!G17/('Profit &amp; Loss'!G4/365),0)</f>
      </c>
      <c r="H20" s="5">
        <f>IF('Profit &amp; Loss'!H4&gt;0,'Balance Sheet'!H17/('Profit &amp; Loss'!H4/365),0)</f>
      </c>
      <c r="I20" s="5">
        <f>IF('Profit &amp; Loss'!I4&gt;0,'Balance Sheet'!I17/('Profit &amp; Loss'!I4/365),0)</f>
      </c>
      <c r="J20" s="5">
        <f>IF('Profit &amp; Loss'!J4&gt;0,'Balance Sheet'!J17/('Profit &amp; Loss'!J4/365),0)</f>
      </c>
      <c r="K20" s="5">
        <f>IF('Profit &amp; Loss'!K4&gt;0,'Balance Sheet'!K17/('Profit &amp; Loss'!K4/365),0)</f>
      </c>
    </row>
    <row r="21" spans="1:11" x14ac:dyDescent="0.25">
      <c r="A21" s="11" t="s">
        <v>47</v>
      </c>
      <c r="B21" s="5">
        <f>IF('Balance Sheet'!B18&gt;0,'Profit &amp; Loss'!B4/'Balance Sheet'!B18,0)</f>
      </c>
      <c r="C21" s="5">
        <f>IF('Balance Sheet'!C18&gt;0,'Profit &amp; Loss'!C4/'Balance Sheet'!C18,0)</f>
      </c>
      <c r="D21" s="5">
        <f>IF('Balance Sheet'!D18&gt;0,'Profit &amp; Loss'!D4/'Balance Sheet'!D18,0)</f>
      </c>
      <c r="E21" s="5">
        <f>IF('Balance Sheet'!E18&gt;0,'Profit &amp; Loss'!E4/'Balance Sheet'!E18,0)</f>
      </c>
      <c r="F21" s="5">
        <f>IF('Balance Sheet'!F18&gt;0,'Profit &amp; Loss'!F4/'Balance Sheet'!F18,0)</f>
      </c>
      <c r="G21" s="5">
        <f>IF('Balance Sheet'!G18&gt;0,'Profit &amp; Loss'!G4/'Balance Sheet'!G18,0)</f>
      </c>
      <c r="H21" s="5">
        <f>IF('Balance Sheet'!H18&gt;0,'Profit &amp; Loss'!H4/'Balance Sheet'!H18,0)</f>
      </c>
      <c r="I21" s="5">
        <f>IF('Balance Sheet'!I18&gt;0,'Profit &amp; Loss'!I4/'Balance Sheet'!I18,0)</f>
      </c>
      <c r="J21" s="5">
        <f>IF('Balance Sheet'!J18&gt;0,'Profit &amp; Loss'!J4/'Balance Sheet'!J18,0)</f>
      </c>
      <c r="K21" s="5">
        <f>IF('Balance Sheet'!K18&gt;0,'Profit &amp; Loss'!K4/'Balance Sheet'!K18,0)</f>
      </c>
    </row>
    <row r="23" spans="1:11" s="8" customFormat="1" x14ac:dyDescent="0.25">
      <c r="A23" s="8" t="s">
        <v>60</v>
      </c>
      <c r="B23" s="14">
        <f>IF(SUM('Balance Sheet'!B4:B5)&gt;0,'Profit &amp; Loss'!B12/SUM('Balance Sheet'!B4:B5),"")</f>
      </c>
      <c r="C23" s="14">
        <f>IF(SUM('Balance Sheet'!C4:C5)&gt;0,'Profit &amp; Loss'!C12/SUM('Balance Sheet'!C4:C5),"")</f>
      </c>
      <c r="D23" s="14">
        <f>IF(SUM('Balance Sheet'!D4:D5)&gt;0,'Profit &amp; Loss'!D12/SUM('Balance Sheet'!D4:D5),"")</f>
      </c>
      <c r="E23" s="14">
        <f>IF(SUM('Balance Sheet'!E4:E5)&gt;0,'Profit &amp; Loss'!E12/SUM('Balance Sheet'!E4:E5),"")</f>
      </c>
      <c r="F23" s="14">
        <f>IF(SUM('Balance Sheet'!F4:F5)&gt;0,'Profit &amp; Loss'!F12/SUM('Balance Sheet'!F4:F5),"")</f>
      </c>
      <c r="G23" s="14">
        <f>IF(SUM('Balance Sheet'!G4:G5)&gt;0,'Profit &amp; Loss'!G12/SUM('Balance Sheet'!G4:G5),"")</f>
      </c>
      <c r="H23" s="14">
        <f>IF(SUM('Balance Sheet'!H4:H5)&gt;0,'Profit &amp; Loss'!H12/SUM('Balance Sheet'!H4:H5),"")</f>
      </c>
      <c r="I23" s="14">
        <f>IF(SUM('Balance Sheet'!I4:I5)&gt;0,'Profit &amp; Loss'!I12/SUM('Balance Sheet'!I4:I5),"")</f>
      </c>
      <c r="J23" s="14">
        <f>IF(SUM('Balance Sheet'!J4:J5)&gt;0,'Profit &amp; Loss'!J12/SUM('Balance Sheet'!J4:J5),"")</f>
      </c>
      <c r="K23" s="14">
        <f>IF(SUM('Balance Sheet'!K4:K5)&gt;0,'Profit &amp; Loss'!K12/SUM('Balance Sheet'!K4:K5),"")</f>
      </c>
    </row>
    <row r="24" spans="1:11" s="8" customFormat="1" x14ac:dyDescent="0.25">
      <c r="A24" s="8" t="s">
        <v>61</v>
      </c>
      <c r="B24" s="14">
        <f>IF(('Balance Sheet'!B10+'Balance Sheet'!B16)&gt;0,('Profit &amp; Loss'!B6-'Profit &amp; Loss'!B8-'Profit &amp; Loss'!B11)/('Balance Sheet'!B10+'Balance Sheet'!B16),"")</f>
      </c>
      <c r="C24" s="14">
        <f>IF(('Balance Sheet'!C10+'Balance Sheet'!C16)&gt;0,('Profit &amp; Loss'!C6-'Profit &amp; Loss'!C8-'Profit &amp; Loss'!C11)/('Balance Sheet'!C10+'Balance Sheet'!C16),"")</f>
      </c>
      <c r="D24" s="14">
        <f>IF(('Balance Sheet'!D10+'Balance Sheet'!D16)&gt;0,('Profit &amp; Loss'!D6-'Profit &amp; Loss'!D8-'Profit &amp; Loss'!D11)/('Balance Sheet'!D10+'Balance Sheet'!D16),"")</f>
      </c>
      <c r="E24" s="14">
        <f>IF(('Balance Sheet'!E10+'Balance Sheet'!E16)&gt;0,('Profit &amp; Loss'!E6-'Profit &amp; Loss'!E8-'Profit &amp; Loss'!E11)/('Balance Sheet'!E10+'Balance Sheet'!E16),"")</f>
      </c>
      <c r="F24" s="14">
        <f>IF(('Balance Sheet'!F10+'Balance Sheet'!F16)&gt;0,('Profit &amp; Loss'!F6-'Profit &amp; Loss'!F8-'Profit &amp; Loss'!F11)/('Balance Sheet'!F10+'Balance Sheet'!F16),"")</f>
      </c>
      <c r="G24" s="14">
        <f>IF(('Balance Sheet'!G10+'Balance Sheet'!G16)&gt;0,('Profit &amp; Loss'!G6-'Profit &amp; Loss'!G8-'Profit &amp; Loss'!G11)/('Balance Sheet'!G10+'Balance Sheet'!G16),"")</f>
      </c>
      <c r="H24" s="14">
        <f>IF(('Balance Sheet'!H10+'Balance Sheet'!H16)&gt;0,('Profit &amp; Loss'!H6-'Profit &amp; Loss'!H8-'Profit &amp; Loss'!H11)/('Balance Sheet'!H10+'Balance Sheet'!H16),"")</f>
      </c>
      <c r="I24" s="14">
        <f>IF(('Balance Sheet'!I10+'Balance Sheet'!I16)&gt;0,('Profit &amp; Loss'!I6-'Profit &amp; Loss'!I8-'Profit &amp; Loss'!I11)/('Balance Sheet'!I10+'Balance Sheet'!I16),"")</f>
      </c>
      <c r="J24" s="14">
        <f>IF(('Balance Sheet'!J10+'Balance Sheet'!J16)&gt;0,('Profit &amp; Loss'!J6-'Profit &amp; Loss'!J8-'Profit &amp; Loss'!J11)/('Balance Sheet'!J10+'Balance Sheet'!J16),"")</f>
      </c>
      <c r="K24" s="14">
        <f>IF(('Balance Sheet'!K10+'Balance Sheet'!K16)&gt;0,('Profit &amp; Loss'!K6-'Profit &amp; Loss'!K8-'Profit &amp; Loss'!K11)/('Balance Sheet'!K10+'Balance Sheet'!K16),"")</f>
      </c>
    </row>
    <row r="25" spans="1:11" s="18" customFormat="1" x14ac:dyDescent="0.25"/>
  </sheetData>
  <hyperlinks>
    <hyperlink ref="J1" r:id="rId1"/>
  </hyperlinks>
  <printOptions gridLines="1"/>
  <pageMargins left="0.7" right="0.7" top="0.75" bottom="0.75" header="0.3" footer="0.3"/>
  <pageSetup paperSize="9" orientation="landscape"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workbookViewId="0">
      <pane xSplit="1" ySplit="3" topLeftCell="E4" activePane="bottomRight" state="frozen"/>
      <selection pane="topRight" activeCell="B1" sqref="B1"/>
      <selection pane="bottomLeft" activeCell="A4" sqref="A4"/>
      <selection pane="bottomRight" activeCell="L4" sqref="L4"/>
    </sheetView>
  </sheetViews>
  <sheetFormatPr defaultRowHeight="15" x14ac:dyDescent="0.25"/>
  <cols>
    <col min="1" max="1" width="26.85546875" style="6" bestFit="1" customWidth="1"/>
    <col min="2" max="6" width="13.5703125" style="6" customWidth="1"/>
    <col min="7" max="11" width="13.5703125" style="6" bestFit="1" customWidth="1"/>
    <col min="12" max="16384" width="9.140625" style="6"/>
  </cols>
  <sheetData>
    <row r="1" spans="1:11" s="8" customFormat="1" x14ac:dyDescent="0.25">
      <c r="A1" s="8" t="str">
        <f>'Balance Sheet'!A1</f>
      </c>
      <c r="E1" t="str">
        <f>UPDATE</f>
      </c>
      <c r="F1"/>
      <c r="J1" s="4" t="s">
        <v>1</v>
      </c>
      <c r="K1" s="4"/>
    </row>
    <row r="3" spans="1:11" s="2" customFormat="1" x14ac:dyDescent="0.25">
      <c r="A3" s="15" t="s">
        <v>2</v>
      </c>
      <c r="B3" s="16">
        <f>'Data Sheet'!B81</f>
      </c>
      <c r="C3" s="16">
        <f>'Data Sheet'!C81</f>
      </c>
      <c r="D3" s="16">
        <f>'Data Sheet'!D81</f>
      </c>
      <c r="E3" s="16">
        <f>'Data Sheet'!E81</f>
      </c>
      <c r="F3" s="16">
        <f>'Data Sheet'!F81</f>
      </c>
      <c r="G3" s="16">
        <f>'Data Sheet'!G81</f>
      </c>
      <c r="H3" s="16">
        <f>'Data Sheet'!H81</f>
      </c>
      <c r="I3" s="16">
        <f>'Data Sheet'!I81</f>
      </c>
      <c r="J3" s="16">
        <f>'Data Sheet'!J81</f>
      </c>
      <c r="K3" s="16">
        <f>'Data Sheet'!K81</f>
      </c>
    </row>
    <row r="4" spans="1:11" s="8" customFormat="1" x14ac:dyDescent="0.25">
      <c r="A4" s="8" t="s">
        <v>32</v>
      </c>
      <c r="B4" s="1">
        <f>'Data Sheet'!B82</f>
      </c>
      <c r="C4" s="1">
        <f>'Data Sheet'!C82</f>
      </c>
      <c r="D4" s="1">
        <f>'Data Sheet'!D82</f>
      </c>
      <c r="E4" s="1">
        <f>'Data Sheet'!E82</f>
      </c>
      <c r="F4" s="1">
        <f>'Data Sheet'!F82</f>
      </c>
      <c r="G4" s="1">
        <f>'Data Sheet'!G82</f>
      </c>
      <c r="H4" s="1">
        <f>'Data Sheet'!H82</f>
      </c>
      <c r="I4" s="1">
        <f>'Data Sheet'!I82</f>
      </c>
      <c r="J4" s="1">
        <f>'Data Sheet'!J82</f>
      </c>
      <c r="K4" s="1">
        <f>'Data Sheet'!K82</f>
      </c>
    </row>
    <row r="5" spans="1:11" x14ac:dyDescent="0.25">
      <c r="A5" s="6" t="s">
        <v>33</v>
      </c>
      <c r="B5" s="9">
        <f>'Data Sheet'!B83</f>
      </c>
      <c r="C5" s="9">
        <f>'Data Sheet'!C83</f>
      </c>
      <c r="D5" s="9">
        <f>'Data Sheet'!D83</f>
      </c>
      <c r="E5" s="9">
        <f>'Data Sheet'!E83</f>
      </c>
      <c r="F5" s="9">
        <f>'Data Sheet'!F83</f>
      </c>
      <c r="G5" s="9">
        <f>'Data Sheet'!G83</f>
      </c>
      <c r="H5" s="9">
        <f>'Data Sheet'!H83</f>
      </c>
      <c r="I5" s="9">
        <f>'Data Sheet'!I83</f>
      </c>
      <c r="J5" s="9">
        <f>'Data Sheet'!J83</f>
      </c>
      <c r="K5" s="9">
        <f>'Data Sheet'!K83</f>
      </c>
    </row>
    <row r="6" spans="1:11" x14ac:dyDescent="0.25">
      <c r="A6" s="6" t="s">
        <v>34</v>
      </c>
      <c r="B6" s="9">
        <f>'Data Sheet'!B84</f>
      </c>
      <c r="C6" s="9">
        <f>'Data Sheet'!C84</f>
      </c>
      <c r="D6" s="9">
        <f>'Data Sheet'!D84</f>
      </c>
      <c r="E6" s="9">
        <f>'Data Sheet'!E84</f>
      </c>
      <c r="F6" s="9">
        <f>'Data Sheet'!F84</f>
      </c>
      <c r="G6" s="9">
        <f>'Data Sheet'!G84</f>
      </c>
      <c r="H6" s="9">
        <f>'Data Sheet'!H84</f>
      </c>
      <c r="I6" s="9">
        <f>'Data Sheet'!I84</f>
      </c>
      <c r="J6" s="9">
        <f>'Data Sheet'!J84</f>
      </c>
      <c r="K6" s="9">
        <f>'Data Sheet'!K84</f>
      </c>
    </row>
    <row r="7" spans="1:11" s="8" customFormat="1" x14ac:dyDescent="0.25">
      <c r="A7" s="8" t="s">
        <v>35</v>
      </c>
      <c r="B7" s="1">
        <f>'Data Sheet'!B85</f>
      </c>
      <c r="C7" s="1">
        <f>'Data Sheet'!C85</f>
      </c>
      <c r="D7" s="1">
        <f>'Data Sheet'!D85</f>
      </c>
      <c r="E7" s="1">
        <f>'Data Sheet'!E85</f>
      </c>
      <c r="F7" s="1">
        <f>'Data Sheet'!F85</f>
      </c>
      <c r="G7" s="1">
        <f>'Data Sheet'!G85</f>
      </c>
      <c r="H7" s="1">
        <f>'Data Sheet'!H85</f>
      </c>
      <c r="I7" s="1">
        <f>'Data Sheet'!I85</f>
      </c>
      <c r="J7" s="1">
        <f>'Data Sheet'!J85</f>
      </c>
      <c r="K7" s="1">
        <f>'Data Sheet'!K85</f>
      </c>
    </row>
    <row r="8" spans="1:11" x14ac:dyDescent="0.25">
      <c r="A8" s="29"/>
      <c r="B8" s="9"/>
      <c r="C8" s="9"/>
      <c r="D8" s="9"/>
      <c r="E8" s="9"/>
      <c r="F8" s="9"/>
      <c r="G8" s="9"/>
      <c r="H8" s="9"/>
      <c r="I8" s="9"/>
      <c r="J8" s="9"/>
      <c r="K8" s="9"/>
    </row>
    <row r="24" s="29" customFormat="1" x14ac:dyDescent="0.25"/>
  </sheetData>
  <hyperlinks>
    <hyperlink ref="J1" r:id="rId1"/>
  </hyperlinks>
  <printOptions gridLines="1"/>
  <pageMargins left="0.7" right="0.7" top="0.75" bottom="0.75" header="0.3" footer="0.3"/>
  <pageSetup paperSize="9" orientation="landscape"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6"/>
  <sheetViews>
    <sheetView workbookViewId="0">
      <selection activeCell="B8" sqref="B8"/>
    </sheetView>
  </sheetViews>
  <sheetFormatPr defaultRowHeight="15" x14ac:dyDescent="0.25"/>
  <cols>
    <col min="1" max="1" width="9.140625" style="8"/>
    <col min="2" max="2" width="10.5703125" style="11" customWidth="1"/>
    <col min="3" max="3" width="13.28515625" style="26" customWidth="1"/>
    <col min="4" max="5" width="9.140625" style="11"/>
    <col min="6" max="6" width="6.85546875" style="11" customWidth="1"/>
    <col min="7" max="16384" width="9.140625" style="11"/>
  </cols>
  <sheetData>
    <row r="1" spans="1:7" ht="21" x14ac:dyDescent="0.35">
      <c r="A1" s="25" t="s">
        <v>57</v>
      </c>
    </row>
    <row r="3" spans="1:7" x14ac:dyDescent="0.25">
      <c r="A3" s="8" t="s">
        <v>48</v>
      </c>
    </row>
    <row r="4" spans="1:7" x14ac:dyDescent="0.25">
      <c r="B4" s="11" t="s">
        <v>91</v>
      </c>
    </row>
    <row r="5" spans="1:7" x14ac:dyDescent="0.25">
      <c r="B5" s="11" t="s">
        <v>49</v>
      </c>
    </row>
    <row r="7" spans="1:7" x14ac:dyDescent="0.25">
      <c r="A7" s="8" t="s">
        <v>50</v>
      </c>
    </row>
    <row r="8" spans="1:7" x14ac:dyDescent="0.25">
      <c r="B8" s="11" t="s">
        <v>51</v>
      </c>
      <c r="C8" s="27" t="s">
        <v>92</v>
      </c>
    </row>
    <row r="10" spans="1:7" x14ac:dyDescent="0.25">
      <c r="A10" s="8" t="s">
        <v>52</v>
      </c>
    </row>
    <row r="11" spans="1:7" x14ac:dyDescent="0.25">
      <c r="B11" s="11" t="s">
        <v>53</v>
      </c>
    </row>
    <row r="14" spans="1:7" x14ac:dyDescent="0.25">
      <c r="A14" s="8" t="s">
        <v>54</v>
      </c>
    </row>
    <row r="15" spans="1:7" x14ac:dyDescent="0.25">
      <c r="B15" s="11" t="s">
        <v>55</v>
      </c>
    </row>
    <row r="16" spans="1:7" x14ac:dyDescent="0.25">
      <c r="B16" s="11" t="s">
        <v>56</v>
      </c>
      <c r="G16" s="28" t="s">
        <v>93</v>
      </c>
    </row>
  </sheetData>
  <hyperlinks>
    <hyperlink ref="C8" r:id="rId1" display=" http://www.screener.in/excel"/>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47"/>
  <sheetViews>
    <sheetView workbookViewId="0">
      <selection activeCell="P4" sqref="P4"/>
    </sheetView>
  </sheetViews>
  <sheetFormatPr defaultRowHeight="15" x14ac:dyDescent="0.25"/>
  <cols>
    <col min="1" max="1" width="35.7109375" style="110" customWidth="1"/>
    <col min="2" max="2" width="17.85546875" style="92" customWidth="1"/>
    <col min="3" max="12" width="11.42578125" customWidth="1"/>
    <col min="13" max="13" width="8.140625" customWidth="1"/>
    <col min="14" max="14" width="12.85546875" bestFit="1" customWidth="1"/>
    <col min="15" max="16" width="12.7109375" bestFit="1" customWidth="1"/>
    <col min="17" max="18" width="10.28515625" bestFit="1" customWidth="1"/>
  </cols>
  <sheetData>
    <row r="1" spans="1:18" ht="18.75" x14ac:dyDescent="0.25">
      <c r="A1" s="75" t="s">
        <v>158</v>
      </c>
      <c r="B1" s="76" t="s">
        <v>159</v>
      </c>
      <c r="C1" s="77">
        <f>'Profit &amp; Loss'!C3</f>
      </c>
      <c r="D1" s="77">
        <f>'Profit &amp; Loss'!D3</f>
      </c>
      <c r="E1" s="77">
        <f>'Profit &amp; Loss'!E3</f>
      </c>
      <c r="F1" s="77">
        <f>'Profit &amp; Loss'!F3</f>
      </c>
      <c r="G1" s="77">
        <f>'Profit &amp; Loss'!G3</f>
      </c>
      <c r="H1" s="77">
        <f>'Profit &amp; Loss'!H3</f>
      </c>
      <c r="I1" s="77">
        <f>'Profit &amp; Loss'!I3</f>
      </c>
      <c r="J1" s="77">
        <f>'Profit &amp; Loss'!J3</f>
      </c>
      <c r="K1" s="77">
        <f>'Profit &amp; Loss'!K3</f>
      </c>
      <c r="L1" s="77" t="str">
        <f>'Profit &amp; Loss'!L3</f>
      </c>
      <c r="M1" s="77"/>
      <c r="N1" s="78" t="s">
        <v>160</v>
      </c>
      <c r="O1" s="78" t="s">
        <v>161</v>
      </c>
      <c r="P1" s="78" t="s">
        <v>162</v>
      </c>
      <c r="Q1" s="79" t="s">
        <v>163</v>
      </c>
      <c r="R1" s="79" t="s">
        <v>164</v>
      </c>
    </row>
    <row r="2" spans="1:18" ht="17.25" x14ac:dyDescent="0.25">
      <c r="A2" s="80" t="s">
        <v>165</v>
      </c>
      <c r="B2" s="76"/>
      <c r="C2" s="77"/>
      <c r="D2" s="77"/>
      <c r="E2" s="77"/>
      <c r="F2" s="77"/>
      <c r="G2" s="77"/>
      <c r="H2" s="77"/>
      <c r="I2" s="77"/>
      <c r="J2" s="77"/>
      <c r="K2" s="77"/>
      <c r="L2" s="77"/>
      <c r="M2" s="77"/>
      <c r="N2" s="78"/>
      <c r="O2" s="78"/>
      <c r="P2" s="78"/>
      <c r="Q2" s="79"/>
      <c r="R2" s="79"/>
    </row>
    <row r="3" spans="1:18" x14ac:dyDescent="0.25">
      <c r="A3" s="81" t="s">
        <v>166</v>
      </c>
      <c r="B3" s="82" t="s">
        <v>167</v>
      </c>
      <c r="C3" s="83">
        <f>IFERROR(('Profit &amp; Loss'!C4-'Profit &amp; Loss'!B4)/'Profit &amp; Loss'!B4,"NA")</f>
      </c>
      <c r="D3" s="83">
        <f>IFERROR(('Profit &amp; Loss'!D4-'Profit &amp; Loss'!C4)/'Profit &amp; Loss'!C4,"NA")</f>
      </c>
      <c r="E3" s="83">
        <f>IFERROR(('Profit &amp; Loss'!E4-'Profit &amp; Loss'!D4)/'Profit &amp; Loss'!D4,"NA")</f>
      </c>
      <c r="F3" s="83">
        <f>IFERROR(('Profit &amp; Loss'!F4-'Profit &amp; Loss'!E4)/'Profit &amp; Loss'!E4,"NA")</f>
      </c>
      <c r="G3" s="83">
        <f>IFERROR(('Profit &amp; Loss'!G4-'Profit &amp; Loss'!F4)/'Profit &amp; Loss'!F4,"NA")</f>
      </c>
      <c r="H3" s="83">
        <f>IFERROR(('Profit &amp; Loss'!H4-'Profit &amp; Loss'!G4)/'Profit &amp; Loss'!G4,"NA")</f>
      </c>
      <c r="I3" s="83">
        <f>IFERROR(('Profit &amp; Loss'!I4-'Profit &amp; Loss'!H4)/'Profit &amp; Loss'!H4,"NA")</f>
      </c>
      <c r="J3" s="83">
        <f>IFERROR(('Profit &amp; Loss'!J4-'Profit &amp; Loss'!I4)/'Profit &amp; Loss'!I4,"NA")</f>
      </c>
      <c r="K3" s="83">
        <f>IFERROR(('Profit &amp; Loss'!K4-'Profit &amp; Loss'!J4)/'Profit &amp; Loss'!J4,"NA")</f>
      </c>
      <c r="L3" s="83">
        <f>IFERROR(('Profit &amp; Loss'!L4-'Profit &amp; Loss'!K4)/'Profit &amp; Loss'!K4,"NA")</f>
      </c>
      <c r="N3" s="83">
        <f>('Profit &amp; Loss'!K4/'Profit &amp; Loss'!B4)^(1/(9-1))-1</f>
      </c>
      <c r="O3" s="83">
        <f>('Profit &amp; Loss'!K4/'Profit &amp; Loss'!F4)^(1/(5-1))-1</f>
      </c>
      <c r="P3" s="83">
        <f>('Profit &amp; Loss'!K4/'Profit &amp; Loss'!H4)^(1/(3-1))-1</f>
      </c>
      <c r="Q3" t="str">
        <f>IF(N3&gt;0.15,"Excellent",IF(N3&lt;0.1,"Bad","Good"))</f>
      </c>
    </row>
    <row r="4" spans="1:18" x14ac:dyDescent="0.25">
      <c r="A4" s="81" t="s">
        <v>168</v>
      </c>
      <c r="B4" s="82" t="s">
        <v>167</v>
      </c>
      <c r="C4" s="83">
        <f>IFERROR(('Profit &amp; Loss'!C5-'Profit &amp; Loss'!B5)/'Profit &amp; Loss'!B5,"NA")</f>
      </c>
      <c r="D4" s="83">
        <f>IFERROR(('Profit &amp; Loss'!D5-'Profit &amp; Loss'!C5)/'Profit &amp; Loss'!C5,"NA")</f>
      </c>
      <c r="E4" s="83">
        <f>IFERROR(('Profit &amp; Loss'!E5-'Profit &amp; Loss'!D5)/'Profit &amp; Loss'!D5,"NA")</f>
      </c>
      <c r="F4" s="83">
        <f>IFERROR(('Profit &amp; Loss'!F5-'Profit &amp; Loss'!E5)/'Profit &amp; Loss'!E5,"NA")</f>
      </c>
      <c r="G4" s="83">
        <f>IFERROR(('Profit &amp; Loss'!G5-'Profit &amp; Loss'!F5)/'Profit &amp; Loss'!F5,"NA")</f>
      </c>
      <c r="H4" s="83">
        <f>IFERROR(('Profit &amp; Loss'!H5-'Profit &amp; Loss'!G5)/'Profit &amp; Loss'!G5,"NA")</f>
      </c>
      <c r="I4" s="83">
        <f>IFERROR(('Profit &amp; Loss'!I5-'Profit &amp; Loss'!H5)/'Profit &amp; Loss'!H5,"NA")</f>
      </c>
      <c r="J4" s="83">
        <f>IFERROR(('Profit &amp; Loss'!J5-'Profit &amp; Loss'!I5)/'Profit &amp; Loss'!I5,"NA")</f>
      </c>
      <c r="K4" s="83">
        <f>IFERROR(('Profit &amp; Loss'!K5-'Profit &amp; Loss'!J5)/'Profit &amp; Loss'!J5,"NA")</f>
      </c>
      <c r="L4" s="83">
        <f>IFERROR(('Profit &amp; Loss'!L5-'Profit &amp; Loss'!K5)/'Profit &amp; Loss'!K5,"NA")</f>
      </c>
      <c r="N4" s="83">
        <f>('Profit &amp; Loss'!K5/'Profit &amp; Loss'!B5)^(1/(9-1))-1</f>
      </c>
      <c r="O4" s="83">
        <f>('Profit &amp; Loss'!K5/'Profit &amp; Loss'!F5)^(1/(5-1))-1</f>
      </c>
      <c r="P4" s="83">
        <f>('Profit &amp; Loss'!K5/'Profit &amp; Loss'!H5)^(1/(3-1))-1</f>
      </c>
      <c r="Q4" t="str">
        <f>IF(N4&gt;N3+0.1,"Bad",IF(N4&lt;N3,"Excellent","Good"))</f>
      </c>
    </row>
    <row r="5" spans="1:18" x14ac:dyDescent="0.25">
      <c r="A5" s="81" t="s">
        <v>169</v>
      </c>
      <c r="B5" s="82" t="s">
        <v>167</v>
      </c>
      <c r="C5" s="83">
        <f>IFERROR(('Profit &amp; Loss'!C6-'Profit &amp; Loss'!B6)/'Profit &amp; Loss'!B6,"NA")</f>
      </c>
      <c r="D5" s="83">
        <f>IFERROR(('Profit &amp; Loss'!D6-'Profit &amp; Loss'!C6)/'Profit &amp; Loss'!C6,"NA")</f>
      </c>
      <c r="E5" s="83">
        <f>IFERROR(('Profit &amp; Loss'!E6-'Profit &amp; Loss'!D6)/'Profit &amp; Loss'!D6,"NA")</f>
      </c>
      <c r="F5" s="83">
        <f>IFERROR(('Profit &amp; Loss'!F6-'Profit &amp; Loss'!E6)/'Profit &amp; Loss'!E6,"NA")</f>
      </c>
      <c r="G5" s="83">
        <f>IFERROR(('Profit &amp; Loss'!G6-'Profit &amp; Loss'!F6)/'Profit &amp; Loss'!F6,"NA")</f>
      </c>
      <c r="H5" s="83">
        <f>IFERROR(('Profit &amp; Loss'!H6-'Profit &amp; Loss'!G6)/'Profit &amp; Loss'!G6,"NA")</f>
      </c>
      <c r="I5" s="83">
        <f>IFERROR(('Profit &amp; Loss'!I6-'Profit &amp; Loss'!H6)/'Profit &amp; Loss'!H6,"NA")</f>
      </c>
      <c r="J5" s="83">
        <f>IFERROR(('Profit &amp; Loss'!J6-'Profit &amp; Loss'!I6)/'Profit &amp; Loss'!I6,"NA")</f>
      </c>
      <c r="K5" s="83">
        <f>IFERROR(('Profit &amp; Loss'!K6-'Profit &amp; Loss'!J6)/'Profit &amp; Loss'!J6,"NA")</f>
      </c>
      <c r="L5" s="83">
        <f>IFERROR(('Profit &amp; Loss'!L6-'Profit &amp; Loss'!K6)/'Profit &amp; Loss'!K6,"NA")</f>
      </c>
      <c r="N5" s="83">
        <f>('Profit &amp; Loss'!K6/'Profit &amp; Loss'!B6)^(1/(9-1))-1</f>
      </c>
      <c r="O5" s="83">
        <f>('Profit &amp; Loss'!K6/'Profit &amp; Loss'!F6)^(1/(5-1))-1</f>
      </c>
      <c r="P5" s="83">
        <f>('Profit &amp; Loss'!K6/'Profit &amp; Loss'!H6)^(1/(3-1))-1</f>
      </c>
      <c r="Q5" t="str">
        <f>IF(N5&gt;0.15,"Excellent",IF(N5&lt;0.1,"Bad","Good"))</f>
      </c>
    </row>
    <row r="6" spans="1:18" x14ac:dyDescent="0.25">
      <c r="A6" s="81" t="s">
        <v>170</v>
      </c>
      <c r="B6" s="82" t="s">
        <v>167</v>
      </c>
      <c r="C6" s="83">
        <f>IFERROR(('Profit &amp; Loss'!C10-'Profit &amp; Loss'!B10)/'Profit &amp; Loss'!B10,"NA")</f>
      </c>
      <c r="D6" s="83">
        <f>IFERROR(('Profit &amp; Loss'!D10-'Profit &amp; Loss'!C10)/'Profit &amp; Loss'!C10,"NA")</f>
      </c>
      <c r="E6" s="83">
        <f>IFERROR(('Profit &amp; Loss'!E10-'Profit &amp; Loss'!D10)/'Profit &amp; Loss'!D10,"NA")</f>
      </c>
      <c r="F6" s="83">
        <f>IFERROR(('Profit &amp; Loss'!F10-'Profit &amp; Loss'!E10)/'Profit &amp; Loss'!E10,"NA")</f>
      </c>
      <c r="G6" s="83">
        <f>IFERROR(('Profit &amp; Loss'!G10-'Profit &amp; Loss'!F10)/'Profit &amp; Loss'!F10,"NA")</f>
      </c>
      <c r="H6" s="83">
        <f>IFERROR(('Profit &amp; Loss'!H10-'Profit &amp; Loss'!G10)/'Profit &amp; Loss'!G10,"NA")</f>
      </c>
      <c r="I6" s="83">
        <f>IFERROR(('Profit &amp; Loss'!I10-'Profit &amp; Loss'!H10)/'Profit &amp; Loss'!H10,"NA")</f>
      </c>
      <c r="J6" s="83">
        <f>IFERROR(('Profit &amp; Loss'!J10-'Profit &amp; Loss'!I10)/'Profit &amp; Loss'!I10,"NA")</f>
      </c>
      <c r="K6" s="83">
        <f>IFERROR(('Profit &amp; Loss'!K10-'Profit &amp; Loss'!J10)/'Profit &amp; Loss'!J10,"NA")</f>
      </c>
      <c r="L6" s="83">
        <f>IFERROR(('Profit &amp; Loss'!L10-'Profit &amp; Loss'!K10)/'Profit &amp; Loss'!K10,"NA")</f>
      </c>
      <c r="N6" s="83">
        <f>('Profit &amp; Loss'!K10/'Profit &amp; Loss'!B10)^(1/(9-1))-1</f>
      </c>
      <c r="O6" s="83">
        <f>('Profit &amp; Loss'!K10/'Profit &amp; Loss'!F10)^(1/(5-1))-1</f>
      </c>
      <c r="P6" s="83">
        <f>('Profit &amp; Loss'!K10/'Profit &amp; Loss'!H10)^(1/(3-1))-1</f>
      </c>
      <c r="Q6" t="str">
        <f>IF(N6&gt;0.15,"Excellent",IF(N6&lt;0.1,"Bad","Good"))</f>
      </c>
    </row>
    <row r="7" spans="1:18" x14ac:dyDescent="0.25">
      <c r="A7" s="81" t="s">
        <v>171</v>
      </c>
      <c r="B7" s="82" t="s">
        <v>167</v>
      </c>
      <c r="C7" s="83">
        <f>IFERROR(('Profit &amp; Loss'!C12-'Profit &amp; Loss'!B12)/'Profit &amp; Loss'!B12,"NA")</f>
      </c>
      <c r="D7" s="83">
        <f>IFERROR(('Profit &amp; Loss'!D12-'Profit &amp; Loss'!C12)/'Profit &amp; Loss'!C12,"NA")</f>
      </c>
      <c r="E7" s="83">
        <f>IFERROR(('Profit &amp; Loss'!E12-'Profit &amp; Loss'!D12)/'Profit &amp; Loss'!D12,"NA")</f>
      </c>
      <c r="F7" s="83">
        <f>IFERROR(('Profit &amp; Loss'!F12-'Profit &amp; Loss'!E12)/'Profit &amp; Loss'!E12,"NA")</f>
      </c>
      <c r="G7" s="83">
        <f>IFERROR(('Profit &amp; Loss'!G12-'Profit &amp; Loss'!F12)/'Profit &amp; Loss'!F12,"NA")</f>
      </c>
      <c r="H7" s="83">
        <f>IFERROR(('Profit &amp; Loss'!H12-'Profit &amp; Loss'!G12)/'Profit &amp; Loss'!G12,"NA")</f>
      </c>
      <c r="I7" s="83">
        <f>IFERROR(('Profit &amp; Loss'!I12-'Profit &amp; Loss'!H12)/'Profit &amp; Loss'!H12,"NA")</f>
      </c>
      <c r="J7" s="83">
        <f>IFERROR(('Profit &amp; Loss'!J12-'Profit &amp; Loss'!I12)/'Profit &amp; Loss'!I12,"NA")</f>
      </c>
      <c r="K7" s="83">
        <f>IFERROR(('Profit &amp; Loss'!K12-'Profit &amp; Loss'!J12)/'Profit &amp; Loss'!J12,"NA")</f>
      </c>
      <c r="L7" s="83">
        <f>IFERROR(('Profit &amp; Loss'!L12-'Profit &amp; Loss'!K12)/'Profit &amp; Loss'!K12,"NA")</f>
      </c>
      <c r="N7" s="83">
        <f>('Profit &amp; Loss'!K12/'Profit &amp; Loss'!B12)^(1/(9-1))-1</f>
      </c>
      <c r="O7" s="83">
        <f>('Profit &amp; Loss'!K12/'Profit &amp; Loss'!F12)^(1/(5-1))-1</f>
      </c>
      <c r="P7" s="83">
        <f>('Profit &amp; Loss'!K12/'Profit &amp; Loss'!H12)^(1/(3-1))-1</f>
      </c>
      <c r="Q7" t="str">
        <f>IF(N7&gt;0.15,"Excellent",IF(N7&lt;0.1,"Bad","Good"))</f>
      </c>
    </row>
    <row r="8" spans="1:18" x14ac:dyDescent="0.25">
      <c r="A8" s="81" t="s">
        <v>172</v>
      </c>
      <c r="B8" s="82" t="s">
        <v>167</v>
      </c>
      <c r="C8" s="83">
        <f>IFERROR(('Profit &amp; Loss'!C13-'Profit &amp; Loss'!B13)/'Profit &amp; Loss'!B13,"NA")</f>
      </c>
      <c r="D8" s="83">
        <f>IFERROR(('Profit &amp; Loss'!D13-'Profit &amp; Loss'!C13)/'Profit &amp; Loss'!C13,"NA")</f>
      </c>
      <c r="E8" s="83">
        <f>IFERROR(('Profit &amp; Loss'!E13-'Profit &amp; Loss'!D13)/'Profit &amp; Loss'!D13,"NA")</f>
      </c>
      <c r="F8" s="83">
        <f>IFERROR(('Profit &amp; Loss'!F13-'Profit &amp; Loss'!E13)/'Profit &amp; Loss'!E13,"NA")</f>
      </c>
      <c r="G8" s="83">
        <f>IFERROR(('Profit &amp; Loss'!G13-'Profit &amp; Loss'!F13)/'Profit &amp; Loss'!F13,"NA")</f>
      </c>
      <c r="H8" s="83">
        <f>IFERROR(('Profit &amp; Loss'!H13-'Profit &amp; Loss'!G13)/'Profit &amp; Loss'!G13,"NA")</f>
      </c>
      <c r="I8" s="83">
        <f>IFERROR(('Profit &amp; Loss'!I13-'Profit &amp; Loss'!H13)/'Profit &amp; Loss'!H13,"NA")</f>
      </c>
      <c r="J8" s="83">
        <f>IFERROR(('Profit &amp; Loss'!J13-'Profit &amp; Loss'!I13)/'Profit &amp; Loss'!I13,"NA")</f>
      </c>
      <c r="K8" s="83">
        <f>IFERROR(('Profit &amp; Loss'!K13-'Profit &amp; Loss'!J13)/'Profit &amp; Loss'!J13,"NA")</f>
      </c>
      <c r="L8" s="83">
        <f>IFERROR(('Profit &amp; Loss'!L13-'Profit &amp; Loss'!K13)/'Profit &amp; Loss'!K13,"NA")</f>
      </c>
      <c r="N8" s="83">
        <f>('Profit &amp; Loss'!K13/'Profit &amp; Loss'!B13)^(1/(9-1))-1</f>
      </c>
      <c r="O8" s="83">
        <f>('Profit &amp; Loss'!K13/'Profit &amp; Loss'!F13)^(1/(5-1))-1</f>
      </c>
      <c r="P8" s="83">
        <f>('Profit &amp; Loss'!K13/'Profit &amp; Loss'!H13)^(1/(3-1))-1</f>
      </c>
      <c r="Q8" t="str">
        <f>IF(N8&gt;0.15,"Excellent",IF(N8&lt;0.1,"Bad","Good"))</f>
      </c>
    </row>
    <row r="9" spans="1:18" ht="17.25" x14ac:dyDescent="0.25">
      <c r="A9" s="80" t="s">
        <v>173</v>
      </c>
      <c r="B9" s="82"/>
      <c r="C9" s="83"/>
      <c r="D9" s="83"/>
      <c r="E9" s="83"/>
      <c r="F9" s="83"/>
      <c r="G9" s="83"/>
      <c r="H9" s="83"/>
      <c r="I9" s="83"/>
      <c r="J9" s="83"/>
      <c r="K9" s="83"/>
      <c r="L9" s="83"/>
      <c r="N9" s="83"/>
      <c r="O9" s="83"/>
      <c r="P9" s="83"/>
    </row>
    <row r="10" spans="1:18" x14ac:dyDescent="0.25">
      <c r="A10" s="84" t="s">
        <v>174</v>
      </c>
      <c r="B10" s="82" t="s">
        <v>167</v>
      </c>
      <c r="C10" s="83">
        <f>IFERROR(('Cash Flow'!C4-'Cash Flow'!B4)/'Cash Flow'!B4,"NA")</f>
      </c>
      <c r="D10" s="83">
        <f>IFERROR(('Cash Flow'!D4-'Cash Flow'!C4)/'Cash Flow'!C4,"NA")</f>
      </c>
      <c r="E10" s="83">
        <f>IFERROR(('Cash Flow'!E4-'Cash Flow'!D4)/'Cash Flow'!D4,"NA")</f>
      </c>
      <c r="F10" s="83">
        <f>IFERROR(('Cash Flow'!F4-'Cash Flow'!E4)/'Cash Flow'!E4,"NA")</f>
      </c>
      <c r="G10" s="83">
        <f>IFERROR(('Cash Flow'!G4-'Cash Flow'!F4)/'Cash Flow'!F4,"NA")</f>
      </c>
      <c r="H10" s="83">
        <f>IFERROR(('Cash Flow'!H4-'Cash Flow'!G4)/'Cash Flow'!G4,"NA")</f>
      </c>
      <c r="I10" s="83">
        <f>IFERROR(('Cash Flow'!I4-'Cash Flow'!H4)/'Cash Flow'!H4,"NA")</f>
      </c>
      <c r="J10" s="83">
        <f>IFERROR(('Cash Flow'!J4-'Cash Flow'!I4)/'Cash Flow'!I4,"NA")</f>
      </c>
      <c r="K10" s="83">
        <f>IFERROR(('Cash Flow'!K4-'Cash Flow'!J4)/'Cash Flow'!J4,"NA")</f>
      </c>
      <c r="L10" s="83">
        <f>IFERROR(('Cash Flow'!K4-'Cash Flow'!J4)/'Cash Flow'!J4,"NA")</f>
      </c>
      <c r="N10" s="83"/>
      <c r="O10" s="83"/>
      <c r="P10" s="83"/>
    </row>
    <row r="11" spans="1:18" x14ac:dyDescent="0.25">
      <c r="A11" s="84" t="s">
        <v>175</v>
      </c>
      <c r="B11" s="82" t="s">
        <v>167</v>
      </c>
      <c r="C11" s="83">
        <f>IFERROR(('Cash Flow'!C5-'Cash Flow'!B5)/'Cash Flow'!B5,"NA")</f>
      </c>
      <c r="D11" s="83">
        <f>IFERROR(('Cash Flow'!D5-'Cash Flow'!C5)/'Cash Flow'!C5,"NA")</f>
      </c>
      <c r="E11" s="83">
        <f>IFERROR(('Cash Flow'!E5-'Cash Flow'!D5)/'Cash Flow'!D5,"NA")</f>
      </c>
      <c r="F11" s="83">
        <f>IFERROR(('Cash Flow'!F5-'Cash Flow'!E5)/'Cash Flow'!E5,"NA")</f>
      </c>
      <c r="G11" s="83">
        <f>IFERROR(('Cash Flow'!G5-'Cash Flow'!F5)/'Cash Flow'!F5,"NA")</f>
      </c>
      <c r="H11" s="83">
        <f>IFERROR(('Cash Flow'!H5-'Cash Flow'!G5)/'Cash Flow'!G5,"NA")</f>
      </c>
      <c r="I11" s="83">
        <f>IFERROR(('Cash Flow'!I5-'Cash Flow'!H5)/'Cash Flow'!H5,"NA")</f>
      </c>
      <c r="J11" s="83">
        <f>IFERROR(('Cash Flow'!J5-'Cash Flow'!I5)/'Cash Flow'!I5,"NA")</f>
      </c>
      <c r="K11" s="83">
        <f>IFERROR(('Cash Flow'!K5-'Cash Flow'!J5)/'Cash Flow'!J5,"NA")</f>
      </c>
      <c r="L11" s="83">
        <f>IFERROR(('Cash Flow'!K5-'Cash Flow'!J5)/'Cash Flow'!J5,"NA")</f>
      </c>
      <c r="N11" s="83"/>
      <c r="O11" s="83"/>
      <c r="P11" s="83"/>
    </row>
    <row r="12" spans="1:18" ht="17.25" x14ac:dyDescent="0.25">
      <c r="A12" s="80" t="s">
        <v>176</v>
      </c>
      <c r="B12" s="82"/>
      <c r="C12" s="83"/>
      <c r="D12" s="83"/>
      <c r="E12" s="83"/>
      <c r="F12" s="83"/>
      <c r="G12" s="83"/>
      <c r="H12" s="83"/>
      <c r="I12" s="83"/>
      <c r="J12" s="83"/>
      <c r="K12" s="83"/>
      <c r="N12" s="83"/>
      <c r="O12" s="83"/>
      <c r="P12" s="83"/>
    </row>
    <row r="13" spans="1:18" x14ac:dyDescent="0.25">
      <c r="A13" s="81" t="s">
        <v>177</v>
      </c>
      <c r="B13" s="82" t="s">
        <v>167</v>
      </c>
      <c r="C13" s="83">
        <f>IFERROR(('Data Sheet'!C67-'Data Sheet'!B67)/'Data Sheet'!B67,"NA")</f>
      </c>
      <c r="D13" s="83">
        <f>IFERROR(('Data Sheet'!D67-'Data Sheet'!C67)/'Data Sheet'!C67,"NA")</f>
      </c>
      <c r="E13" s="83">
        <f>IFERROR(('Data Sheet'!E67-'Data Sheet'!D67)/'Data Sheet'!D67,"NA")</f>
      </c>
      <c r="F13" s="83">
        <f>IFERROR(('Data Sheet'!F67-'Data Sheet'!E67)/'Data Sheet'!E67,"NA")</f>
      </c>
      <c r="G13" s="83">
        <f>IFERROR(('Data Sheet'!G67-'Data Sheet'!F67)/'Data Sheet'!F67,"NA")</f>
      </c>
      <c r="H13" s="83">
        <f>IFERROR(('Data Sheet'!H67-'Data Sheet'!G67)/'Data Sheet'!G67,"NA")</f>
      </c>
      <c r="I13" s="83">
        <f>IFERROR(('Data Sheet'!I67-'Data Sheet'!H67)/'Data Sheet'!H67,"NA")</f>
      </c>
      <c r="J13" s="83">
        <f>IFERROR(('Data Sheet'!J67-'Data Sheet'!I67)/'Data Sheet'!I67,"NA")</f>
      </c>
      <c r="K13" s="83">
        <f>IFERROR(('Data Sheet'!K67-'Data Sheet'!J67)/'Data Sheet'!J67,"NA")</f>
      </c>
      <c r="L13" s="83">
        <f>IFERROR(('Data Sheet'!K67-'Data Sheet'!J67)/'Data Sheet'!J67,"NA")</f>
      </c>
      <c r="N13" s="83">
        <f>IFERROR(('Data Sheet'!K67/'Data Sheet'!B67)^(1/(9-1))-1,"NA")</f>
      </c>
      <c r="O13" s="83">
        <f>IFERROR(('Data Sheet'!K57/'Data Sheet'!G67)^(1/(5-1))-1,"NA")</f>
      </c>
      <c r="P13" s="83">
        <f>IFERROR(('Data Sheet'!K67/'Data Sheet'!I67)^(1/(3-1))-1,"NA")</f>
      </c>
      <c r="Q13" t="str">
        <f>IF(N13&gt;$N$3+0.1,"Bad",IF(N13&lt;$N$3,"Excellent",IF(N13="NA","NA","Good")))</f>
      </c>
    </row>
    <row r="14" spans="1:18" x14ac:dyDescent="0.25">
      <c r="A14" s="81" t="s">
        <v>178</v>
      </c>
      <c r="B14" s="82" t="s">
        <v>167</v>
      </c>
      <c r="C14" s="83">
        <f>IFERROR(('Data Sheet'!C68-'Data Sheet'!B68)/'Data Sheet'!B68,"NA")</f>
      </c>
      <c r="D14" s="83">
        <f>IFERROR(('Data Sheet'!D68-'Data Sheet'!C68)/'Data Sheet'!C68,"NA")</f>
      </c>
      <c r="E14" s="83">
        <f>IFERROR(('Data Sheet'!E68-'Data Sheet'!D68)/'Data Sheet'!D68,"NA")</f>
      </c>
      <c r="F14" s="83">
        <f>IFERROR(('Data Sheet'!F68-'Data Sheet'!E68)/'Data Sheet'!E68,"NA")</f>
      </c>
      <c r="G14" s="83">
        <f>IFERROR(('Data Sheet'!G68-'Data Sheet'!F68)/'Data Sheet'!F68,"NA")</f>
      </c>
      <c r="H14" s="83">
        <f>IFERROR(('Data Sheet'!H68-'Data Sheet'!G68)/'Data Sheet'!G68,"NA")</f>
      </c>
      <c r="I14" s="83">
        <f>IFERROR(('Data Sheet'!I68-'Data Sheet'!H68)/'Data Sheet'!H68,"NA")</f>
      </c>
      <c r="J14" s="83">
        <f>IFERROR(('Data Sheet'!J68-'Data Sheet'!I68)/'Data Sheet'!I68,"NA")</f>
      </c>
      <c r="K14" s="83">
        <f>IFERROR(('Data Sheet'!K68-'Data Sheet'!J68)/'Data Sheet'!J68,"NA")</f>
      </c>
      <c r="L14" s="83">
        <f>IFERROR(('Data Sheet'!K68-'Data Sheet'!J68)/'Data Sheet'!J68,"NA")</f>
      </c>
      <c r="N14" s="83">
        <f>IFERROR(('Data Sheet'!K68/'Data Sheet'!B68)^(1/(9-1))-1,"NA")</f>
      </c>
      <c r="O14" s="83">
        <f>IFERROR(('Data Sheet'!K68/'Data Sheet'!G68)^(1/(5-1))-1,"NA")</f>
      </c>
      <c r="P14" s="83">
        <f>IFERROR(('Data Sheet'!K68/'Data Sheet'!G68)^(1/(3-1))-1,"NA")</f>
      </c>
      <c r="Q14" t="str">
        <f>IF(N14&gt;$N$3+0.1,"Bad",IF(N14&lt;$N$3,"Excellent",IF(N14="NA","NA","Good")))</f>
      </c>
    </row>
    <row r="15" spans="1:18" x14ac:dyDescent="0.25">
      <c r="A15" s="81" t="s">
        <v>179</v>
      </c>
      <c r="B15" s="82"/>
      <c r="C15" s="83">
        <f>IFERROR(('Data Sheet'!C57-'Data Sheet'!B57)/'Data Sheet'!B57,"NA")</f>
      </c>
      <c r="D15" s="83">
        <f>IFERROR(('Data Sheet'!D57-'Data Sheet'!C57)/'Data Sheet'!C57,"NA")</f>
      </c>
      <c r="E15" s="83">
        <f>IFERROR(('Data Sheet'!E57-'Data Sheet'!D57)/'Data Sheet'!D57,"NA")</f>
      </c>
      <c r="F15" s="83">
        <f>IFERROR(('Data Sheet'!F57-'Data Sheet'!E57)/'Data Sheet'!E57,"NA")</f>
      </c>
      <c r="G15" s="83">
        <f>IFERROR(('Data Sheet'!G57-'Data Sheet'!F57)/'Data Sheet'!F57,"NA")</f>
      </c>
      <c r="H15" s="83">
        <f>IFERROR(('Data Sheet'!H57-'Data Sheet'!G57)/'Data Sheet'!G57,"NA")</f>
      </c>
      <c r="I15" s="83">
        <f>IFERROR(('Data Sheet'!I57-'Data Sheet'!H57)/'Data Sheet'!H57,"NA")</f>
      </c>
      <c r="J15" s="83">
        <f>IFERROR(('Data Sheet'!J57-'Data Sheet'!I57)/'Data Sheet'!I57,"NA")</f>
      </c>
      <c r="K15" s="83">
        <f>IFERROR(('Data Sheet'!K57-'Data Sheet'!J57)/'Data Sheet'!J57,"NA")</f>
      </c>
      <c r="L15" s="83">
        <f>IFERROR(('Data Sheet'!K57-'Data Sheet'!J57)/'Data Sheet'!J57,"NA")</f>
      </c>
      <c r="N15" s="83">
        <f>IFERROR(('Data Sheet'!K57/'Data Sheet'!B57)^(1/(9-1))-1,"NA")</f>
      </c>
      <c r="O15" s="83">
        <f>IFERROR(('Data Sheet'!K57/'Data Sheet'!G57)^(1/(5-1))-1,"NA")</f>
      </c>
      <c r="P15" s="83">
        <f>IFERROR(('Data Sheet'!K57/'Data Sheet'!I57)^(1/(3-1))-1,"NA")</f>
      </c>
    </row>
    <row r="16" spans="1:18" x14ac:dyDescent="0.25">
      <c r="A16" s="81" t="s">
        <v>180</v>
      </c>
      <c r="B16" s="82"/>
      <c r="C16" s="83">
        <f>IFERROR(('Data Sheet'!C58-'Data Sheet'!B58)/'Data Sheet'!B58,"NA")</f>
      </c>
      <c r="D16" s="83">
        <f>IFERROR(('Data Sheet'!D58-'Data Sheet'!C58)/'Data Sheet'!C58,"NA")</f>
      </c>
      <c r="E16" s="83">
        <f>IFERROR(('Data Sheet'!E58-'Data Sheet'!D58)/'Data Sheet'!D58,"NA")</f>
      </c>
      <c r="F16" s="83">
        <f>IFERROR(('Data Sheet'!F58-'Data Sheet'!E58)/'Data Sheet'!E58,"NA")</f>
      </c>
      <c r="G16" s="83">
        <f>IFERROR(('Data Sheet'!G58-'Data Sheet'!F58)/'Data Sheet'!F58,"NA")</f>
      </c>
      <c r="H16" s="83">
        <f>IFERROR(('Data Sheet'!H58-'Data Sheet'!G58)/'Data Sheet'!G58,"NA")</f>
      </c>
      <c r="I16" s="83">
        <f>IFERROR(('Data Sheet'!I58-'Data Sheet'!H58)/'Data Sheet'!H58,"NA")</f>
      </c>
      <c r="J16" s="83">
        <f>IFERROR(('Data Sheet'!J58-'Data Sheet'!I58)/'Data Sheet'!I58,"NA")</f>
      </c>
      <c r="K16" s="83">
        <f>IFERROR(('Data Sheet'!K58-'Data Sheet'!J58)/'Data Sheet'!J58,"NA")</f>
      </c>
      <c r="L16" s="83">
        <f>IFERROR(('Data Sheet'!K58-'Data Sheet'!J58)/'Data Sheet'!J58,"NA")</f>
      </c>
      <c r="N16" s="83">
        <f>IFERROR(('Data Sheet'!K58/'Data Sheet'!B58)^(1/(9-1))-1,"NA")</f>
      </c>
      <c r="O16" s="83">
        <f>IFERROR(('Data Sheet'!K58/'Data Sheet'!G58)^(1/(5-1))-1,"NA")</f>
      </c>
      <c r="P16" s="83">
        <f>IFERROR(('Data Sheet'!K58/'Data Sheet'!I58)^(1/(3-1))-1,"NA")</f>
      </c>
    </row>
    <row r="17" spans="1:17" x14ac:dyDescent="0.25">
      <c r="A17" s="81" t="s">
        <v>181</v>
      </c>
      <c r="B17" s="82"/>
      <c r="C17" s="83">
        <f>IFERROR(('Data Sheet'!C57+'Data Sheet'!C58-'Data Sheet'!B57-'Data Sheet'!B58)/('Data Sheet'!B57+'Data Sheet'!B58),"NA")</f>
      </c>
      <c r="D17" s="83">
        <f>IFERROR(('Data Sheet'!D57+'Data Sheet'!D58-'Data Sheet'!C57-'Data Sheet'!C58)/('Data Sheet'!C57+'Data Sheet'!C58),"NA")</f>
      </c>
      <c r="E17" s="83">
        <f>IFERROR(('Data Sheet'!E57+'Data Sheet'!E58-'Data Sheet'!D57-'Data Sheet'!D58)/('Data Sheet'!D57+'Data Sheet'!D58),"NA")</f>
      </c>
      <c r="F17" s="83">
        <f>IFERROR(('Data Sheet'!F57+'Data Sheet'!F58-'Data Sheet'!E57-'Data Sheet'!E58)/('Data Sheet'!E57+'Data Sheet'!E58),"NA")</f>
      </c>
      <c r="G17" s="83">
        <f>IFERROR(('Data Sheet'!G57+'Data Sheet'!G58-'Data Sheet'!F57-'Data Sheet'!F58)/('Data Sheet'!F57+'Data Sheet'!F58),"NA")</f>
      </c>
      <c r="H17" s="83">
        <f>IFERROR(('Data Sheet'!H57+'Data Sheet'!H58-'Data Sheet'!G57-'Data Sheet'!G58)/('Data Sheet'!G57+'Data Sheet'!G58),"NA")</f>
      </c>
      <c r="I17" s="83">
        <f>IFERROR(('Data Sheet'!I57+'Data Sheet'!I58-'Data Sheet'!H57-'Data Sheet'!H58)/('Data Sheet'!H57+'Data Sheet'!H58),"NA")</f>
      </c>
      <c r="J17" s="83">
        <f>IFERROR(('Data Sheet'!J57+'Data Sheet'!J58-'Data Sheet'!I57-'Data Sheet'!I58)/('Data Sheet'!I57+'Data Sheet'!I58),"NA")</f>
      </c>
      <c r="K17" s="83">
        <f>IFERROR(('Data Sheet'!K57+'Data Sheet'!K58-'Data Sheet'!J57-'Data Sheet'!J58)/('Data Sheet'!J57+'Data Sheet'!J58),"NA")</f>
      </c>
      <c r="L17" s="83">
        <f>IFERROR(('Data Sheet'!K57+'Data Sheet'!K58-'Data Sheet'!J57-'Data Sheet'!J58)/('Data Sheet'!J57+'Data Sheet'!J58),"NA")</f>
      </c>
      <c r="N17" s="83">
        <f>IFERROR((('Data Sheet'!K57+'Data Sheet'!K58)/('Data Sheet'!B57+'Data Sheet'!B58))^(1/(9-1))-1,"NA")</f>
      </c>
      <c r="O17" s="83">
        <f>IFERROR((('Data Sheet'!K57+'Data Sheet'!K58)/('Data Sheet'!G57+'Data Sheet'!G58))^(1/(5-1))-1,"NA")</f>
      </c>
      <c r="P17" s="83">
        <f>IFERROR((('Data Sheet'!K57+'Data Sheet'!K58)/('Data Sheet'!I57+'Data Sheet'!I58))^(1/(3-1))-1,"NA")</f>
      </c>
    </row>
    <row r="18" spans="1:17" x14ac:dyDescent="0.25">
      <c r="A18" s="81" t="s">
        <v>182</v>
      </c>
      <c r="B18" s="82"/>
      <c r="C18" s="83">
        <f>IFERROR(('Data Sheet'!C66-'Data Sheet'!B66)/'Data Sheet'!B66,"NA")</f>
      </c>
      <c r="D18" s="83">
        <f>IFERROR(('Data Sheet'!D66-'Data Sheet'!C66)/'Data Sheet'!C66,"NA")</f>
      </c>
      <c r="E18" s="83">
        <f>IFERROR(('Data Sheet'!E66-'Data Sheet'!D66)/'Data Sheet'!D66,"NA")</f>
      </c>
      <c r="F18" s="83">
        <f>IFERROR(('Data Sheet'!F66-'Data Sheet'!E66)/'Data Sheet'!E66,"NA")</f>
      </c>
      <c r="G18" s="83">
        <f>IFERROR(('Data Sheet'!G66-'Data Sheet'!F66)/'Data Sheet'!F66,"NA")</f>
      </c>
      <c r="H18" s="83">
        <f>IFERROR(('Data Sheet'!H66-'Data Sheet'!G66)/'Data Sheet'!G66,"NA")</f>
      </c>
      <c r="I18" s="83">
        <f>IFERROR(('Data Sheet'!I66-'Data Sheet'!H66)/'Data Sheet'!H66,"NA")</f>
      </c>
      <c r="J18" s="83">
        <f>IFERROR(('Data Sheet'!J66-'Data Sheet'!I66)/'Data Sheet'!I66,"NA")</f>
      </c>
      <c r="K18" s="83">
        <f>IFERROR(('Data Sheet'!K66-'Data Sheet'!J66)/'Data Sheet'!J66,"NA")</f>
      </c>
      <c r="L18" s="83">
        <f>IFERROR(('Data Sheet'!K66-'Data Sheet'!J66)/'Data Sheet'!J66,"NA")</f>
      </c>
      <c r="N18" s="83">
        <f>IFERROR(('Data Sheet'!K66/'Data Sheet'!B66)^(1/(9-1))-1,"NA")</f>
      </c>
      <c r="O18" s="83">
        <f>IFERROR(('Data Sheet'!K66/'Data Sheet'!G66)^(1/(5-1))-1,"NA")</f>
      </c>
      <c r="P18" s="83">
        <f>IFERROR(('Data Sheet'!K66/'Data Sheet'!I66)^(1/(3-1))-1,"NA")</f>
      </c>
    </row>
    <row r="19" spans="1:17" x14ac:dyDescent="0.25">
      <c r="A19" s="81" t="s">
        <v>183</v>
      </c>
      <c r="B19" s="82"/>
      <c r="C19" s="83">
        <f>IFERROR(('Data Sheet'!C62-'Data Sheet'!B62)/'Data Sheet'!B62,"NA")</f>
      </c>
      <c r="D19" s="83">
        <f>IFERROR(('Data Sheet'!D62-'Data Sheet'!C62)/'Data Sheet'!C62,"NA")</f>
      </c>
      <c r="E19" s="83">
        <f>IFERROR(('Data Sheet'!E62-'Data Sheet'!D62)/'Data Sheet'!D62,"NA")</f>
      </c>
      <c r="F19" s="83">
        <f>IFERROR(('Data Sheet'!F62-'Data Sheet'!E62)/'Data Sheet'!E62,"NA")</f>
      </c>
      <c r="G19" s="83">
        <f>IFERROR(('Data Sheet'!G62-'Data Sheet'!F62)/'Data Sheet'!F62,"NA")</f>
      </c>
      <c r="H19" s="83">
        <f>IFERROR(('Data Sheet'!H62-'Data Sheet'!G62)/'Data Sheet'!G62,"NA")</f>
      </c>
      <c r="I19" s="83">
        <f>IFERROR(('Data Sheet'!I62-'Data Sheet'!H62)/'Data Sheet'!H62,"NA")</f>
      </c>
      <c r="J19" s="83">
        <f>IFERROR(('Data Sheet'!J62-'Data Sheet'!I62)/'Data Sheet'!I62,"NA")</f>
      </c>
      <c r="K19" s="83">
        <f>IFERROR(('Data Sheet'!K62-'Data Sheet'!J62)/'Data Sheet'!J62,"NA")</f>
      </c>
      <c r="L19" s="83">
        <f>IFERROR(('Data Sheet'!K62-'Data Sheet'!J62)/'Data Sheet'!J62,"NA")</f>
      </c>
      <c r="N19" s="83">
        <f>IFERROR(('Data Sheet'!K62/'Data Sheet'!B62)^(1/(9-1))-1,"NA")</f>
      </c>
      <c r="O19" s="83">
        <f>IFERROR(('Data Sheet'!K62/'Data Sheet'!G62)^(1/(5-1))-1,"NA")</f>
      </c>
      <c r="P19" s="83">
        <f>IFERROR(('Data Sheet'!K62/'Data Sheet'!I62)^(1/(3-1))-1,"NA")</f>
      </c>
    </row>
    <row r="20" spans="1:17" x14ac:dyDescent="0.25">
      <c r="A20" s="81" t="s">
        <v>184</v>
      </c>
      <c r="B20" s="82"/>
      <c r="C20" s="83">
        <f>IFERROR(('Data Sheet'!C65-'Data Sheet'!B65)/'Data Sheet'!B65,"NA")</f>
      </c>
      <c r="D20" s="83">
        <f>IFERROR(('Data Sheet'!D65-'Data Sheet'!C65)/'Data Sheet'!C65,"NA")</f>
      </c>
      <c r="E20" s="83">
        <f>IFERROR(('Data Sheet'!E65-'Data Sheet'!D65)/'Data Sheet'!D65,"NA")</f>
      </c>
      <c r="F20" s="83">
        <f>IFERROR(('Data Sheet'!F65-'Data Sheet'!E65)/'Data Sheet'!E65,"NA")</f>
      </c>
      <c r="G20" s="83">
        <f>IFERROR(('Data Sheet'!G65-'Data Sheet'!F65)/'Data Sheet'!F65,"NA")</f>
      </c>
      <c r="H20" s="83">
        <f>IFERROR(('Data Sheet'!H65-'Data Sheet'!G65)/'Data Sheet'!G65,"NA")</f>
      </c>
      <c r="I20" s="83">
        <f>IFERROR(('Data Sheet'!I65-'Data Sheet'!H65)/'Data Sheet'!H65,"NA")</f>
      </c>
      <c r="J20" s="83">
        <f>IFERROR(('Data Sheet'!J65-'Data Sheet'!I65)/'Data Sheet'!I65,"NA")</f>
      </c>
      <c r="K20" s="83">
        <f>IFERROR(('Data Sheet'!K65-'Data Sheet'!J65)/'Data Sheet'!J65,"NA")</f>
      </c>
      <c r="L20" s="83">
        <f>IFERROR(('Data Sheet'!K65-'Data Sheet'!J65)/'Data Sheet'!J65,"NA")</f>
      </c>
      <c r="N20" s="83">
        <f>IFERROR(('Data Sheet'!K65/'Data Sheet'!B65)^(1/(9-1))-1,"NA")</f>
      </c>
      <c r="O20" s="83">
        <f>IFERROR(('Data Sheet'!K65/'Data Sheet'!G65)^(1/(5-1))-1,"NA")</f>
      </c>
      <c r="P20" s="83">
        <f>IFERROR(('Data Sheet'!K65/'Data Sheet'!I65)^(1/(3-1))-1,"NA")</f>
      </c>
    </row>
    <row r="21" spans="1:17" x14ac:dyDescent="0.25">
      <c r="A21" s="81" t="s">
        <v>185</v>
      </c>
      <c r="B21" s="82"/>
      <c r="C21" s="83">
        <f>IFERROR(('Data Sheet'!C59+'Data Sheet'!C60-'Data Sheet'!B59-'Data Sheet'!B60)/('Data Sheet'!B59+'Data Sheet'!B60),"NA")</f>
      </c>
      <c r="D21" s="83">
        <f>IFERROR(('Data Sheet'!D59+'Data Sheet'!D60-'Data Sheet'!C59-'Data Sheet'!C60)/('Data Sheet'!C59+'Data Sheet'!C60),"NA")</f>
      </c>
      <c r="E21" s="83">
        <f>IFERROR(('Data Sheet'!E59+'Data Sheet'!E60-'Data Sheet'!D59-'Data Sheet'!D60)/('Data Sheet'!D59+'Data Sheet'!D60),"NA")</f>
      </c>
      <c r="F21" s="83">
        <f>IFERROR(('Data Sheet'!F59+'Data Sheet'!F60-'Data Sheet'!E59-'Data Sheet'!E60)/('Data Sheet'!E59+'Data Sheet'!E60),"NA")</f>
      </c>
      <c r="G21" s="83">
        <f>IFERROR(('Data Sheet'!G59+'Data Sheet'!G60-'Data Sheet'!F59-'Data Sheet'!F60)/('Data Sheet'!F59+'Data Sheet'!F60),"NA")</f>
      </c>
      <c r="H21" s="83">
        <f>IFERROR(('Data Sheet'!H59+'Data Sheet'!H60-'Data Sheet'!G59-'Data Sheet'!G60)/('Data Sheet'!G59+'Data Sheet'!G60),"NA")</f>
      </c>
      <c r="I21" s="83">
        <f>IFERROR(('Data Sheet'!I59+'Data Sheet'!I60-'Data Sheet'!H59-'Data Sheet'!H60)/('Data Sheet'!H59+'Data Sheet'!H60),"NA")</f>
      </c>
      <c r="J21" s="83">
        <f>IFERROR(('Data Sheet'!J59+'Data Sheet'!J60-'Data Sheet'!I59-'Data Sheet'!I60)/('Data Sheet'!I59+'Data Sheet'!I60),"NA")</f>
      </c>
      <c r="K21" s="83">
        <f>IFERROR(('Data Sheet'!K59+'Data Sheet'!K60-'Data Sheet'!J59-'Data Sheet'!J60)/('Data Sheet'!J59+'Data Sheet'!J60),"NA")</f>
      </c>
      <c r="L21" s="83">
        <f>IFERROR(('Data Sheet'!K59+'Data Sheet'!K60-'Data Sheet'!J59-'Data Sheet'!J60)/('Data Sheet'!J59+'Data Sheet'!J60),"NA")</f>
      </c>
      <c r="N21" s="83">
        <f>IFERROR((('Data Sheet'!K59+'Data Sheet'!K60)/('Data Sheet'!B59+'Data Sheet'!B60))^(1/(9-1))-1,"NA")</f>
      </c>
      <c r="O21" s="83">
        <f>IFERROR((('Data Sheet'!K59+'Data Sheet'!K60)/('Data Sheet'!G59+'Data Sheet'!G60))^(1/(5-1))-1,"NA")</f>
      </c>
      <c r="P21" s="83">
        <f>IFERROR((('Data Sheet'!K59+'Data Sheet'!K60)/('Data Sheet'!I59+'Data Sheet'!I60))^(1/(3-1))-1,"NA")</f>
      </c>
    </row>
    <row r="22" spans="1:17" x14ac:dyDescent="0.25">
      <c r="A22" s="81" t="s">
        <v>186</v>
      </c>
      <c r="B22" s="82"/>
      <c r="C22" s="83">
        <f>IFERROR(('Data Sheet'!C59-'Data Sheet'!B59)/'Data Sheet'!B59,"NA")</f>
      </c>
      <c r="D22" s="83">
        <f>IFERROR(('Data Sheet'!D59-'Data Sheet'!C59)/'Data Sheet'!C59,"NA")</f>
      </c>
      <c r="E22" s="83">
        <f>IFERROR(('Data Sheet'!E59-'Data Sheet'!D59)/'Data Sheet'!D59,"NA")</f>
      </c>
      <c r="F22" s="83">
        <f>IFERROR(('Data Sheet'!F59-'Data Sheet'!E59)/'Data Sheet'!E59,"NA")</f>
      </c>
      <c r="G22" s="83">
        <f>IFERROR(('Data Sheet'!G59-'Data Sheet'!F59)/'Data Sheet'!F59,"NA")</f>
      </c>
      <c r="H22" s="83">
        <f>IFERROR(('Data Sheet'!H59-'Data Sheet'!G59)/'Data Sheet'!G59,"NA")</f>
      </c>
      <c r="I22" s="83">
        <f>IFERROR(('Data Sheet'!I59-'Data Sheet'!H59)/'Data Sheet'!H59,"NA")</f>
      </c>
      <c r="J22" s="83">
        <f>IFERROR(('Data Sheet'!J59-'Data Sheet'!I59)/'Data Sheet'!I59,"NA")</f>
      </c>
      <c r="K22" s="83">
        <f>IFERROR(('Data Sheet'!K59-'Data Sheet'!J59)/'Data Sheet'!J59,"NA")</f>
      </c>
      <c r="L22" s="83">
        <f>IFERROR(('Data Sheet'!K59-'Data Sheet'!J59)/'Data Sheet'!J59,"NA")</f>
      </c>
      <c r="N22" s="83">
        <f>IFERROR(('Data Sheet'!K59/'Data Sheet'!B59)^(1/(9-1))-1,"NA")</f>
      </c>
      <c r="O22" s="83">
        <f>IFERROR(('Data Sheet'!K59/'Data Sheet'!G59)^(1/(5-1))-1,"NA")</f>
      </c>
      <c r="P22" s="83">
        <f>IFERROR(('Data Sheet'!K59/'Data Sheet'!I59)^(1/(3-1))-1,"NA")</f>
      </c>
    </row>
    <row r="23" spans="1:17" x14ac:dyDescent="0.25">
      <c r="A23" s="81" t="s">
        <v>187</v>
      </c>
      <c r="B23" s="82"/>
      <c r="C23" s="83">
        <f>IFERROR(('Data Sheet'!C60-'Data Sheet'!B60)/'Data Sheet'!B60,"NA")</f>
      </c>
      <c r="D23" s="83">
        <f>IFERROR(('Data Sheet'!D60-'Data Sheet'!C60)/'Data Sheet'!C60,"NA")</f>
      </c>
      <c r="E23" s="83">
        <f>IFERROR(('Data Sheet'!E60-'Data Sheet'!D60)/'Data Sheet'!D60,"NA")</f>
      </c>
      <c r="F23" s="83">
        <f>IFERROR(('Data Sheet'!F60-'Data Sheet'!E60)/'Data Sheet'!E60,"NA")</f>
      </c>
      <c r="G23" s="83">
        <f>IFERROR(('Data Sheet'!G60-'Data Sheet'!F60)/'Data Sheet'!F60,"NA")</f>
      </c>
      <c r="H23" s="83">
        <f>IFERROR(('Data Sheet'!H60-'Data Sheet'!G60)/'Data Sheet'!G60,"NA")</f>
      </c>
      <c r="I23" s="83">
        <f>IFERROR(('Data Sheet'!I60-'Data Sheet'!H60)/'Data Sheet'!H60,"NA")</f>
      </c>
      <c r="J23" s="83">
        <f>IFERROR(('Data Sheet'!J60-'Data Sheet'!I60)/'Data Sheet'!I60,"NA")</f>
      </c>
      <c r="K23" s="83">
        <f>IFERROR(('Data Sheet'!K60-'Data Sheet'!J60)/'Data Sheet'!J60,"NA")</f>
      </c>
      <c r="L23" s="83">
        <f>IFERROR(('Data Sheet'!K60-'Data Sheet'!J60)/'Data Sheet'!J60,"NA")</f>
      </c>
      <c r="N23" s="83">
        <f>IFERROR(('Data Sheet'!K60/'Data Sheet'!B60)^(1/(9-1))-1,"NA")</f>
      </c>
      <c r="O23" s="83">
        <f>IFERROR(('Data Sheet'!K60/'Data Sheet'!G60)^(1/(5-1))-1,"NA")</f>
      </c>
      <c r="P23" s="83">
        <f>IFERROR(('Data Sheet'!K60/'Data Sheet'!I60)^(1/(3-1))-1,"NA")</f>
      </c>
    </row>
    <row r="24" spans="1:17" x14ac:dyDescent="0.25">
      <c r="A24" s="81" t="s">
        <v>188</v>
      </c>
      <c r="B24" s="82"/>
      <c r="C24" s="83">
        <f>'Data Sheet'!C26/Other_input_data!C49</f>
      </c>
      <c r="D24" s="83">
        <f>'Data Sheet'!D26/Other_input_data!D49</f>
      </c>
      <c r="E24" s="83">
        <f>'Data Sheet'!E26/Other_input_data!E49</f>
      </c>
      <c r="F24" s="83">
        <f>'Data Sheet'!F26/Other_input_data!F49</f>
      </c>
      <c r="G24" s="83">
        <f>'Data Sheet'!G26/Other_input_data!G49</f>
      </c>
      <c r="H24" s="83">
        <f>'Data Sheet'!H26/Other_input_data!H49</f>
      </c>
      <c r="I24" s="83">
        <f>'Data Sheet'!I26/Other_input_data!I49</f>
      </c>
      <c r="J24" s="83">
        <f>'Data Sheet'!J26/Other_input_data!J49</f>
      </c>
      <c r="K24" s="83">
        <f>'Data Sheet'!K26/Other_input_data!K49</f>
      </c>
      <c r="L24" s="83">
        <f>'Data Sheet'!K26/Other_input_data!K49</f>
      </c>
      <c r="N24" s="83"/>
      <c r="O24" s="83"/>
      <c r="P24" s="83"/>
    </row>
    <row r="25" spans="1:17" x14ac:dyDescent="0.25">
      <c r="A25" s="81"/>
      <c r="B25" s="82"/>
      <c r="C25" s="83"/>
      <c r="D25" s="83"/>
      <c r="E25" s="83"/>
      <c r="F25" s="83"/>
      <c r="G25" s="83"/>
      <c r="H25" s="83"/>
      <c r="I25" s="83"/>
      <c r="J25" s="83"/>
      <c r="K25" s="83"/>
      <c r="L25" s="83"/>
      <c r="N25" s="83"/>
      <c r="O25" s="83"/>
      <c r="P25" s="83"/>
    </row>
    <row r="26" spans="1:17" ht="18.75" x14ac:dyDescent="0.25">
      <c r="A26" s="75" t="s">
        <v>189</v>
      </c>
      <c r="B26" s="82"/>
      <c r="C26" s="85">
        <f>C1</f>
      </c>
      <c r="D26" s="85">
        <f t="shared" ref="D26:L26" si="0">D1</f>
      </c>
      <c r="E26" s="85">
        <f t="shared" si="0"/>
      </c>
      <c r="F26" s="85">
        <f t="shared" si="0"/>
      </c>
      <c r="G26" s="85">
        <f t="shared" si="0"/>
      </c>
      <c r="H26" s="85">
        <f t="shared" si="0"/>
      </c>
      <c r="I26" s="85">
        <f t="shared" si="0"/>
      </c>
      <c r="J26" s="85">
        <f t="shared" si="0"/>
      </c>
      <c r="K26" s="85">
        <f t="shared" si="0"/>
      </c>
      <c r="L26" s="85" t="str">
        <f t="shared" si="0"/>
      </c>
      <c r="N26" s="79" t="s">
        <v>190</v>
      </c>
      <c r="O26" s="79" t="s">
        <v>191</v>
      </c>
      <c r="P26" s="79" t="s">
        <v>192</v>
      </c>
      <c r="Q26" s="79" t="s">
        <v>193</v>
      </c>
    </row>
    <row r="27" spans="1:17" ht="23.25" x14ac:dyDescent="0.25">
      <c r="A27" s="81" t="s">
        <v>194</v>
      </c>
      <c r="B27" s="82" t="s">
        <v>195</v>
      </c>
      <c r="C27" s="83">
        <f>IFERROR('Profit &amp; Loss'!C5/'Profit &amp; Loss'!C4,"NA")</f>
      </c>
      <c r="D27" s="83">
        <f>IFERROR('Profit &amp; Loss'!D5/'Profit &amp; Loss'!D4,"NA")</f>
      </c>
      <c r="E27" s="83">
        <f>IFERROR('Profit &amp; Loss'!E5/'Profit &amp; Loss'!E4,"NA")</f>
      </c>
      <c r="F27" s="83">
        <f>IFERROR('Profit &amp; Loss'!F5/'Profit &amp; Loss'!F4,"NA")</f>
      </c>
      <c r="G27" s="83">
        <f>IFERROR('Profit &amp; Loss'!G5/'Profit &amp; Loss'!G4,"NA")</f>
      </c>
      <c r="H27" s="83">
        <f>IFERROR('Profit &amp; Loss'!H5/'Profit &amp; Loss'!H4,"NA")</f>
      </c>
      <c r="I27" s="83">
        <f>IFERROR('Profit &amp; Loss'!I5/'Profit &amp; Loss'!I4,"NA")</f>
      </c>
      <c r="J27" s="83">
        <f>IFERROR('Profit &amp; Loss'!J5/'Profit &amp; Loss'!J4,"NA")</f>
      </c>
      <c r="K27" s="83">
        <f>IFERROR('Profit &amp; Loss'!K5/'Profit &amp; Loss'!K4,"NA")</f>
      </c>
      <c r="L27" s="83">
        <f>IFERROR('Profit &amp; Loss'!L5/'Profit &amp; Loss'!L4,"NA")</f>
      </c>
      <c r="N27" s="83">
        <f>(L27/C27)^(1/(9-1))-1</f>
      </c>
      <c r="O27" s="83">
        <f>MIN(C27:L27)</f>
      </c>
      <c r="P27" s="83">
        <f>MAX(C27:L27)</f>
      </c>
      <c r="Q27" s="86">
        <f>AVERAGE(C27:L27)</f>
      </c>
    </row>
    <row r="28" spans="1:17" ht="34.5" x14ac:dyDescent="0.25">
      <c r="A28" s="81" t="s">
        <v>196</v>
      </c>
      <c r="B28" s="82" t="s">
        <v>197</v>
      </c>
      <c r="C28" s="86">
        <f>IFERROR((1-C27),"NA")</f>
      </c>
      <c r="D28" s="86">
        <f t="shared" ref="D28:L28" si="1">IFERROR((1-D27),"NA")</f>
      </c>
      <c r="E28" s="86">
        <f t="shared" si="1"/>
      </c>
      <c r="F28" s="86">
        <f t="shared" si="1"/>
      </c>
      <c r="G28" s="86">
        <f t="shared" si="1"/>
      </c>
      <c r="H28" s="86">
        <f t="shared" si="1"/>
      </c>
      <c r="I28" s="86">
        <f t="shared" si="1"/>
      </c>
      <c r="J28" s="86">
        <f t="shared" si="1"/>
      </c>
      <c r="K28" s="86">
        <f t="shared" si="1"/>
      </c>
      <c r="L28" s="86">
        <f t="shared" si="1"/>
      </c>
      <c r="N28" s="83">
        <f>(L28/C28)^(1/(9-1))-1</f>
      </c>
      <c r="O28" s="83">
        <f>MIN(C28:L28)</f>
      </c>
      <c r="P28" s="83">
        <f>MAX(C28:L28)</f>
      </c>
      <c r="Q28" s="86">
        <f>AVERAGE(C28:L28)</f>
      </c>
    </row>
    <row r="29" spans="1:17" ht="23.25" x14ac:dyDescent="0.25">
      <c r="A29" s="81" t="s">
        <v>198</v>
      </c>
      <c r="B29" s="82" t="s">
        <v>199</v>
      </c>
      <c r="C29" s="83">
        <f>IFERROR('Profit &amp; Loss'!C9/'Profit &amp; Loss'!C4,"NA")</f>
      </c>
      <c r="D29" s="83">
        <f>IFERROR('Profit &amp; Loss'!D9/'Profit &amp; Loss'!D4,"NA")</f>
      </c>
      <c r="E29" s="83">
        <f>IFERROR('Profit &amp; Loss'!E9/'Profit &amp; Loss'!E4,"NA")</f>
      </c>
      <c r="F29" s="83">
        <f>IFERROR('Profit &amp; Loss'!F9/'Profit &amp; Loss'!F4,"NA")</f>
      </c>
      <c r="G29" s="83">
        <f>IFERROR('Profit &amp; Loss'!G9/'Profit &amp; Loss'!G4,"NA")</f>
      </c>
      <c r="H29" s="83">
        <f>IFERROR('Profit &amp; Loss'!H9/'Profit &amp; Loss'!H4,"NA")</f>
      </c>
      <c r="I29" s="83">
        <f>IFERROR('Profit &amp; Loss'!I9/'Profit &amp; Loss'!I4,"NA")</f>
      </c>
      <c r="J29" s="83">
        <f>IFERROR('Profit &amp; Loss'!J9/'Profit &amp; Loss'!J4,"NA")</f>
      </c>
      <c r="K29" s="83">
        <f>IFERROR('Profit &amp; Loss'!K9/'Profit &amp; Loss'!K4,"NA")</f>
      </c>
      <c r="L29" s="83">
        <f>IFERROR('Profit &amp; Loss'!L9/'Profit &amp; Loss'!L4,"NA")</f>
      </c>
      <c r="N29" s="83">
        <f>(L29/C29)^(1/(9-1))-1</f>
      </c>
      <c r="O29" s="83">
        <f>MIN(C29:L29)</f>
      </c>
      <c r="P29" s="83">
        <f>MAX(C29:L29)</f>
      </c>
      <c r="Q29" s="86">
        <f>AVERAGE(C29:L29)</f>
      </c>
    </row>
    <row r="30" spans="1:17" ht="23.25" x14ac:dyDescent="0.25">
      <c r="A30" s="81" t="s">
        <v>200</v>
      </c>
      <c r="B30" s="82" t="s">
        <v>201</v>
      </c>
      <c r="C30" s="83">
        <f>IFERROR('Profit &amp; Loss'!C10/'Profit &amp; Loss'!C4,"NA")</f>
      </c>
      <c r="D30" s="83">
        <f>IFERROR('Profit &amp; Loss'!D10/'Profit &amp; Loss'!D4,"NA")</f>
      </c>
      <c r="E30" s="83">
        <f>IFERROR('Profit &amp; Loss'!E10/'Profit &amp; Loss'!E4,"NA")</f>
      </c>
      <c r="F30" s="83">
        <f>IFERROR('Profit &amp; Loss'!F10/'Profit &amp; Loss'!F4,"NA")</f>
      </c>
      <c r="G30" s="83">
        <f>IFERROR('Profit &amp; Loss'!G10/'Profit &amp; Loss'!G4,"NA")</f>
      </c>
      <c r="H30" s="83">
        <f>IFERROR('Profit &amp; Loss'!H10/'Profit &amp; Loss'!H4,"NA")</f>
      </c>
      <c r="I30" s="83">
        <f>IFERROR('Profit &amp; Loss'!I10/'Profit &amp; Loss'!I4,"NA")</f>
      </c>
      <c r="J30" s="83">
        <f>IFERROR('Profit &amp; Loss'!J10/'Profit &amp; Loss'!J4,"NA")</f>
      </c>
      <c r="K30" s="83">
        <f>IFERROR('Profit &amp; Loss'!K10/'Profit &amp; Loss'!K4,"NA")</f>
      </c>
      <c r="L30" s="83">
        <f>IFERROR('Profit &amp; Loss'!L10/'Profit &amp; Loss'!L4,"NA")</f>
      </c>
      <c r="N30" s="83">
        <f>(L30/C30)^(1/(9-1))-1</f>
      </c>
      <c r="O30" s="83">
        <f>MIN(C30:L30)</f>
      </c>
      <c r="P30" s="83">
        <f>MAX(C30:L30)</f>
      </c>
      <c r="Q30" s="86">
        <f>AVERAGE(C30:L30)</f>
      </c>
    </row>
    <row r="31" spans="1:17" ht="23.25" x14ac:dyDescent="0.25">
      <c r="A31" s="81" t="s">
        <v>202</v>
      </c>
      <c r="B31" s="82" t="s">
        <v>203</v>
      </c>
      <c r="C31" s="83">
        <f>IFERROR('Profit &amp; Loss'!C12/'Profit &amp; Loss'!C4,"NA")</f>
      </c>
      <c r="D31" s="83">
        <f>IFERROR('Profit &amp; Loss'!D12/'Profit &amp; Loss'!D4,"NA")</f>
      </c>
      <c r="E31" s="83">
        <f>IFERROR('Profit &amp; Loss'!E12/'Profit &amp; Loss'!E4,"NA")</f>
      </c>
      <c r="F31" s="83">
        <f>IFERROR('Profit &amp; Loss'!F12/'Profit &amp; Loss'!F4,"NA")</f>
      </c>
      <c r="G31" s="83">
        <f>IFERROR('Profit &amp; Loss'!G12/'Profit &amp; Loss'!G4,"NA")</f>
      </c>
      <c r="H31" s="83">
        <f>IFERROR('Profit &amp; Loss'!H12/'Profit &amp; Loss'!H4,"NA")</f>
      </c>
      <c r="I31" s="83">
        <f>IFERROR('Profit &amp; Loss'!I12/'Profit &amp; Loss'!I4,"NA")</f>
      </c>
      <c r="J31" s="83">
        <f>IFERROR('Profit &amp; Loss'!J12/'Profit &amp; Loss'!J4,"NA")</f>
      </c>
      <c r="K31" s="83">
        <f>IFERROR('Profit &amp; Loss'!K12/'Profit &amp; Loss'!K4,"NA")</f>
      </c>
      <c r="L31" s="83">
        <f>IFERROR('Profit &amp; Loss'!L12/'Profit &amp; Loss'!L4,"NA")</f>
      </c>
      <c r="M31" s="87">
        <f>AVERAGE(J31:L31)</f>
      </c>
      <c r="N31" s="83">
        <f>(L31/C31)^(1/(9-1))-1</f>
      </c>
      <c r="O31" s="83">
        <f>MIN(C31:L31)</f>
      </c>
      <c r="P31" s="83">
        <f>MAX(C31:L31)</f>
      </c>
      <c r="Q31" s="86">
        <f>AVERAGE(C31:L31)</f>
      </c>
    </row>
    <row r="32" spans="1:17" x14ac:dyDescent="0.25">
      <c r="A32" s="81" t="s">
        <v>135</v>
      </c>
      <c r="B32" s="82"/>
      <c r="C32" s="83">
        <f>'Data Sheet'!C29/'Data Sheet'!C28</f>
      </c>
      <c r="D32" s="83">
        <f>'Data Sheet'!D29/'Data Sheet'!D28</f>
      </c>
      <c r="E32" s="83">
        <f>'Data Sheet'!E29/'Data Sheet'!E28</f>
      </c>
      <c r="F32" s="83">
        <f>'Data Sheet'!F29/'Data Sheet'!F28</f>
      </c>
      <c r="G32" s="83">
        <f>'Data Sheet'!G29/'Data Sheet'!G28</f>
      </c>
      <c r="H32" s="83">
        <f>'Data Sheet'!H29/'Data Sheet'!H28</f>
      </c>
      <c r="I32" s="83">
        <f>'Data Sheet'!I29/'Data Sheet'!I28</f>
      </c>
      <c r="J32" s="83">
        <f>'Data Sheet'!J29/'Data Sheet'!J28</f>
      </c>
      <c r="K32" s="83">
        <f>'Data Sheet'!K29/'Data Sheet'!K28</f>
      </c>
      <c r="L32" s="83">
        <f>'Data Sheet'!K29/'Data Sheet'!K28</f>
      </c>
      <c r="N32" s="83"/>
      <c r="O32" s="83"/>
      <c r="P32" s="83"/>
      <c r="Q32" s="86"/>
    </row>
    <row r="33" spans="1:17" x14ac:dyDescent="0.25">
      <c r="A33" s="81" t="s">
        <v>204</v>
      </c>
      <c r="B33" s="82"/>
      <c r="C33" s="83">
        <f>'Data Sheet'!C67/'Data Sheet'!C17</f>
      </c>
      <c r="D33" s="83">
        <f>'Data Sheet'!D67/'Data Sheet'!D17</f>
      </c>
      <c r="E33" s="83">
        <f>'Data Sheet'!E67/'Data Sheet'!E17</f>
      </c>
      <c r="F33" s="83">
        <f>'Data Sheet'!F67/'Data Sheet'!F17</f>
      </c>
      <c r="G33" s="83">
        <f>'Data Sheet'!G67/'Data Sheet'!G17</f>
      </c>
      <c r="H33" s="83">
        <f>'Data Sheet'!H67/'Data Sheet'!H17</f>
      </c>
      <c r="I33" s="83">
        <f>'Data Sheet'!I67/'Data Sheet'!I17</f>
      </c>
      <c r="J33" s="83">
        <f>'Data Sheet'!J67/'Data Sheet'!J17</f>
      </c>
      <c r="K33" s="83">
        <f>'Data Sheet'!K67/'Data Sheet'!K17</f>
      </c>
      <c r="L33" s="83">
        <f>'Data Sheet'!K67/'Data Sheet'!K17</f>
      </c>
      <c r="N33" s="83"/>
      <c r="O33" s="83"/>
      <c r="P33" s="83"/>
      <c r="Q33" s="86">
        <f>AVERAGE(H33:L33)</f>
      </c>
    </row>
    <row r="34" spans="1:17" x14ac:dyDescent="0.25">
      <c r="A34" s="81" t="s">
        <v>205</v>
      </c>
      <c r="B34" s="82"/>
      <c r="C34" s="113">
        <f>'Data Sheet'!C68/'Data Sheet'!C17</f>
      </c>
      <c r="D34" s="113">
        <f>'Data Sheet'!D68/'Data Sheet'!D17</f>
      </c>
      <c r="E34" s="113">
        <f>'Data Sheet'!E68/'Data Sheet'!E17</f>
      </c>
      <c r="F34" s="113">
        <f>'Data Sheet'!F68/'Data Sheet'!F17</f>
      </c>
      <c r="G34" s="113">
        <f>'Data Sheet'!G68/'Data Sheet'!G17</f>
      </c>
      <c r="H34" s="113">
        <f>'Data Sheet'!H68/'Data Sheet'!H17</f>
      </c>
      <c r="I34" s="113">
        <f>'Data Sheet'!I68/'Data Sheet'!I17</f>
      </c>
      <c r="J34" s="113">
        <f>'Data Sheet'!J68/'Data Sheet'!J17</f>
      </c>
      <c r="K34" s="113">
        <f>'Data Sheet'!K68/'Data Sheet'!K17</f>
      </c>
      <c r="L34" s="107">
        <f>'Data Sheet'!K68/'Data Sheet'!K17</f>
      </c>
      <c r="N34" s="83"/>
      <c r="O34" s="83"/>
      <c r="P34" s="83"/>
      <c r="Q34" s="86">
        <f>AVERAGE(H34:L34)</f>
      </c>
    </row>
    <row r="35" spans="1:17" x14ac:dyDescent="0.25">
      <c r="A35" s="81" t="s">
        <v>206</v>
      </c>
      <c r="B35" s="82"/>
      <c r="C35" s="83">
        <f>C48/'Data Sheet'!C17</f>
      </c>
      <c r="D35" s="83">
        <f>D48/'Data Sheet'!D17</f>
      </c>
      <c r="E35" s="83">
        <f>E48/'Data Sheet'!E17</f>
      </c>
      <c r="F35" s="83">
        <f>F48/'Data Sheet'!F17</f>
      </c>
      <c r="G35" s="83">
        <f>G48/'Data Sheet'!G17</f>
      </c>
      <c r="H35" s="83">
        <f>H48/'Data Sheet'!H17</f>
      </c>
      <c r="I35" s="83">
        <f>I48/'Data Sheet'!I17</f>
      </c>
      <c r="J35" s="83">
        <f>J48/'Data Sheet'!J17</f>
      </c>
      <c r="K35" s="83">
        <f>K48/'Data Sheet'!K17</f>
      </c>
      <c r="L35" s="120">
        <f>K48/'Data Sheet'!K17</f>
      </c>
      <c r="N35" s="83">
        <f>IFERROR((L35/G35)^(1/(5-1))-1,-0.1)</f>
      </c>
      <c r="O35" s="83"/>
      <c r="P35" s="83"/>
      <c r="Q35" s="86"/>
    </row>
    <row r="36" spans="1:17" ht="18.75" x14ac:dyDescent="0.25">
      <c r="A36" s="75" t="s">
        <v>207</v>
      </c>
      <c r="B36" s="82"/>
      <c r="C36" s="88">
        <f>C1</f>
      </c>
      <c r="D36" s="88">
        <f t="shared" ref="D36:L36" si="2">D1</f>
      </c>
      <c r="E36" s="88">
        <f t="shared" si="2"/>
      </c>
      <c r="F36" s="88">
        <f t="shared" si="2"/>
      </c>
      <c r="G36" s="88">
        <f t="shared" si="2"/>
      </c>
      <c r="H36" s="88">
        <f t="shared" si="2"/>
      </c>
      <c r="I36" s="88">
        <f t="shared" si="2"/>
      </c>
      <c r="J36" s="88">
        <f t="shared" si="2"/>
      </c>
      <c r="K36" s="88">
        <f t="shared" si="2"/>
      </c>
      <c r="L36" s="88" t="str">
        <f t="shared" si="2"/>
      </c>
      <c r="N36" s="83"/>
      <c r="O36" s="83"/>
      <c r="P36" s="83"/>
    </row>
    <row r="37" spans="1:17" x14ac:dyDescent="0.25">
      <c r="A37" s="81" t="s">
        <v>208</v>
      </c>
      <c r="B37" s="82"/>
      <c r="C37" s="89"/>
      <c r="D37" s="89"/>
      <c r="E37" s="89"/>
      <c r="F37" s="89"/>
      <c r="G37" s="90"/>
      <c r="H37" s="90"/>
      <c r="I37" s="90"/>
      <c r="J37" s="90"/>
      <c r="K37" s="90"/>
      <c r="L37" s="90"/>
      <c r="N37" s="83"/>
      <c r="O37" s="83"/>
      <c r="P37" s="83"/>
    </row>
    <row r="38" spans="1:17" x14ac:dyDescent="0.25">
      <c r="A38" s="81" t="s">
        <v>209</v>
      </c>
      <c r="B38" s="82"/>
      <c r="C38" s="89"/>
      <c r="D38" s="89"/>
      <c r="E38" s="89"/>
      <c r="F38" s="89"/>
      <c r="G38" s="90"/>
      <c r="H38" s="90"/>
      <c r="I38" s="90"/>
      <c r="J38" s="90"/>
      <c r="K38" s="90"/>
      <c r="L38" s="90"/>
      <c r="N38" s="83"/>
      <c r="O38" s="83"/>
      <c r="P38" s="83"/>
    </row>
    <row r="39" spans="1:17" x14ac:dyDescent="0.25">
      <c r="A39" s="81" t="s">
        <v>210</v>
      </c>
      <c r="B39" s="82" t="s">
        <v>211</v>
      </c>
      <c r="C39" s="88"/>
      <c r="D39" s="88"/>
      <c r="E39" s="88"/>
      <c r="F39" s="88"/>
      <c r="G39" s="88"/>
      <c r="H39" s="88"/>
      <c r="I39" s="88"/>
      <c r="J39" s="88"/>
      <c r="K39" s="88"/>
      <c r="L39" s="88"/>
      <c r="N39" s="83"/>
      <c r="O39" s="83"/>
      <c r="P39" s="83"/>
    </row>
    <row r="40" spans="1:17" ht="23.25" x14ac:dyDescent="0.25">
      <c r="A40" s="81" t="s">
        <v>212</v>
      </c>
      <c r="B40" s="82" t="s">
        <v>213</v>
      </c>
      <c r="C40" s="91">
        <f>'Data Sheet'!C90</f>
      </c>
      <c r="D40" s="91">
        <f>'Data Sheet'!D90</f>
      </c>
      <c r="E40" s="91">
        <f>'Data Sheet'!E90</f>
      </c>
      <c r="F40" s="91">
        <f>'Data Sheet'!F90</f>
      </c>
      <c r="G40" s="91">
        <f>'Data Sheet'!G90</f>
      </c>
      <c r="H40" s="91">
        <f>'Data Sheet'!H90</f>
      </c>
      <c r="I40" s="91">
        <f>'Data Sheet'!I90</f>
      </c>
      <c r="J40" s="91">
        <f>'Data Sheet'!J90</f>
      </c>
      <c r="K40" s="91">
        <f>'Data Sheet'!K90</f>
      </c>
      <c r="L40" s="114">
        <f>'Data Sheet'!K90</f>
      </c>
      <c r="N40" s="83">
        <f>(L40/I40)^(1/(3-1))-1</f>
      </c>
      <c r="O40" s="83"/>
      <c r="P40" s="83"/>
    </row>
    <row r="41" spans="1:17" x14ac:dyDescent="0.25">
      <c r="A41" s="81" t="s">
        <v>214</v>
      </c>
      <c r="B41" s="92" t="s">
        <v>215</v>
      </c>
      <c r="C41" s="93">
        <f>'Data Sheet'!C70/10000000</f>
      </c>
      <c r="D41" s="93">
        <f>'Data Sheet'!D70/10000000</f>
      </c>
      <c r="E41" s="93">
        <f>'Data Sheet'!E70/10000000</f>
      </c>
      <c r="F41" s="93">
        <f>'Data Sheet'!F70/10000000</f>
      </c>
      <c r="G41" s="93">
        <f>'Data Sheet'!G70/10000000</f>
      </c>
      <c r="H41" s="93">
        <f>'Data Sheet'!H70/10000000</f>
      </c>
      <c r="I41" s="93">
        <f>'Data Sheet'!I70/10000000</f>
      </c>
      <c r="J41" s="93">
        <f>'Data Sheet'!J70/10000000</f>
      </c>
      <c r="K41" s="93">
        <f>'Data Sheet'!K70/10000000</f>
      </c>
      <c r="L41" s="115">
        <f>'Data Sheet'!K70/10000000</f>
      </c>
      <c r="N41" s="83">
        <f>(L41/C41)^(1/(9-1))-1</f>
      </c>
      <c r="O41" s="83"/>
      <c r="P41" s="83"/>
    </row>
    <row r="42" spans="1:17" ht="23.25" x14ac:dyDescent="0.25">
      <c r="A42" s="81" t="s">
        <v>118</v>
      </c>
      <c r="B42" s="82" t="s">
        <v>216</v>
      </c>
      <c r="C42" s="94">
        <f>'Data Sheet'!C70*'Financial Analysis'!C40/10000000</f>
      </c>
      <c r="D42" s="94">
        <f>'Data Sheet'!D70*'Financial Analysis'!D40/10000000</f>
      </c>
      <c r="E42" s="94">
        <f>'Data Sheet'!E70*'Financial Analysis'!E40/10000000</f>
      </c>
      <c r="F42" s="94">
        <f>'Data Sheet'!F70*'Financial Analysis'!F40/10000000</f>
      </c>
      <c r="G42" s="94">
        <f>'Data Sheet'!G70*'Financial Analysis'!G40/10000000</f>
      </c>
      <c r="H42" s="94">
        <f>'Data Sheet'!H70*'Financial Analysis'!H40/10000000</f>
      </c>
      <c r="I42" s="94">
        <f>'Data Sheet'!I70*'Financial Analysis'!I40/10000000</f>
      </c>
      <c r="J42" s="94">
        <f>'Data Sheet'!J70*'Financial Analysis'!J40/10000000</f>
      </c>
      <c r="K42" s="94">
        <f>'Data Sheet'!K70*'Financial Analysis'!K40/10000000</f>
      </c>
      <c r="L42" s="94">
        <f>'Data Sheet'!K70*'Financial Analysis'!L40/10000000</f>
      </c>
      <c r="N42" s="83">
        <f>(L42/I42)^(1/(3-1))-1</f>
      </c>
      <c r="O42" s="83" t="s">
        <v>217</v>
      </c>
      <c r="P42" s="83" t="s">
        <v>218</v>
      </c>
      <c r="Q42" s="95" t="s">
        <v>219</v>
      </c>
    </row>
    <row r="43" spans="1:17" x14ac:dyDescent="0.25">
      <c r="A43" s="81" t="s">
        <v>220</v>
      </c>
      <c r="B43" s="82" t="s">
        <v>215</v>
      </c>
      <c r="C43" s="96">
        <f>'Data Sheet'!C31</f>
      </c>
      <c r="D43" s="96">
        <f>'Data Sheet'!D31</f>
      </c>
      <c r="E43" s="96">
        <f>'Data Sheet'!E31</f>
      </c>
      <c r="F43" s="96">
        <f>'Data Sheet'!F31</f>
      </c>
      <c r="G43" s="96">
        <f>'Data Sheet'!G31</f>
      </c>
      <c r="H43" s="96">
        <f>'Data Sheet'!H31</f>
      </c>
      <c r="I43" s="96">
        <f>'Data Sheet'!I31</f>
      </c>
      <c r="J43" s="96">
        <f>'Data Sheet'!J31</f>
      </c>
      <c r="K43" s="96">
        <f>'Data Sheet'!K31</f>
      </c>
      <c r="L43" s="96">
        <f>'Data Sheet'!K31</f>
      </c>
      <c r="N43" s="83" t="e">
        <f>(L43/C43)^(1/(9-1))-1</f>
      </c>
      <c r="O43" s="97">
        <f t="shared" ref="O43:O55" si="3">SUM(D43:L43)</f>
      </c>
      <c r="P43" s="97">
        <f t="shared" ref="P43:P55" si="4">SUM(H43:L43)</f>
      </c>
      <c r="Q43" s="98">
        <f t="shared" ref="Q43:Q55" si="5">SUM(J43:L43)</f>
      </c>
    </row>
    <row r="44" spans="1:17" x14ac:dyDescent="0.25">
      <c r="A44" s="81" t="s">
        <v>221</v>
      </c>
      <c r="B44" s="82" t="s">
        <v>215</v>
      </c>
      <c r="C44" s="97">
        <f>'Cash Flow'!C4</f>
      </c>
      <c r="D44" s="97">
        <f>'Cash Flow'!D4</f>
      </c>
      <c r="E44" s="97">
        <f>'Cash Flow'!E4</f>
      </c>
      <c r="F44" s="97">
        <f>'Cash Flow'!F4</f>
      </c>
      <c r="G44" s="97">
        <f>'Cash Flow'!G4</f>
      </c>
      <c r="H44" s="97">
        <f>'Cash Flow'!H4</f>
      </c>
      <c r="I44" s="97">
        <f>'Cash Flow'!I4</f>
      </c>
      <c r="J44" s="97">
        <f>'Cash Flow'!J4</f>
      </c>
      <c r="K44" s="97">
        <f>'Cash Flow'!K4</f>
      </c>
      <c r="L44" s="97">
        <f>'Cash Flow'!K4</f>
      </c>
      <c r="N44" s="83" t="e">
        <f>(L44/C44)^(1/(9-1))-1</f>
      </c>
      <c r="O44" s="97">
        <f t="shared" si="3"/>
      </c>
      <c r="P44" s="97">
        <f t="shared" si="4"/>
      </c>
      <c r="Q44" s="98">
        <f t="shared" si="5"/>
      </c>
    </row>
    <row r="45" spans="1:17" ht="34.5" x14ac:dyDescent="0.25">
      <c r="A45" s="81" t="s">
        <v>222</v>
      </c>
      <c r="B45" s="82" t="s">
        <v>223</v>
      </c>
      <c r="C45" s="97">
        <f>('Data Sheet'!C62-'Data Sheet'!B62)+('Data Sheet'!C63-'Data Sheet'!B63)+'Data Sheet'!C26</f>
      </c>
      <c r="D45" s="97">
        <f>('Data Sheet'!D62-'Data Sheet'!C62)+('Data Sheet'!D63-'Data Sheet'!C63)+'Data Sheet'!D26</f>
      </c>
      <c r="E45" s="97">
        <f>('Data Sheet'!E62-'Data Sheet'!D62)+('Data Sheet'!E63-'Data Sheet'!D63)+'Data Sheet'!E26</f>
      </c>
      <c r="F45" s="97">
        <f>('Data Sheet'!F62-'Data Sheet'!E62)+('Data Sheet'!F63-'Data Sheet'!E63)+'Data Sheet'!F26</f>
      </c>
      <c r="G45" s="97">
        <f>('Data Sheet'!G62-'Data Sheet'!F62)+('Data Sheet'!G63-'Data Sheet'!F63)+'Data Sheet'!G26</f>
      </c>
      <c r="H45" s="97">
        <f>('Data Sheet'!H62-'Data Sheet'!G62)+('Data Sheet'!H63-'Data Sheet'!G63)+'Data Sheet'!H26</f>
      </c>
      <c r="I45" s="97">
        <f>('Data Sheet'!I62-'Data Sheet'!H62)+('Data Sheet'!I63-'Data Sheet'!H63)+'Data Sheet'!I26</f>
      </c>
      <c r="J45" s="97">
        <f>('Data Sheet'!J62-'Data Sheet'!I62)+('Data Sheet'!J63-'Data Sheet'!I63)+'Data Sheet'!J26</f>
      </c>
      <c r="K45" s="97">
        <f>('Data Sheet'!K62-'Data Sheet'!J62)+('Data Sheet'!K63-'Data Sheet'!J63)+'Data Sheet'!K26</f>
      </c>
      <c r="L45" s="97">
        <f>('Data Sheet'!K62-'Data Sheet'!J62)+('Data Sheet'!K63-'Data Sheet'!J63)+'Data Sheet'!K26</f>
      </c>
      <c r="N45" s="99">
        <f>SUM(D45:L45)/COUNT(D45:L45)</f>
      </c>
      <c r="O45" s="97">
        <f t="shared" si="3"/>
      </c>
      <c r="P45" s="97">
        <f t="shared" si="4"/>
      </c>
      <c r="Q45" s="98">
        <f t="shared" si="5"/>
      </c>
    </row>
    <row r="46" spans="1:17" ht="23.25" x14ac:dyDescent="0.25">
      <c r="A46" s="81" t="s">
        <v>224</v>
      </c>
      <c r="B46" s="82" t="s">
        <v>225</v>
      </c>
      <c r="C46" s="97">
        <f>'Data Sheet'!C82-'Financial Analysis'!C45</f>
      </c>
      <c r="D46" s="97">
        <f>'Data Sheet'!D82-'Financial Analysis'!D45</f>
      </c>
      <c r="E46" s="97">
        <f>'Data Sheet'!E82-'Financial Analysis'!E45</f>
      </c>
      <c r="F46" s="97">
        <f>'Data Sheet'!F82-'Financial Analysis'!F45</f>
      </c>
      <c r="G46" s="97">
        <f>'Data Sheet'!G82-'Financial Analysis'!G45</f>
      </c>
      <c r="H46" s="97">
        <f>'Data Sheet'!H82-'Financial Analysis'!H45</f>
      </c>
      <c r="I46" s="97">
        <f>'Data Sheet'!I82-'Financial Analysis'!I45</f>
      </c>
      <c r="J46" s="97">
        <f>'Data Sheet'!J82-'Financial Analysis'!J45</f>
      </c>
      <c r="K46" s="97">
        <f>'Data Sheet'!K82-'Financial Analysis'!K45</f>
      </c>
      <c r="L46" s="97">
        <f>'Data Sheet'!K82-'Financial Analysis'!K45</f>
      </c>
      <c r="N46" s="83">
        <f>(AVERAGE(I46:L46)/AVERAGE(E46:H46))^(1/(5-1))-1</f>
      </c>
      <c r="O46" s="97">
        <f t="shared" si="3"/>
      </c>
      <c r="P46" s="97">
        <f t="shared" si="4"/>
      </c>
      <c r="Q46" s="98">
        <f t="shared" si="5"/>
      </c>
    </row>
    <row r="47" spans="1:17" ht="34.5" x14ac:dyDescent="0.25">
      <c r="A47" s="81" t="s">
        <v>134</v>
      </c>
      <c r="B47" s="82" t="s">
        <v>226</v>
      </c>
      <c r="C47" s="97">
        <f>'Data Sheet'!C82-'Financial Analysis'!C45-'Data Sheet'!C31</f>
      </c>
      <c r="D47" s="97">
        <f>'Data Sheet'!D82-'Financial Analysis'!D45-'Data Sheet'!D31</f>
      </c>
      <c r="E47" s="97">
        <f>'Data Sheet'!E82-'Financial Analysis'!E45-'Data Sheet'!E31</f>
      </c>
      <c r="F47" s="97">
        <f>'Data Sheet'!F82-'Financial Analysis'!F45-'Data Sheet'!F31</f>
      </c>
      <c r="G47" s="97">
        <f>'Data Sheet'!G82-'Financial Analysis'!G45-'Data Sheet'!G31</f>
      </c>
      <c r="H47" s="97">
        <f>'Data Sheet'!H82-'Financial Analysis'!H45-'Data Sheet'!H31</f>
      </c>
      <c r="I47" s="97">
        <f>'Data Sheet'!I82-'Financial Analysis'!I45-'Data Sheet'!I31</f>
      </c>
      <c r="J47" s="97">
        <f>'Data Sheet'!J82-'Financial Analysis'!J45-'Data Sheet'!J31</f>
      </c>
      <c r="K47" s="97">
        <f>'Data Sheet'!K82-'Financial Analysis'!K45-'Data Sheet'!K31</f>
      </c>
      <c r="L47" s="97">
        <f>'Data Sheet'!K82-'Financial Analysis'!K45-'Data Sheet'!K31</f>
      </c>
      <c r="N47" s="83">
        <f>(AVERAGE(I47:L47)/AVERAGE(E47:H47))^(1/(5-1))-1</f>
      </c>
      <c r="O47" s="97">
        <f t="shared" si="3"/>
      </c>
      <c r="P47" s="97">
        <f t="shared" si="4"/>
      </c>
      <c r="Q47" s="98">
        <f t="shared" si="5"/>
      </c>
    </row>
    <row r="48" spans="1:17" ht="23.25" x14ac:dyDescent="0.25">
      <c r="A48" s="81" t="s">
        <v>227</v>
      </c>
      <c r="B48" s="82" t="s">
        <v>228</v>
      </c>
      <c r="C48" s="97">
        <f>'Balance Sheet'!C16</f>
      </c>
      <c r="D48" s="97">
        <f>'Balance Sheet'!D16</f>
      </c>
      <c r="E48" s="97">
        <f>'Balance Sheet'!E16</f>
      </c>
      <c r="F48" s="97">
        <f>'Balance Sheet'!F16</f>
      </c>
      <c r="G48" s="97">
        <f>'Balance Sheet'!G16</f>
      </c>
      <c r="H48" s="97">
        <f>'Balance Sheet'!H16</f>
      </c>
      <c r="I48" s="97">
        <f>'Balance Sheet'!I16</f>
      </c>
      <c r="J48" s="97">
        <f>'Balance Sheet'!J16</f>
      </c>
      <c r="K48" s="97">
        <f>'Balance Sheet'!K16</f>
      </c>
      <c r="L48" s="97">
        <f>'Balance Sheet'!K16</f>
      </c>
      <c r="N48" s="83">
        <f t="shared" ref="N48:N55" si="6">(L48/C48)^(1/(9-1))-1</f>
      </c>
      <c r="O48" s="97">
        <f t="shared" si="3"/>
      </c>
      <c r="P48" s="97">
        <f t="shared" si="4"/>
      </c>
      <c r="Q48" s="98">
        <f t="shared" si="5"/>
      </c>
    </row>
    <row r="49" spans="1:17" ht="34.5" x14ac:dyDescent="0.25">
      <c r="A49" s="81" t="s">
        <v>229</v>
      </c>
      <c r="B49" s="82" t="s">
        <v>230</v>
      </c>
      <c r="C49" s="97">
        <f>C48-'Data Sheet'!C69</f>
      </c>
      <c r="D49" s="97">
        <f>D48-'Data Sheet'!D69</f>
      </c>
      <c r="E49" s="97">
        <f>E48-'Data Sheet'!E69</f>
      </c>
      <c r="F49" s="97">
        <f>F48-'Data Sheet'!F69</f>
      </c>
      <c r="G49" s="97">
        <f>G48-'Data Sheet'!G69</f>
      </c>
      <c r="H49" s="97">
        <f>H48-'Data Sheet'!H69</f>
      </c>
      <c r="I49" s="97">
        <f>I48-'Data Sheet'!I69</f>
      </c>
      <c r="J49" s="97">
        <f>J48-'Data Sheet'!J69</f>
      </c>
      <c r="K49" s="97">
        <f>K48-'Data Sheet'!K69</f>
      </c>
      <c r="L49" s="97">
        <f>L48-'Data Sheet'!K69</f>
      </c>
      <c r="N49" s="83">
        <f t="shared" si="6"/>
      </c>
      <c r="O49" s="97">
        <f t="shared" si="3"/>
      </c>
      <c r="P49" s="97">
        <f t="shared" si="4"/>
      </c>
      <c r="Q49" s="98">
        <f t="shared" si="5"/>
      </c>
    </row>
    <row r="50" spans="1:17" x14ac:dyDescent="0.25">
      <c r="A50" s="81" t="s">
        <v>231</v>
      </c>
      <c r="B50" s="82"/>
      <c r="C50" s="96">
        <f>SUM('Data Sheet'!C57:C59)</f>
      </c>
      <c r="D50" s="96">
        <f>SUM('Data Sheet'!D57:D59)</f>
      </c>
      <c r="E50" s="96">
        <f>SUM('Data Sheet'!E57:E59)</f>
      </c>
      <c r="F50" s="96">
        <f>SUM('Data Sheet'!F57:F59)</f>
      </c>
      <c r="G50" s="96">
        <f>SUM('Data Sheet'!G57:G59)</f>
      </c>
      <c r="H50" s="96">
        <f>SUM('Data Sheet'!H57:H59)</f>
      </c>
      <c r="I50" s="96">
        <f>SUM('Data Sheet'!I57:I59)</f>
      </c>
      <c r="J50" s="96">
        <f>SUM('Data Sheet'!J57:J59)</f>
      </c>
      <c r="K50" s="96">
        <f>SUM('Data Sheet'!K57:K59)</f>
      </c>
      <c r="L50" s="96">
        <f>SUM('Data Sheet'!K57:K59)</f>
      </c>
      <c r="N50" s="83">
        <f t="shared" si="6"/>
      </c>
      <c r="O50" s="97">
        <f t="shared" si="3"/>
      </c>
      <c r="P50" s="97">
        <f t="shared" si="4"/>
      </c>
      <c r="Q50" s="98">
        <f t="shared" si="5"/>
      </c>
    </row>
    <row r="51" spans="1:17" x14ac:dyDescent="0.25">
      <c r="A51" s="81" t="s">
        <v>232</v>
      </c>
      <c r="B51" s="82"/>
      <c r="C51" s="96">
        <f>C50-'Data Sheet'!C69</f>
      </c>
      <c r="D51" s="96">
        <f>D50-'Data Sheet'!D69</f>
      </c>
      <c r="E51" s="96">
        <f>E50-'Data Sheet'!E69</f>
      </c>
      <c r="F51" s="96">
        <f>F50-'Data Sheet'!F69</f>
      </c>
      <c r="G51" s="96">
        <f>G50-'Data Sheet'!G69</f>
      </c>
      <c r="H51" s="96">
        <f>H50-'Data Sheet'!H69</f>
      </c>
      <c r="I51" s="96">
        <f>I50-'Data Sheet'!I69</f>
      </c>
      <c r="J51" s="96">
        <f>J50-'Data Sheet'!J69</f>
      </c>
      <c r="K51" s="96">
        <f>K50-'Data Sheet'!K69</f>
      </c>
      <c r="L51" s="96">
        <f>K50-'Data Sheet'!K69</f>
      </c>
      <c r="N51" s="83">
        <f t="shared" si="6"/>
      </c>
      <c r="O51" s="97">
        <f t="shared" si="3"/>
      </c>
      <c r="P51" s="97">
        <f t="shared" si="4"/>
      </c>
      <c r="Q51" s="98">
        <f t="shared" si="5"/>
      </c>
    </row>
    <row r="52" spans="1:17" x14ac:dyDescent="0.25">
      <c r="A52" s="81" t="s">
        <v>233</v>
      </c>
      <c r="B52" s="82"/>
      <c r="C52" s="96">
        <f>'Data Sheet'!C62+'Data Sheet'!C63+'Financial Analysis'!C49</f>
      </c>
      <c r="D52" s="96">
        <f>'Data Sheet'!D62+'Data Sheet'!D63+'Financial Analysis'!D49</f>
      </c>
      <c r="E52" s="96">
        <f>'Data Sheet'!E62+'Data Sheet'!E63+'Financial Analysis'!E49</f>
      </c>
      <c r="F52" s="96">
        <f>'Data Sheet'!F62+'Data Sheet'!F63+'Financial Analysis'!F49</f>
      </c>
      <c r="G52" s="96">
        <f>'Data Sheet'!G62+'Data Sheet'!G63+'Financial Analysis'!G49</f>
      </c>
      <c r="H52" s="96">
        <f>'Data Sheet'!H62+'Data Sheet'!H63+'Financial Analysis'!H49</f>
      </c>
      <c r="I52" s="96">
        <f>'Data Sheet'!I62+'Data Sheet'!I63+'Financial Analysis'!I49</f>
      </c>
      <c r="J52" s="96">
        <f>'Data Sheet'!J62+'Data Sheet'!J63+'Financial Analysis'!J49</f>
      </c>
      <c r="K52" s="96">
        <f>'Data Sheet'!K62+'Data Sheet'!K63+'Financial Analysis'!K49</f>
      </c>
      <c r="L52" s="96">
        <f>'Data Sheet'!K62+'Data Sheet'!K63+'Financial Analysis'!K49</f>
      </c>
      <c r="N52" s="83">
        <f t="shared" si="6"/>
      </c>
      <c r="O52" s="97">
        <f t="shared" si="3"/>
      </c>
      <c r="P52" s="97">
        <f t="shared" si="4"/>
      </c>
      <c r="Q52" s="98">
        <f t="shared" si="5"/>
      </c>
    </row>
    <row r="53" spans="1:17" x14ac:dyDescent="0.25">
      <c r="A53" s="81" t="s">
        <v>234</v>
      </c>
      <c r="B53" s="82"/>
      <c r="C53" s="96">
        <f>'Data Sheet'!C62+'Financial Analysis'!C49</f>
      </c>
      <c r="D53" s="96">
        <f>'Data Sheet'!D62+'Financial Analysis'!D49</f>
      </c>
      <c r="E53" s="96">
        <f>'Data Sheet'!E62+'Financial Analysis'!E49</f>
      </c>
      <c r="F53" s="96">
        <f>'Data Sheet'!F62+'Financial Analysis'!F49</f>
      </c>
      <c r="G53" s="96">
        <f>'Data Sheet'!G62+'Financial Analysis'!G49</f>
      </c>
      <c r="H53" s="96">
        <f>'Data Sheet'!H62+'Financial Analysis'!H49</f>
      </c>
      <c r="I53" s="96">
        <f>'Data Sheet'!I62+'Financial Analysis'!I49</f>
      </c>
      <c r="J53" s="96">
        <f>'Data Sheet'!J62+'Financial Analysis'!J49</f>
      </c>
      <c r="K53" s="96">
        <f>'Data Sheet'!K62+'Financial Analysis'!K49</f>
      </c>
      <c r="L53" s="96">
        <f>'Data Sheet'!K62+'Financial Analysis'!K49</f>
      </c>
      <c r="N53" s="83">
        <f t="shared" si="6"/>
      </c>
      <c r="O53" s="97">
        <f t="shared" si="3"/>
      </c>
      <c r="P53" s="97">
        <f t="shared" si="4"/>
      </c>
      <c r="Q53" s="98">
        <f t="shared" si="5"/>
      </c>
    </row>
    <row r="54" spans="1:17" x14ac:dyDescent="0.25">
      <c r="A54" s="81" t="s">
        <v>114</v>
      </c>
      <c r="B54" s="82"/>
      <c r="C54" s="96">
        <f>'Data Sheet'!C27+'Data Sheet'!C28</f>
      </c>
      <c r="D54" s="96">
        <f>'Data Sheet'!D27+'Data Sheet'!D28</f>
      </c>
      <c r="E54" s="96">
        <f>'Data Sheet'!E27+'Data Sheet'!E28</f>
      </c>
      <c r="F54" s="96">
        <f>'Data Sheet'!F27+'Data Sheet'!F28</f>
      </c>
      <c r="G54" s="96">
        <f>'Data Sheet'!G27+'Data Sheet'!G28</f>
      </c>
      <c r="H54" s="96">
        <f>'Data Sheet'!H27+'Data Sheet'!H28</f>
      </c>
      <c r="I54" s="96">
        <f>'Data Sheet'!I27+'Data Sheet'!I28</f>
      </c>
      <c r="J54" s="96">
        <f>'Data Sheet'!J27+'Data Sheet'!J28</f>
      </c>
      <c r="K54" s="96">
        <f>'Data Sheet'!K27+'Data Sheet'!K28</f>
      </c>
      <c r="L54" s="96">
        <f>'Data Sheet'!K27+'Data Sheet'!K28</f>
      </c>
      <c r="N54" s="83">
        <f t="shared" si="6"/>
      </c>
      <c r="O54" s="97">
        <f t="shared" si="3"/>
      </c>
      <c r="P54" s="97">
        <f t="shared" si="4"/>
      </c>
      <c r="Q54" s="98">
        <f t="shared" si="5"/>
      </c>
    </row>
    <row r="55" spans="1:17" ht="45.75" x14ac:dyDescent="0.25">
      <c r="A55" s="81" t="s">
        <v>131</v>
      </c>
      <c r="B55" s="82" t="s">
        <v>235</v>
      </c>
      <c r="C55" s="96">
        <f>'Data Sheet'!C57+'Data Sheet'!C58+'Data Sheet'!C59</f>
      </c>
      <c r="D55" s="96">
        <f>'Data Sheet'!D57+'Data Sheet'!D58+'Data Sheet'!D59</f>
      </c>
      <c r="E55" s="96">
        <f>'Data Sheet'!E57+'Data Sheet'!E58+'Data Sheet'!E59</f>
      </c>
      <c r="F55" s="96">
        <f>'Data Sheet'!F57+'Data Sheet'!F58+'Data Sheet'!F59</f>
      </c>
      <c r="G55" s="96">
        <f>'Data Sheet'!G57+'Data Sheet'!G58+'Data Sheet'!G59</f>
      </c>
      <c r="H55" s="96">
        <f>'Data Sheet'!H57+'Data Sheet'!H58+'Data Sheet'!H59</f>
      </c>
      <c r="I55" s="96">
        <f>'Data Sheet'!I57+'Data Sheet'!I58+'Data Sheet'!I59</f>
      </c>
      <c r="J55" s="96">
        <f>'Data Sheet'!J57+'Data Sheet'!J58+'Data Sheet'!J59</f>
      </c>
      <c r="K55" s="96">
        <f>'Data Sheet'!K57+'Data Sheet'!K58+'Data Sheet'!K59</f>
      </c>
      <c r="L55" s="96">
        <f>'Data Sheet'!K57+'Data Sheet'!K58+'Data Sheet'!K59</f>
      </c>
      <c r="N55" s="83">
        <f t="shared" si="6"/>
      </c>
      <c r="O55" s="97">
        <f t="shared" si="3"/>
      </c>
      <c r="P55" s="97">
        <f t="shared" si="4"/>
      </c>
      <c r="Q55" s="98">
        <f t="shared" si="5"/>
      </c>
    </row>
    <row r="56" spans="1:17" x14ac:dyDescent="0.25">
      <c r="A56" s="81" t="s">
        <v>236</v>
      </c>
      <c r="B56" s="82"/>
      <c r="C56" s="96"/>
      <c r="D56" s="96"/>
      <c r="E56" s="96"/>
      <c r="F56" s="96"/>
      <c r="G56" s="96"/>
      <c r="H56" s="96"/>
      <c r="I56" s="96"/>
      <c r="J56" s="96"/>
      <c r="K56" s="96"/>
      <c r="L56" s="96"/>
      <c r="N56" s="83"/>
      <c r="O56" s="97"/>
      <c r="P56" s="97"/>
      <c r="Q56" s="98"/>
    </row>
    <row r="57" spans="1:17" x14ac:dyDescent="0.25">
      <c r="A57" s="81" t="s">
        <v>10</v>
      </c>
      <c r="B57" s="82"/>
      <c r="C57" s="96">
        <f>'Data Sheet'!C26</f>
      </c>
      <c r="D57" s="96">
        <f>'Data Sheet'!D26</f>
      </c>
      <c r="E57" s="96">
        <f>'Data Sheet'!E26</f>
      </c>
      <c r="F57" s="96">
        <f>'Data Sheet'!F26</f>
      </c>
      <c r="G57" s="96">
        <f>'Data Sheet'!G26</f>
      </c>
      <c r="H57" s="96">
        <f>'Data Sheet'!H26</f>
      </c>
      <c r="I57" s="96">
        <f>'Data Sheet'!I26</f>
      </c>
      <c r="J57" s="96">
        <f>'Data Sheet'!J26</f>
      </c>
      <c r="K57" s="96">
        <f>'Data Sheet'!K26</f>
      </c>
      <c r="L57" s="96">
        <f>'Data Sheet'!K26</f>
      </c>
      <c r="M57" s="99">
        <f>AVERAGE(H57:L57)</f>
      </c>
      <c r="O57" s="97">
        <f>SUM(D57:L57)</f>
      </c>
      <c r="P57" s="97">
        <f>SUM(H57:L57)</f>
      </c>
      <c r="Q57" s="98">
        <f>SUM(J57:L57)</f>
      </c>
    </row>
    <row r="58" spans="1:17" x14ac:dyDescent="0.25">
      <c r="A58" s="81" t="s">
        <v>237</v>
      </c>
      <c r="B58" s="82"/>
      <c r="C58" s="96">
        <f>'Data Sheet'!C62</f>
      </c>
      <c r="D58" s="96">
        <f>'Data Sheet'!D62</f>
      </c>
      <c r="E58" s="96">
        <f>'Data Sheet'!E62</f>
      </c>
      <c r="F58" s="96">
        <f>'Data Sheet'!F62</f>
      </c>
      <c r="G58" s="96">
        <f>'Data Sheet'!G62</f>
      </c>
      <c r="H58" s="96">
        <f>'Data Sheet'!H62</f>
      </c>
      <c r="I58" s="96">
        <f>'Data Sheet'!I62</f>
      </c>
      <c r="J58" s="96">
        <f>'Data Sheet'!J62</f>
      </c>
      <c r="K58" s="96">
        <f>'Data Sheet'!K62</f>
      </c>
      <c r="L58" s="96">
        <f>'Data Sheet'!K62</f>
      </c>
      <c r="M58" s="99">
        <f>AVERAGE(H58:L58)</f>
      </c>
      <c r="O58" s="97">
        <f>SUM(D58:L58)</f>
      </c>
      <c r="P58" s="97">
        <f>SUM(H58:L58)</f>
      </c>
      <c r="Q58" s="98">
        <f>SUM(J58:L58)</f>
      </c>
    </row>
    <row r="59" spans="1:17" x14ac:dyDescent="0.25">
      <c r="A59" s="81" t="s">
        <v>238</v>
      </c>
      <c r="B59" s="82"/>
      <c r="C59" s="100">
        <f>C57/C58</f>
      </c>
      <c r="D59" s="100">
        <f t="shared" ref="D59:K59" si="7">D57/D58</f>
      </c>
      <c r="E59" s="100">
        <f t="shared" si="7"/>
      </c>
      <c r="F59" s="100">
        <f t="shared" si="7"/>
      </c>
      <c r="G59" s="100">
        <f t="shared" si="7"/>
      </c>
      <c r="H59" s="100">
        <f t="shared" si="7"/>
      </c>
      <c r="I59" s="100">
        <f t="shared" si="7"/>
      </c>
      <c r="J59" s="100">
        <f t="shared" si="7"/>
      </c>
      <c r="K59" s="100">
        <f t="shared" si="7"/>
      </c>
      <c r="L59" s="100">
        <f>L57/L58</f>
      </c>
      <c r="M59" s="83">
        <f>AVERAGE(H59:L59)</f>
      </c>
      <c r="O59" s="97"/>
      <c r="P59" s="97"/>
      <c r="Q59" s="98"/>
    </row>
    <row r="60" spans="1:17" x14ac:dyDescent="0.25">
      <c r="A60" s="81" t="s">
        <v>239</v>
      </c>
      <c r="B60" s="82"/>
      <c r="C60" s="101" t="e">
        <f>'Data Sheet'!C17/B58</f>
      </c>
      <c r="D60" s="101">
        <f>'Data Sheet'!D17/C58</f>
      </c>
      <c r="E60" s="101">
        <f>'Data Sheet'!E17/D58</f>
      </c>
      <c r="F60" s="101">
        <f>'Data Sheet'!F17/E58</f>
      </c>
      <c r="G60" s="101">
        <f>'Data Sheet'!G17/F58</f>
      </c>
      <c r="H60" s="101">
        <f>'Data Sheet'!H17/G58</f>
      </c>
      <c r="I60" s="101">
        <f>'Data Sheet'!I17/H58</f>
      </c>
      <c r="J60" s="101">
        <f>'Data Sheet'!J17/I58</f>
      </c>
      <c r="K60" s="101">
        <f>'Data Sheet'!K17/J58</f>
      </c>
      <c r="L60" s="101">
        <f>'Data Sheet'!K17/J58</f>
      </c>
      <c r="M60" s="97">
        <f>AVERAGE(H60:L60)</f>
      </c>
      <c r="O60" s="97">
        <f>SUM(D60:L60)</f>
      </c>
      <c r="P60" s="97">
        <f>SUM(H60:L60)</f>
      </c>
      <c r="Q60" s="98">
        <f>SUM(J60:L60)</f>
      </c>
    </row>
    <row r="61" spans="1:17" x14ac:dyDescent="0.25">
      <c r="A61" s="81" t="s">
        <v>240</v>
      </c>
      <c r="B61" s="82"/>
      <c r="C61" s="96"/>
      <c r="D61" s="100">
        <f>((1-D59)+(D60*D31*(1-D78)))-1</f>
      </c>
      <c r="E61" s="100">
        <f t="shared" ref="E61:M61" si="8">((1-E59)+(E60*E31*(1-E78)))-1</f>
      </c>
      <c r="F61" s="100">
        <f t="shared" si="8"/>
      </c>
      <c r="G61" s="100">
        <f t="shared" si="8"/>
      </c>
      <c r="H61" s="100">
        <f t="shared" si="8"/>
      </c>
      <c r="I61" s="100">
        <f t="shared" si="8"/>
      </c>
      <c r="J61" s="100">
        <f t="shared" si="8"/>
      </c>
      <c r="K61" s="100">
        <f t="shared" si="8"/>
      </c>
      <c r="L61" s="100">
        <f>((1-L59)+(L60*L31*(1-L78)))-1</f>
      </c>
      <c r="M61" s="100">
        <f t="shared" si="8"/>
      </c>
      <c r="N61" s="83"/>
      <c r="O61" s="83"/>
      <c r="P61" s="83"/>
    </row>
    <row r="62" spans="1:17" x14ac:dyDescent="0.25">
      <c r="A62" s="81"/>
      <c r="B62" s="82"/>
      <c r="C62" s="96"/>
      <c r="D62" s="96"/>
      <c r="E62" s="96"/>
      <c r="F62" s="96"/>
      <c r="G62" s="96"/>
      <c r="H62" s="96"/>
      <c r="I62" s="96"/>
      <c r="J62" s="96"/>
      <c r="K62" s="96"/>
      <c r="L62" s="96"/>
      <c r="N62" s="83"/>
      <c r="O62" s="83"/>
      <c r="P62" s="83"/>
    </row>
    <row r="63" spans="1:17" ht="18.75" x14ac:dyDescent="0.25">
      <c r="A63" s="75" t="s">
        <v>241</v>
      </c>
      <c r="B63" s="82"/>
      <c r="C63" s="88">
        <f>C36</f>
      </c>
      <c r="D63" s="88">
        <f t="shared" ref="D63:L63" si="9">D36</f>
      </c>
      <c r="E63" s="88">
        <f t="shared" si="9"/>
      </c>
      <c r="F63" s="88">
        <f t="shared" si="9"/>
      </c>
      <c r="G63" s="88">
        <f t="shared" si="9"/>
      </c>
      <c r="H63" s="88">
        <f t="shared" si="9"/>
      </c>
      <c r="I63" s="88">
        <f t="shared" si="9"/>
      </c>
      <c r="J63" s="88">
        <f t="shared" si="9"/>
      </c>
      <c r="K63" s="88">
        <f t="shared" si="9"/>
      </c>
      <c r="L63" s="88" t="str">
        <f t="shared" si="9"/>
      </c>
      <c r="N63" s="83"/>
      <c r="O63" s="102" t="str">
        <f>O26</f>
      </c>
      <c r="P63" s="102" t="str">
        <f t="shared" ref="P63:Q63" si="10">P26</f>
      </c>
      <c r="Q63" s="102" t="str">
        <f t="shared" si="10"/>
      </c>
    </row>
    <row r="64" spans="1:17" x14ac:dyDescent="0.25">
      <c r="A64" s="81" t="s">
        <v>242</v>
      </c>
      <c r="C64" s="103">
        <f>(C54/C50)*(1-('Data Sheet'!C29/'Data Sheet'!C28))</f>
      </c>
      <c r="D64" s="103">
        <f>(D54/D50)*(1-('Data Sheet'!D29/'Data Sheet'!D28))</f>
      </c>
      <c r="E64" s="103">
        <f>(E54/E50)*(1-('Data Sheet'!E29/'Data Sheet'!E28))</f>
      </c>
      <c r="F64" s="103">
        <f>(F54/F50)*(1-('Data Sheet'!F29/'Data Sheet'!F28))</f>
      </c>
      <c r="G64" s="103">
        <f>(G54/G50)*(1-('Data Sheet'!G29/'Data Sheet'!G28))</f>
      </c>
      <c r="H64" s="103">
        <f>(H54/H50)*(1-('Data Sheet'!H29/'Data Sheet'!H28))</f>
      </c>
      <c r="I64" s="103">
        <f>(I54/I50)*(1-('Data Sheet'!I29/'Data Sheet'!I28))</f>
      </c>
      <c r="J64" s="103">
        <f>(J54/J50)*(1-('Data Sheet'!J29/'Data Sheet'!J28))</f>
      </c>
      <c r="K64" s="103">
        <f>(K54/K50)*(1-('Data Sheet'!K29/'Data Sheet'!K28))</f>
      </c>
      <c r="L64" s="103">
        <f>(L54/L50)*(1-('Data Sheet'!K29/'Data Sheet'!K28))</f>
      </c>
      <c r="N64" s="83">
        <f>(L64/C64)^(1/(9-1))-1</f>
      </c>
      <c r="O64" s="83">
        <f>MIN(C64:L64)</f>
      </c>
      <c r="P64" s="83">
        <f>MAX(C64:L64)</f>
      </c>
      <c r="Q64" s="86">
        <f>AVERAGE(C64:L64)</f>
      </c>
    </row>
    <row r="65" spans="1:17" x14ac:dyDescent="0.25">
      <c r="A65" s="81" t="s">
        <v>243</v>
      </c>
      <c r="C65" s="103">
        <f>(C54/C51)*(1-('Data Sheet'!C29/'Data Sheet'!C28))</f>
      </c>
      <c r="D65" s="103">
        <f>(D54/D51)*(1-('Data Sheet'!D29/'Data Sheet'!D28))</f>
      </c>
      <c r="E65" s="103">
        <f>(E54/E51)*(1-('Data Sheet'!E29/'Data Sheet'!E28))</f>
      </c>
      <c r="F65" s="103">
        <f>(F54/F51)*(1-('Data Sheet'!F29/'Data Sheet'!F28))</f>
      </c>
      <c r="G65" s="103">
        <f>(G54/G51)*(1-('Data Sheet'!G29/'Data Sheet'!G28))</f>
      </c>
      <c r="H65" s="103">
        <f>(H54/H51)*(1-('Data Sheet'!H29/'Data Sheet'!H28))</f>
      </c>
      <c r="I65" s="103">
        <f>(I54/I51)*(1-('Data Sheet'!I29/'Data Sheet'!I28))</f>
      </c>
      <c r="J65" s="103">
        <f>(J54/J51)*(1-('Data Sheet'!J29/'Data Sheet'!J28))</f>
      </c>
      <c r="K65" s="103">
        <f>(K54/K51)*(1-('Data Sheet'!K29/'Data Sheet'!K28))</f>
      </c>
      <c r="L65" s="103">
        <f>(L54/L51)*(1-('Data Sheet'!K29/'Data Sheet'!K28))</f>
      </c>
      <c r="N65" s="83">
        <f>(L65/C65)^(1/(9-1))-1</f>
      </c>
      <c r="O65" s="83">
        <f>MIN(C65:L65)</f>
      </c>
      <c r="P65" s="83">
        <f>MAX(C65:L65)</f>
      </c>
      <c r="Q65" s="86">
        <f>AVERAGE(C65:L65)</f>
      </c>
    </row>
    <row r="66" spans="1:17" x14ac:dyDescent="0.25">
      <c r="A66" s="81" t="s">
        <v>244</v>
      </c>
      <c r="C66" s="103">
        <f>(C54/C52)*(1-('Data Sheet'!C29/'Data Sheet'!C28))</f>
      </c>
      <c r="D66" s="103">
        <f>(D54/D52)*(1-('Data Sheet'!D29/'Data Sheet'!D28))</f>
      </c>
      <c r="E66" s="103">
        <f>(E54/E52)*(1-('Data Sheet'!E29/'Data Sheet'!E28))</f>
      </c>
      <c r="F66" s="103">
        <f>(F54/F52)*(1-('Data Sheet'!F29/'Data Sheet'!F28))</f>
      </c>
      <c r="G66" s="103">
        <f>(G54/G52)*(1-('Data Sheet'!G29/'Data Sheet'!G28))</f>
      </c>
      <c r="H66" s="103">
        <f>(H54/H52)*(1-('Data Sheet'!H29/'Data Sheet'!H28))</f>
      </c>
      <c r="I66" s="103">
        <f>(I54/I52)*(1-('Data Sheet'!I29/'Data Sheet'!I28))</f>
      </c>
      <c r="J66" s="103">
        <f>(J54/J52)*(1-('Data Sheet'!J29/'Data Sheet'!J28))</f>
      </c>
      <c r="K66" s="103">
        <f>(K54/K52)*(1-('Data Sheet'!K29/'Data Sheet'!K28))</f>
      </c>
      <c r="L66" s="103">
        <f>(L54/L52)*(1-('Data Sheet'!K29/'Data Sheet'!K28))</f>
      </c>
      <c r="N66" s="83">
        <f>(L66/C66)^(1/(9-1))-1</f>
      </c>
      <c r="O66" s="83">
        <f>MIN(C66:L66)</f>
      </c>
      <c r="P66" s="83">
        <f>MAX(C66:L66)</f>
      </c>
      <c r="Q66" s="86">
        <f>AVERAGE(C66:L66)</f>
      </c>
    </row>
    <row r="67" spans="1:17" x14ac:dyDescent="0.25">
      <c r="A67" s="81" t="s">
        <v>245</v>
      </c>
      <c r="C67" s="103">
        <f>(C54/C53)*(1-('Data Sheet'!C29/'Data Sheet'!C28))</f>
      </c>
      <c r="D67" s="103">
        <f>(D54/D53)*(1-('Data Sheet'!D29/'Data Sheet'!D28))</f>
      </c>
      <c r="E67" s="103">
        <f>(E54/E53)*(1-('Data Sheet'!E29/'Data Sheet'!E28))</f>
      </c>
      <c r="F67" s="103">
        <f>(F54/F53)*(1-('Data Sheet'!F29/'Data Sheet'!F28))</f>
      </c>
      <c r="G67" s="103">
        <f>(G54/G53)*(1-('Data Sheet'!G29/'Data Sheet'!G28))</f>
      </c>
      <c r="H67" s="103">
        <f>(H54/H53)*(1-('Data Sheet'!H29/'Data Sheet'!H28))</f>
      </c>
      <c r="I67" s="103">
        <f>(I54/I53)*(1-('Data Sheet'!I29/'Data Sheet'!I28))</f>
      </c>
      <c r="J67" s="103">
        <f>(J54/J53)*(1-('Data Sheet'!J29/'Data Sheet'!J28))</f>
      </c>
      <c r="K67" s="103">
        <f>(K54/K53)*(1-('Data Sheet'!K29/'Data Sheet'!K28))</f>
      </c>
      <c r="L67" s="103">
        <f>(L54/L53)*(1-('Data Sheet'!K29/'Data Sheet'!K28))</f>
      </c>
      <c r="N67" s="83">
        <f>(L67/C67)^(1/(9-1))-1</f>
      </c>
      <c r="O67" s="83">
        <f>MIN(C67:L67)</f>
      </c>
      <c r="P67" s="83">
        <f>MAX(C67:L67)</f>
      </c>
      <c r="Q67" s="86">
        <f>AVERAGE(C67:L67)</f>
      </c>
    </row>
    <row r="68" spans="1:17" x14ac:dyDescent="0.25">
      <c r="A68" s="81" t="s">
        <v>246</v>
      </c>
      <c r="B68" s="82" t="s">
        <v>247</v>
      </c>
      <c r="C68" s="103">
        <f>'Data Sheet'!C30/'Data Sheet'!C66</f>
      </c>
      <c r="D68" s="103">
        <f>'Data Sheet'!D30/'Data Sheet'!D66</f>
      </c>
      <c r="E68" s="103">
        <f>'Data Sheet'!E30/'Data Sheet'!E66</f>
      </c>
      <c r="F68" s="103">
        <f>'Data Sheet'!F30/'Data Sheet'!F66</f>
      </c>
      <c r="G68" s="103">
        <f>'Data Sheet'!G30/'Data Sheet'!G66</f>
      </c>
      <c r="H68" s="103">
        <f>'Data Sheet'!H30/'Data Sheet'!H66</f>
      </c>
      <c r="I68" s="103">
        <f>'Data Sheet'!I30/'Data Sheet'!I66</f>
      </c>
      <c r="J68" s="103">
        <f>'Data Sheet'!J30/'Data Sheet'!J66</f>
      </c>
      <c r="K68" s="103">
        <f>'Data Sheet'!K30/'Data Sheet'!K66</f>
      </c>
      <c r="L68" s="103">
        <f>'Data Sheet'!K30/'Data Sheet'!K66</f>
      </c>
      <c r="N68" s="83">
        <f>(L68/C68)^(1/(9-1))-1</f>
      </c>
      <c r="O68" s="83">
        <f>MIN(C68:L68)</f>
      </c>
      <c r="P68" s="83">
        <f>MAX(C68:L68)</f>
      </c>
      <c r="Q68" s="86">
        <f>AVERAGE(C68:L68)</f>
      </c>
    </row>
    <row r="69" spans="1:17" x14ac:dyDescent="0.25">
      <c r="A69" s="81" t="s">
        <v>248</v>
      </c>
      <c r="B69" s="82"/>
      <c r="C69" s="103"/>
      <c r="D69" s="103"/>
      <c r="E69" s="103"/>
      <c r="F69" s="103"/>
      <c r="G69" s="103"/>
      <c r="H69" s="103"/>
      <c r="I69" s="103"/>
      <c r="J69" s="103"/>
      <c r="K69" s="103"/>
      <c r="L69" s="103"/>
      <c r="N69" s="83"/>
      <c r="O69" s="83"/>
      <c r="P69" s="83"/>
      <c r="Q69" s="86"/>
    </row>
    <row r="70" spans="1:17" x14ac:dyDescent="0.25">
      <c r="A70" s="81" t="s">
        <v>249</v>
      </c>
      <c r="B70" s="82" t="s">
        <v>250</v>
      </c>
      <c r="C70" s="103">
        <f>C54/C55</f>
      </c>
      <c r="D70" s="103">
        <f t="shared" ref="D70:L70" si="11">D54/D55</f>
      </c>
      <c r="E70" s="103">
        <f t="shared" si="11"/>
      </c>
      <c r="F70" s="103">
        <f t="shared" si="11"/>
      </c>
      <c r="G70" s="103">
        <f t="shared" si="11"/>
      </c>
      <c r="H70" s="103">
        <f t="shared" si="11"/>
      </c>
      <c r="I70" s="103">
        <f t="shared" si="11"/>
      </c>
      <c r="J70" s="103">
        <f t="shared" si="11"/>
      </c>
      <c r="K70" s="103">
        <f t="shared" si="11"/>
      </c>
      <c r="L70" s="103">
        <f t="shared" si="11"/>
      </c>
      <c r="N70" s="83">
        <f>(L70/C70)^(1/(9-1))-1</f>
      </c>
      <c r="O70" s="83">
        <f>MIN(C70:L70)</f>
      </c>
      <c r="P70" s="83">
        <f>MAX(C70:L70)</f>
      </c>
      <c r="Q70" s="86">
        <f>AVERAGE(C70:L70)</f>
      </c>
    </row>
    <row r="71" spans="1:17" x14ac:dyDescent="0.25">
      <c r="A71" s="81" t="s">
        <v>251</v>
      </c>
      <c r="B71" s="104"/>
      <c r="C71" s="95"/>
      <c r="D71" s="95"/>
      <c r="E71" s="95"/>
      <c r="F71" s="95"/>
      <c r="G71" s="95"/>
      <c r="H71" s="95"/>
      <c r="I71" s="95"/>
      <c r="J71" s="95"/>
      <c r="K71" s="95"/>
      <c r="L71" s="95"/>
      <c r="N71" s="83"/>
      <c r="O71" s="83"/>
      <c r="P71" s="83"/>
      <c r="Q71" s="86"/>
    </row>
    <row r="72" spans="1:17" x14ac:dyDescent="0.25">
      <c r="A72" s="81" t="s">
        <v>60</v>
      </c>
      <c r="B72" s="82" t="s">
        <v>252</v>
      </c>
      <c r="C72" s="103">
        <f>'Data Sheet'!C30/('Data Sheet'!C57+'Data Sheet'!C58)</f>
      </c>
      <c r="D72" s="103">
        <f>'Data Sheet'!D30/('Data Sheet'!D57+'Data Sheet'!D58)</f>
      </c>
      <c r="E72" s="103">
        <f>'Data Sheet'!E30/('Data Sheet'!E57+'Data Sheet'!E58)</f>
      </c>
      <c r="F72" s="103">
        <f>'Data Sheet'!F30/('Data Sheet'!F57+'Data Sheet'!F58)</f>
      </c>
      <c r="G72" s="103">
        <f>'Data Sheet'!G30/('Data Sheet'!G57+'Data Sheet'!G58)</f>
      </c>
      <c r="H72" s="103">
        <f>'Data Sheet'!H30/('Data Sheet'!H57+'Data Sheet'!H58)</f>
      </c>
      <c r="I72" s="103">
        <f>'Data Sheet'!I30/('Data Sheet'!I57+'Data Sheet'!I58)</f>
      </c>
      <c r="J72" s="103">
        <f>'Data Sheet'!J30/('Data Sheet'!J57+'Data Sheet'!J58)</f>
      </c>
      <c r="K72" s="103">
        <f>'Data Sheet'!K30/('Data Sheet'!K57+'Data Sheet'!K58)</f>
      </c>
      <c r="L72" s="103">
        <f>'Data Sheet'!K30/('Data Sheet'!K57+'Data Sheet'!K58)</f>
      </c>
      <c r="N72" s="83">
        <f>(L72/C72)^(1/(9-1))-1</f>
      </c>
      <c r="O72" s="83">
        <f t="shared" ref="O72:O78" si="12">MIN(C72:L72)</f>
      </c>
      <c r="P72" s="83">
        <f t="shared" ref="P72:P78" si="13">MAX(C72:L72)</f>
      </c>
      <c r="Q72" s="86">
        <f t="shared" ref="Q72:Q78" si="14">AVERAGE(C72:L72)</f>
      </c>
    </row>
    <row r="73" spans="1:17" x14ac:dyDescent="0.25">
      <c r="A73" s="81" t="s">
        <v>253</v>
      </c>
      <c r="B73" s="82" t="s">
        <v>254</v>
      </c>
      <c r="C73" s="86">
        <f t="shared" ref="C73:L73" si="15">C31</f>
      </c>
      <c r="D73" s="86">
        <f t="shared" si="15"/>
      </c>
      <c r="E73" s="86">
        <f t="shared" si="15"/>
      </c>
      <c r="F73" s="86">
        <f t="shared" si="15"/>
      </c>
      <c r="G73" s="86">
        <f t="shared" si="15"/>
      </c>
      <c r="H73" s="86">
        <f t="shared" si="15"/>
      </c>
      <c r="I73" s="86">
        <f t="shared" si="15"/>
      </c>
      <c r="J73" s="86">
        <f t="shared" si="15"/>
      </c>
      <c r="K73" s="86">
        <f t="shared" si="15"/>
      </c>
      <c r="L73" s="86">
        <f t="shared" si="15"/>
      </c>
      <c r="N73" s="83">
        <f>(L73/C73)^(1/(9-1))-1</f>
      </c>
      <c r="O73" s="83">
        <f t="shared" si="12"/>
      </c>
      <c r="P73" s="83">
        <f t="shared" si="13"/>
      </c>
      <c r="Q73" s="86">
        <f t="shared" si="14"/>
      </c>
    </row>
    <row r="74" spans="1:17" x14ac:dyDescent="0.25">
      <c r="A74" s="81" t="s">
        <v>255</v>
      </c>
      <c r="B74" s="82" t="s">
        <v>256</v>
      </c>
      <c r="C74" s="105">
        <f>'Data Sheet'!C17/'Data Sheet'!C66</f>
      </c>
      <c r="D74" s="105">
        <f>'Data Sheet'!D17/'Data Sheet'!D66</f>
      </c>
      <c r="E74" s="105">
        <f>'Data Sheet'!E17/'Data Sheet'!E66</f>
      </c>
      <c r="F74" s="105">
        <f>'Data Sheet'!F17/'Data Sheet'!F66</f>
      </c>
      <c r="G74" s="105">
        <f>'Data Sheet'!G17/'Data Sheet'!G66</f>
      </c>
      <c r="H74" s="105">
        <f>'Data Sheet'!H17/'Data Sheet'!H66</f>
      </c>
      <c r="I74" s="105">
        <f>'Data Sheet'!I17/'Data Sheet'!I66</f>
      </c>
      <c r="J74" s="105">
        <f>'Data Sheet'!J17/'Data Sheet'!J66</f>
      </c>
      <c r="K74" s="105">
        <f>'Data Sheet'!K17/'Data Sheet'!K66</f>
      </c>
      <c r="L74" s="105">
        <f>'Data Sheet'!K17/'Data Sheet'!K66</f>
      </c>
      <c r="M74" s="106">
        <f>(L74/G74)^(1/(5-1))-1</f>
      </c>
      <c r="N74" s="83">
        <f>(L74/C74)^(1/(9-1))-1</f>
      </c>
      <c r="O74" s="107">
        <f t="shared" si="12"/>
      </c>
      <c r="P74" s="107">
        <f t="shared" si="13"/>
      </c>
      <c r="Q74" s="105">
        <f t="shared" si="14"/>
      </c>
    </row>
    <row r="75" spans="1:17" ht="23.25" x14ac:dyDescent="0.25">
      <c r="A75" s="81" t="s">
        <v>257</v>
      </c>
      <c r="B75" s="82" t="s">
        <v>258</v>
      </c>
      <c r="C75" s="108">
        <f>'Data Sheet'!C66/('Data Sheet'!C57+'Data Sheet'!C58)</f>
      </c>
      <c r="D75" s="108">
        <f>'Data Sheet'!D66/('Data Sheet'!D57+'Data Sheet'!D58)</f>
      </c>
      <c r="E75" s="108">
        <f>'Data Sheet'!E66/('Data Sheet'!E57+'Data Sheet'!E58)</f>
      </c>
      <c r="F75" s="108">
        <f>'Data Sheet'!F66/('Data Sheet'!F57+'Data Sheet'!F58)</f>
      </c>
      <c r="G75" s="108">
        <f>'Data Sheet'!G66/('Data Sheet'!G57+'Data Sheet'!G58)</f>
      </c>
      <c r="H75" s="108">
        <f>'Data Sheet'!H66/('Data Sheet'!H57+'Data Sheet'!H58)</f>
      </c>
      <c r="I75" s="108">
        <f>'Data Sheet'!I66/('Data Sheet'!I57+'Data Sheet'!I58)</f>
      </c>
      <c r="J75" s="108">
        <f>'Data Sheet'!J66/('Data Sheet'!J57+'Data Sheet'!J58)</f>
      </c>
      <c r="K75" s="108">
        <f>'Data Sheet'!K66/('Data Sheet'!K57+'Data Sheet'!K58)</f>
      </c>
      <c r="L75" s="105">
        <f>'Data Sheet'!K66/('Data Sheet'!K57+'Data Sheet'!K58)</f>
      </c>
      <c r="N75" s="83">
        <f>(L75/C75)^(1/(9-1))-1</f>
      </c>
      <c r="O75" s="107">
        <f t="shared" si="12"/>
      </c>
      <c r="P75" s="107">
        <f t="shared" si="13"/>
      </c>
      <c r="Q75" s="105">
        <f t="shared" si="14"/>
      </c>
    </row>
    <row r="76" spans="1:17" ht="34.5" x14ac:dyDescent="0.25">
      <c r="A76" s="81" t="s">
        <v>259</v>
      </c>
      <c r="B76" s="82" t="s">
        <v>260</v>
      </c>
      <c r="C76" s="103">
        <f>C73*C74*C75</f>
      </c>
      <c r="D76" s="103">
        <f t="shared" ref="D76:L76" si="16">D73*D74*D75</f>
      </c>
      <c r="E76" s="103">
        <f t="shared" si="16"/>
      </c>
      <c r="F76" s="103">
        <f t="shared" si="16"/>
      </c>
      <c r="G76" s="103">
        <f t="shared" si="16"/>
      </c>
      <c r="H76" s="103">
        <f t="shared" si="16"/>
      </c>
      <c r="I76" s="103">
        <f t="shared" si="16"/>
      </c>
      <c r="J76" s="103">
        <f t="shared" si="16"/>
      </c>
      <c r="K76" s="103">
        <f t="shared" si="16"/>
      </c>
      <c r="L76" s="103">
        <f t="shared" si="16"/>
      </c>
      <c r="N76" s="83">
        <f>(L76/C76)^(1/(9-1))-1</f>
      </c>
      <c r="O76" s="83">
        <f t="shared" si="12"/>
      </c>
      <c r="P76" s="83">
        <f t="shared" si="13"/>
      </c>
      <c r="Q76" s="86">
        <f t="shared" si="14"/>
      </c>
    </row>
    <row r="77" spans="1:17" ht="23.25" x14ac:dyDescent="0.25">
      <c r="A77" s="81" t="s">
        <v>146</v>
      </c>
      <c r="B77" s="82" t="s">
        <v>261</v>
      </c>
      <c r="C77" s="103">
        <f>IFERROR((C43/C41)/C40,"NA")</f>
      </c>
      <c r="D77" s="103">
        <f t="shared" ref="D77:L77" si="17">IFERROR((D43/D41)/D40,"NA")</f>
      </c>
      <c r="E77" s="103">
        <f t="shared" si="17"/>
      </c>
      <c r="F77" s="103">
        <f t="shared" si="17"/>
      </c>
      <c r="G77" s="103">
        <f t="shared" si="17"/>
      </c>
      <c r="H77" s="103">
        <f t="shared" si="17"/>
      </c>
      <c r="I77" s="103">
        <f t="shared" si="17"/>
      </c>
      <c r="J77" s="103">
        <f t="shared" si="17"/>
      </c>
      <c r="K77" s="103">
        <f t="shared" si="17"/>
      </c>
      <c r="L77" s="103">
        <f t="shared" si="17"/>
      </c>
      <c r="N77" s="83"/>
      <c r="O77" s="83">
        <f t="shared" si="12"/>
      </c>
      <c r="P77" s="83">
        <f t="shared" si="13"/>
      </c>
      <c r="Q77" s="86">
        <f t="shared" si="14"/>
      </c>
    </row>
    <row r="78" spans="1:17" ht="34.5" x14ac:dyDescent="0.25">
      <c r="A78" s="81" t="s">
        <v>262</v>
      </c>
      <c r="B78" s="82" t="s">
        <v>263</v>
      </c>
      <c r="C78" s="113">
        <f>'Data Sheet'!C31/'Data Sheet'!C30</f>
      </c>
      <c r="D78" s="113">
        <f>'Data Sheet'!D31/'Data Sheet'!D30</f>
      </c>
      <c r="E78" s="113">
        <f>'Data Sheet'!E31/'Data Sheet'!E30</f>
      </c>
      <c r="F78" s="113">
        <f>'Data Sheet'!F31/'Data Sheet'!F30</f>
      </c>
      <c r="G78" s="113">
        <f>'Data Sheet'!G31/'Data Sheet'!G30</f>
      </c>
      <c r="H78" s="113">
        <f>'Data Sheet'!H31/'Data Sheet'!H30</f>
      </c>
      <c r="I78" s="113">
        <f>'Data Sheet'!I31/'Data Sheet'!I30</f>
      </c>
      <c r="J78" s="120">
        <f>'Data Sheet'!J31/'Data Sheet'!J30</f>
      </c>
      <c r="K78" s="120">
        <f>'Data Sheet'!K31/'Data Sheet'!K30</f>
      </c>
      <c r="L78" s="83">
        <f>'Data Sheet'!K31/'Data Sheet'!K30</f>
      </c>
      <c r="M78" s="87">
        <f>AVERAGE(H78:L78)</f>
      </c>
      <c r="N78" s="83"/>
      <c r="O78" s="83">
        <f t="shared" si="12"/>
      </c>
      <c r="P78" s="83">
        <f t="shared" si="13"/>
      </c>
      <c r="Q78" s="86">
        <f t="shared" si="14"/>
      </c>
    </row>
    <row r="79" spans="1:17" x14ac:dyDescent="0.25">
      <c r="A79" s="81"/>
      <c r="B79" s="82"/>
      <c r="C79" s="83"/>
      <c r="D79" s="83"/>
      <c r="E79" s="83"/>
      <c r="F79" s="83"/>
      <c r="G79" s="83"/>
      <c r="H79" s="83"/>
      <c r="I79" s="83"/>
      <c r="J79" s="83"/>
      <c r="K79" s="83"/>
      <c r="L79" s="83"/>
      <c r="N79" s="83"/>
      <c r="O79" s="83"/>
      <c r="P79" s="83"/>
      <c r="Q79" s="86"/>
    </row>
    <row r="80" spans="1:17" ht="18.75" x14ac:dyDescent="0.25">
      <c r="A80" s="75" t="s">
        <v>264</v>
      </c>
      <c r="C80" s="85">
        <f>C63</f>
      </c>
      <c r="D80" s="85">
        <f t="shared" ref="D80:L80" si="18">D63</f>
      </c>
      <c r="E80" s="85">
        <f t="shared" si="18"/>
      </c>
      <c r="F80" s="85">
        <f t="shared" si="18"/>
      </c>
      <c r="G80" s="85">
        <f t="shared" si="18"/>
      </c>
      <c r="H80" s="85">
        <f t="shared" si="18"/>
      </c>
      <c r="I80" s="85">
        <f t="shared" si="18"/>
      </c>
      <c r="J80" s="85">
        <f t="shared" si="18"/>
      </c>
      <c r="K80" s="85">
        <f t="shared" si="18"/>
      </c>
      <c r="L80" s="85" t="str">
        <f t="shared" si="18"/>
      </c>
      <c r="N80" s="83"/>
      <c r="O80" s="102" t="str">
        <f>O63</f>
      </c>
      <c r="P80" s="102" t="str">
        <f t="shared" ref="P80:Q80" si="19">P63</f>
      </c>
      <c r="Q80" s="102" t="str">
        <f t="shared" si="19"/>
      </c>
    </row>
    <row r="81" spans="1:17" ht="23.25" x14ac:dyDescent="0.25">
      <c r="A81" s="81" t="s">
        <v>265</v>
      </c>
      <c r="B81" s="82" t="s">
        <v>266</v>
      </c>
      <c r="C81" s="109">
        <f>'Data Sheet'!C67/'Data Sheet'!C17</f>
      </c>
      <c r="D81" s="109">
        <f>'Data Sheet'!D67/'Data Sheet'!D17</f>
      </c>
      <c r="E81" s="109">
        <f>'Data Sheet'!E67/'Data Sheet'!E17</f>
      </c>
      <c r="F81" s="109">
        <f>'Data Sheet'!F67/'Data Sheet'!F17</f>
      </c>
      <c r="G81" s="109">
        <f>'Data Sheet'!G67/'Data Sheet'!G17</f>
      </c>
      <c r="H81" s="109">
        <f>'Data Sheet'!H67/'Data Sheet'!H17</f>
      </c>
      <c r="I81" s="109">
        <f>'Data Sheet'!I67/'Data Sheet'!I17</f>
      </c>
      <c r="J81" s="109">
        <f>'Data Sheet'!J67/'Data Sheet'!J17</f>
      </c>
      <c r="K81" s="109">
        <f>'Data Sheet'!K67/'Data Sheet'!K17</f>
      </c>
      <c r="L81" s="109">
        <f>'Data Sheet'!K67/'Data Sheet'!K17</f>
      </c>
      <c r="N81" s="83">
        <f>AVERAGE(C81:L81)</f>
      </c>
      <c r="O81" s="83">
        <f>MIN(C81:L81)</f>
      </c>
      <c r="P81" s="83">
        <f>MAX(C81:L81)</f>
      </c>
      <c r="Q81" s="86">
        <f>AVERAGE(C81:L81)</f>
      </c>
    </row>
    <row r="82" spans="1:17" x14ac:dyDescent="0.25">
      <c r="A82" s="81" t="s">
        <v>267</v>
      </c>
      <c r="B82" s="82" t="s">
        <v>268</v>
      </c>
      <c r="C82" s="116">
        <f>'Data Sheet'!C68/'Data Sheet'!C17</f>
      </c>
      <c r="D82" s="116">
        <f>'Data Sheet'!D68/'Data Sheet'!D17</f>
      </c>
      <c r="E82" s="116">
        <f>'Data Sheet'!E68/'Data Sheet'!E17</f>
      </c>
      <c r="F82" s="116">
        <f>'Data Sheet'!F68/'Data Sheet'!F17</f>
      </c>
      <c r="G82" s="116">
        <f>'Data Sheet'!G68/'Data Sheet'!G17</f>
      </c>
      <c r="H82" s="116">
        <f>'Data Sheet'!H68/'Data Sheet'!H17</f>
      </c>
      <c r="I82" s="116">
        <f>'Data Sheet'!I68/'Data Sheet'!I17</f>
      </c>
      <c r="J82" s="116">
        <f>'Data Sheet'!J68/'Data Sheet'!J17</f>
      </c>
      <c r="K82" s="116">
        <f>'Data Sheet'!K68/'Data Sheet'!K17</f>
      </c>
      <c r="L82" s="119">
        <f>'Data Sheet'!K68/'Data Sheet'!K17</f>
      </c>
      <c r="N82" s="83">
        <f t="shared" ref="N82:N85" si="20">AVERAGE(C82:L82)</f>
      </c>
      <c r="O82" s="83">
        <f t="shared" ref="O82:O129" si="21">MIN(C82:L82)</f>
      </c>
      <c r="P82" s="83">
        <f t="shared" ref="P82:P129" si="22">MAX(C82:L82)</f>
      </c>
      <c r="Q82" s="86">
        <f t="shared" ref="Q82:Q129" si="23">AVERAGE(C82:L82)</f>
      </c>
    </row>
    <row r="83" spans="1:17" x14ac:dyDescent="0.25">
      <c r="A83" s="81" t="s">
        <v>269</v>
      </c>
      <c r="B83" s="82" t="s">
        <v>270</v>
      </c>
      <c r="C83" s="109">
        <f>'Data Sheet'!C69/'Data Sheet'!C59</f>
      </c>
      <c r="D83" s="109">
        <f>'Data Sheet'!D69/'Data Sheet'!D59</f>
      </c>
      <c r="E83" s="109">
        <f>'Data Sheet'!E69/'Data Sheet'!E59</f>
      </c>
      <c r="F83" s="109">
        <f>'Data Sheet'!F69/'Data Sheet'!F59</f>
      </c>
      <c r="G83" s="109">
        <f>'Data Sheet'!G69/'Data Sheet'!G59</f>
      </c>
      <c r="H83" s="109">
        <f>'Data Sheet'!H69/'Data Sheet'!H59</f>
      </c>
      <c r="I83" s="109">
        <f>'Data Sheet'!I69/'Data Sheet'!I59</f>
      </c>
      <c r="J83" s="118">
        <f>'Data Sheet'!J69/'Data Sheet'!J59</f>
      </c>
      <c r="K83" s="118">
        <f>'Data Sheet'!K69/'Data Sheet'!K59</f>
      </c>
      <c r="L83" s="109">
        <f>'Data Sheet'!K69/'Data Sheet'!K59</f>
      </c>
      <c r="N83" s="83"/>
      <c r="O83" s="83">
        <f t="shared" si="21"/>
      </c>
      <c r="P83" s="83">
        <f t="shared" si="22"/>
      </c>
      <c r="Q83" s="86">
        <f t="shared" si="23"/>
      </c>
    </row>
    <row r="84" spans="1:17" x14ac:dyDescent="0.25">
      <c r="A84" s="81" t="s">
        <v>271</v>
      </c>
      <c r="B84" s="82"/>
      <c r="C84" s="109">
        <f>'Data Sheet'!C27/'Data Sheet'!C59</f>
      </c>
      <c r="D84" s="109">
        <f>'Data Sheet'!D27/'Data Sheet'!D59</f>
      </c>
      <c r="E84" s="109">
        <f>'Data Sheet'!E27/'Data Sheet'!E59</f>
      </c>
      <c r="F84" s="109">
        <f>'Data Sheet'!F27/'Data Sheet'!F59</f>
      </c>
      <c r="G84" s="109">
        <f>'Data Sheet'!G27/'Data Sheet'!G59</f>
      </c>
      <c r="H84" s="109">
        <f>'Data Sheet'!H27/'Data Sheet'!H59</f>
      </c>
      <c r="I84" s="109">
        <f>'Data Sheet'!I27/'Data Sheet'!I59</f>
      </c>
      <c r="J84" s="118">
        <f>'Data Sheet'!J27/'Data Sheet'!J59</f>
      </c>
      <c r="K84" s="118">
        <f>'Data Sheet'!K27/'Data Sheet'!K59</f>
      </c>
      <c r="L84" s="109">
        <f>'Data Sheet'!K27/'Data Sheet'!K59</f>
      </c>
      <c r="N84" s="83"/>
      <c r="O84" s="83">
        <f t="shared" si="21"/>
      </c>
      <c r="P84" s="83">
        <f t="shared" si="22"/>
      </c>
      <c r="Q84" s="86">
        <f t="shared" si="23"/>
      </c>
    </row>
    <row r="85" spans="1:17" ht="23.25" x14ac:dyDescent="0.25">
      <c r="A85" s="81" t="s">
        <v>272</v>
      </c>
      <c r="B85" s="82" t="s">
        <v>273</v>
      </c>
      <c r="C85" s="109">
        <f>('Data Sheet'!C67+'Data Sheet'!C68)/'Data Sheet'!C17</f>
      </c>
      <c r="D85" s="109">
        <f>('Data Sheet'!D67+'Data Sheet'!D68)/'Data Sheet'!D17</f>
      </c>
      <c r="E85" s="109">
        <f>('Data Sheet'!E67+'Data Sheet'!E68)/'Data Sheet'!E17</f>
      </c>
      <c r="F85" s="109">
        <f>('Data Sheet'!F67+'Data Sheet'!F68)/'Data Sheet'!F17</f>
      </c>
      <c r="G85" s="109">
        <f>('Data Sheet'!G67+'Data Sheet'!G68)/'Data Sheet'!G17</f>
      </c>
      <c r="H85" s="109">
        <f>('Data Sheet'!H67+'Data Sheet'!H68)/'Data Sheet'!H17</f>
      </c>
      <c r="I85" s="109">
        <f>('Data Sheet'!I67+'Data Sheet'!I68)/'Data Sheet'!I17</f>
      </c>
      <c r="J85" s="109">
        <f>('Data Sheet'!J67+'Data Sheet'!J68)/'Data Sheet'!J17</f>
      </c>
      <c r="K85" s="109">
        <f>('Data Sheet'!K67+'Data Sheet'!K68)/'Data Sheet'!K17</f>
      </c>
      <c r="L85" s="118">
        <f>('Data Sheet'!K67+'Data Sheet'!K68)/'Data Sheet'!K17</f>
      </c>
      <c r="N85" s="83">
        <f t="shared" si="20"/>
      </c>
      <c r="O85" s="83">
        <f t="shared" si="21"/>
      </c>
      <c r="P85" s="83">
        <f t="shared" si="22"/>
      </c>
      <c r="Q85" s="86">
        <f t="shared" si="23"/>
      </c>
    </row>
    <row r="86" spans="1:17" ht="23.25" x14ac:dyDescent="0.25">
      <c r="A86" s="81" t="s">
        <v>274</v>
      </c>
      <c r="B86" s="82" t="s">
        <v>275</v>
      </c>
      <c r="C86" s="97">
        <f>'Balance Sheet'!C13/'Balance Sheet'!C7</f>
      </c>
      <c r="D86" s="97">
        <f>'Balance Sheet'!D13/'Balance Sheet'!D7</f>
      </c>
      <c r="E86" s="97">
        <f>'Balance Sheet'!E13/'Balance Sheet'!E7</f>
      </c>
      <c r="F86" s="97">
        <f>'Balance Sheet'!F13/'Balance Sheet'!F7</f>
      </c>
      <c r="G86" s="97">
        <f>'Balance Sheet'!G13/'Balance Sheet'!G7</f>
      </c>
      <c r="H86" s="97">
        <f>'Balance Sheet'!H13/'Balance Sheet'!H7</f>
      </c>
      <c r="I86" s="97">
        <f>'Balance Sheet'!I13/'Balance Sheet'!I7</f>
      </c>
      <c r="J86" s="97">
        <f>'Balance Sheet'!J13/'Balance Sheet'!J7</f>
      </c>
      <c r="K86" s="97">
        <f>'Balance Sheet'!K13/'Balance Sheet'!K7</f>
      </c>
      <c r="L86" s="97">
        <f>'Balance Sheet'!K13/'Balance Sheet'!K7</f>
      </c>
      <c r="N86" s="83"/>
      <c r="O86" s="107">
        <f t="shared" si="21"/>
      </c>
      <c r="P86" s="107">
        <f t="shared" si="22"/>
      </c>
      <c r="Q86" s="105">
        <f t="shared" si="23"/>
      </c>
    </row>
    <row r="87" spans="1:17" x14ac:dyDescent="0.25">
      <c r="A87" s="81" t="s">
        <v>276</v>
      </c>
      <c r="B87" s="82" t="s">
        <v>277</v>
      </c>
      <c r="C87" s="113">
        <f>C48/'Profit &amp; Loss'!C4</f>
      </c>
      <c r="D87" s="113">
        <f>D48/'Profit &amp; Loss'!D4</f>
      </c>
      <c r="E87" s="113">
        <f>E48/'Profit &amp; Loss'!E4</f>
      </c>
      <c r="F87" s="113">
        <f>F48/'Profit &amp; Loss'!F4</f>
      </c>
      <c r="G87" s="113">
        <f>G48/'Profit &amp; Loss'!G4</f>
      </c>
      <c r="H87" s="113">
        <f>H48/'Profit &amp; Loss'!H4</f>
      </c>
      <c r="I87" s="113">
        <f>I48/'Profit &amp; Loss'!I4</f>
      </c>
      <c r="J87" s="113">
        <f>J48/'Profit &amp; Loss'!J4</f>
      </c>
      <c r="K87" s="113">
        <f>K48/'Profit &amp; Loss'!K4</f>
      </c>
      <c r="L87" s="113">
        <f>L48/'Profit &amp; Loss'!L4</f>
      </c>
      <c r="N87" s="83"/>
      <c r="O87" s="83">
        <f t="shared" si="21"/>
      </c>
      <c r="P87" s="83">
        <f t="shared" si="22"/>
      </c>
      <c r="Q87" s="86">
        <f t="shared" si="23"/>
      </c>
    </row>
    <row r="88" spans="1:17" x14ac:dyDescent="0.25">
      <c r="A88" s="81" t="s">
        <v>278</v>
      </c>
      <c r="B88" s="82" t="s">
        <v>279</v>
      </c>
      <c r="C88" s="113">
        <f>C55/'Profit &amp; Loss'!C4</f>
      </c>
      <c r="D88" s="113">
        <f>D55/'Profit &amp; Loss'!D4</f>
      </c>
      <c r="E88" s="113">
        <f>E55/'Profit &amp; Loss'!E4</f>
      </c>
      <c r="F88" s="113">
        <f>F55/'Profit &amp; Loss'!F4</f>
      </c>
      <c r="G88" s="113">
        <f>G55/'Profit &amp; Loss'!G4</f>
      </c>
      <c r="H88" s="113">
        <f>H55/'Profit &amp; Loss'!H4</f>
      </c>
      <c r="I88" s="113">
        <f>I55/'Profit &amp; Loss'!I4</f>
      </c>
      <c r="J88" s="113">
        <f>J55/'Profit &amp; Loss'!J4</f>
      </c>
      <c r="K88" s="113">
        <f>K55/'Profit &amp; Loss'!K4</f>
      </c>
      <c r="L88" s="113">
        <f>L55/'Profit &amp; Loss'!L4</f>
      </c>
      <c r="N88" s="83"/>
      <c r="O88" s="83">
        <f t="shared" si="21"/>
      </c>
      <c r="P88" s="83">
        <f t="shared" si="22"/>
      </c>
      <c r="Q88" s="86">
        <f t="shared" si="23"/>
      </c>
    </row>
    <row r="89" spans="1:17" x14ac:dyDescent="0.25">
      <c r="A89" s="81" t="s">
        <v>280</v>
      </c>
      <c r="B89" s="82" t="s">
        <v>281</v>
      </c>
      <c r="C89" s="113">
        <f>C48/'Profit &amp; Loss'!C12</f>
      </c>
      <c r="D89" s="113">
        <f>D48/'Profit &amp; Loss'!D12</f>
      </c>
      <c r="E89" s="113">
        <f>E48/'Profit &amp; Loss'!E12</f>
      </c>
      <c r="F89" s="113">
        <f>F48/'Profit &amp; Loss'!F12</f>
      </c>
      <c r="G89" s="113">
        <f>G48/'Profit &amp; Loss'!G12</f>
      </c>
      <c r="H89" s="113">
        <f>H48/'Profit &amp; Loss'!H12</f>
      </c>
      <c r="I89" s="113">
        <f>I48/'Profit &amp; Loss'!I12</f>
      </c>
      <c r="J89" s="113">
        <f>J48/'Profit &amp; Loss'!J12</f>
      </c>
      <c r="K89" s="113">
        <f>K48/'Profit &amp; Loss'!K12</f>
      </c>
      <c r="L89" s="113">
        <f>L48/'Profit &amp; Loss'!L12</f>
      </c>
      <c r="N89" s="83"/>
      <c r="O89" s="83">
        <f t="shared" si="21"/>
      </c>
      <c r="P89" s="83">
        <f t="shared" si="22"/>
      </c>
      <c r="Q89" s="86">
        <f t="shared" si="23"/>
      </c>
    </row>
    <row r="90" spans="1:17" x14ac:dyDescent="0.25">
      <c r="A90" s="81" t="s">
        <v>282</v>
      </c>
      <c r="B90" s="82" t="s">
        <v>283</v>
      </c>
      <c r="C90" s="107">
        <f>'Profit &amp; Loss'!C12/'Financial Analysis'!C55</f>
      </c>
      <c r="D90" s="107">
        <f>'Profit &amp; Loss'!D12/'Financial Analysis'!D55</f>
      </c>
      <c r="E90" s="107">
        <f>'Profit &amp; Loss'!E12/'Financial Analysis'!E55</f>
      </c>
      <c r="F90" s="107">
        <f>'Profit &amp; Loss'!F12/'Financial Analysis'!F55</f>
      </c>
      <c r="G90" s="107">
        <f>'Profit &amp; Loss'!G12/'Financial Analysis'!G55</f>
      </c>
      <c r="H90" s="107">
        <f>'Profit &amp; Loss'!H12/'Financial Analysis'!H55</f>
      </c>
      <c r="I90" s="107">
        <f>'Profit &amp; Loss'!I12/'Financial Analysis'!I55</f>
      </c>
      <c r="J90" s="107">
        <f>'Profit &amp; Loss'!J12/'Financial Analysis'!J55</f>
      </c>
      <c r="K90" s="107">
        <f>'Profit &amp; Loss'!K12/'Financial Analysis'!K55</f>
      </c>
      <c r="L90" s="107">
        <f>'Profit &amp; Loss'!L12/'Financial Analysis'!L55</f>
      </c>
      <c r="N90" s="83"/>
      <c r="O90" s="83">
        <f t="shared" si="21"/>
      </c>
      <c r="P90" s="83">
        <f t="shared" si="22"/>
      </c>
      <c r="Q90" s="86">
        <f t="shared" si="23"/>
      </c>
    </row>
    <row r="91" spans="1:17" x14ac:dyDescent="0.25">
      <c r="A91" s="81" t="s">
        <v>284</v>
      </c>
      <c r="B91" s="82" t="s">
        <v>285</v>
      </c>
      <c r="C91" s="83"/>
      <c r="D91" s="83"/>
      <c r="E91" s="83"/>
      <c r="F91" s="83"/>
      <c r="G91" s="83"/>
      <c r="H91" s="83"/>
      <c r="I91" s="83"/>
      <c r="J91" s="83"/>
      <c r="K91" s="83"/>
      <c r="L91" s="83"/>
      <c r="N91" s="83"/>
      <c r="O91" s="83">
        <f t="shared" si="21"/>
      </c>
      <c r="P91" s="83">
        <f t="shared" si="22"/>
      </c>
      <c r="Q91" s="86" t="e">
        <f t="shared" si="23"/>
      </c>
    </row>
    <row r="92" spans="1:17" x14ac:dyDescent="0.25">
      <c r="A92" s="81" t="s">
        <v>286</v>
      </c>
      <c r="B92" s="82" t="s">
        <v>287</v>
      </c>
      <c r="C92" s="83"/>
      <c r="D92" s="83"/>
      <c r="E92" s="83"/>
      <c r="F92" s="83"/>
      <c r="G92" s="83"/>
      <c r="H92" s="83"/>
      <c r="I92" s="83"/>
      <c r="J92" s="83"/>
      <c r="K92" s="83"/>
      <c r="L92" s="83"/>
      <c r="N92" s="83"/>
      <c r="O92" s="83">
        <f t="shared" si="21"/>
      </c>
      <c r="P92" s="83">
        <f t="shared" si="22"/>
      </c>
      <c r="Q92" s="86" t="e">
        <f t="shared" si="23"/>
      </c>
    </row>
    <row r="93" spans="1:17" x14ac:dyDescent="0.25">
      <c r="A93" s="81" t="s">
        <v>288</v>
      </c>
      <c r="B93" s="82" t="s">
        <v>167</v>
      </c>
      <c r="C93" s="83"/>
      <c r="D93" s="83"/>
      <c r="E93" s="83"/>
      <c r="F93" s="83"/>
      <c r="G93" s="83"/>
      <c r="H93" s="83"/>
      <c r="I93" s="83"/>
      <c r="J93" s="83"/>
      <c r="K93" s="83"/>
      <c r="L93" s="83"/>
      <c r="N93" s="83"/>
      <c r="O93" s="83">
        <f t="shared" si="21"/>
      </c>
      <c r="P93" s="83">
        <f t="shared" si="22"/>
      </c>
      <c r="Q93" s="86" t="e">
        <f t="shared" si="23"/>
      </c>
    </row>
    <row r="94" spans="1:17" x14ac:dyDescent="0.25">
      <c r="A94" s="81" t="s">
        <v>289</v>
      </c>
      <c r="B94" s="82" t="s">
        <v>167</v>
      </c>
      <c r="C94" s="83"/>
      <c r="D94" s="83"/>
      <c r="E94" s="83"/>
      <c r="F94" s="83"/>
      <c r="G94" s="83"/>
      <c r="H94" s="83"/>
      <c r="I94" s="83"/>
      <c r="J94" s="83"/>
      <c r="K94" s="83"/>
      <c r="L94" s="83"/>
      <c r="N94" s="83"/>
      <c r="O94" s="83">
        <f t="shared" si="21"/>
      </c>
      <c r="P94" s="83">
        <f t="shared" si="22"/>
      </c>
      <c r="Q94" s="86" t="e">
        <f t="shared" si="23"/>
      </c>
    </row>
    <row r="95" spans="1:17" x14ac:dyDescent="0.25">
      <c r="A95" s="81" t="s">
        <v>47</v>
      </c>
      <c r="B95" s="82" t="s">
        <v>290</v>
      </c>
      <c r="C95" s="108">
        <f>IFERROR('Data Sheet'!C17/'Data Sheet'!C68,"NA")</f>
      </c>
      <c r="D95" s="108">
        <f>IFERROR('Data Sheet'!D17/'Data Sheet'!D68,"NA")</f>
      </c>
      <c r="E95" s="108">
        <f>IFERROR('Data Sheet'!E17/'Data Sheet'!E68,"NA")</f>
      </c>
      <c r="F95" s="108">
        <f>IFERROR('Data Sheet'!F17/'Data Sheet'!F68,"NA")</f>
      </c>
      <c r="G95" s="108">
        <f>IFERROR('Data Sheet'!G17/'Data Sheet'!G68,"NA")</f>
      </c>
      <c r="H95" s="108">
        <f>IFERROR('Data Sheet'!H17/'Data Sheet'!H68,"NA")</f>
      </c>
      <c r="I95" s="108">
        <f>IFERROR('Data Sheet'!I17/'Data Sheet'!I68,"NA")</f>
      </c>
      <c r="J95" s="108">
        <f>IFERROR('Data Sheet'!J17/'Data Sheet'!J68,"NA")</f>
      </c>
      <c r="K95" s="108">
        <f>IFERROR('Data Sheet'!K17/'Data Sheet'!K68,"NA")</f>
      </c>
      <c r="L95" s="108">
        <f>IFERROR('Data Sheet'!K17/'Data Sheet'!K68,"NA")</f>
      </c>
      <c r="N95" s="83"/>
      <c r="O95" s="107">
        <f t="shared" si="21"/>
      </c>
      <c r="P95" s="107">
        <f t="shared" si="22"/>
      </c>
      <c r="Q95" s="105">
        <f t="shared" si="23"/>
      </c>
    </row>
    <row r="96" spans="1:17" x14ac:dyDescent="0.25">
      <c r="A96" s="81" t="s">
        <v>291</v>
      </c>
      <c r="B96" s="82" t="s">
        <v>292</v>
      </c>
      <c r="C96" s="108">
        <f>'Data Sheet'!C17/'Data Sheet'!C62</f>
      </c>
      <c r="D96" s="108">
        <f>'Data Sheet'!D17/'Data Sheet'!D62</f>
      </c>
      <c r="E96" s="108">
        <f>'Data Sheet'!E17/'Data Sheet'!E62</f>
      </c>
      <c r="F96" s="108">
        <f>'Data Sheet'!F17/'Data Sheet'!F62</f>
      </c>
      <c r="G96" s="108">
        <f>'Data Sheet'!G17/'Data Sheet'!G62</f>
      </c>
      <c r="H96" s="108">
        <f>'Data Sheet'!H17/'Data Sheet'!H62</f>
      </c>
      <c r="I96" s="108">
        <f>'Data Sheet'!I17/'Data Sheet'!I62</f>
      </c>
      <c r="J96" s="108">
        <f>'Data Sheet'!J17/'Data Sheet'!J62</f>
      </c>
      <c r="K96" s="108">
        <f>'Data Sheet'!K17/'Data Sheet'!K62</f>
      </c>
      <c r="L96" s="108">
        <f>'Data Sheet'!K17/'Data Sheet'!K62</f>
      </c>
      <c r="N96" s="83"/>
      <c r="O96" s="107">
        <f t="shared" si="21"/>
      </c>
      <c r="P96" s="107">
        <f t="shared" si="22"/>
      </c>
      <c r="Q96" s="105">
        <f t="shared" si="23"/>
      </c>
    </row>
    <row r="97" spans="1:17" x14ac:dyDescent="0.25">
      <c r="A97" s="81" t="s">
        <v>293</v>
      </c>
      <c r="B97" s="82" t="s">
        <v>294</v>
      </c>
      <c r="N97" s="83"/>
      <c r="O97" s="83"/>
      <c r="P97" s="83"/>
      <c r="Q97" s="86"/>
    </row>
    <row r="98" spans="1:17" x14ac:dyDescent="0.25">
      <c r="A98" s="81" t="s">
        <v>295</v>
      </c>
      <c r="B98" s="82" t="s">
        <v>296</v>
      </c>
      <c r="C98" s="108">
        <f>IFERROR(('Data Sheet'!C68/'Data Sheet'!C17)*365,"NA")</f>
      </c>
      <c r="D98" s="108">
        <f>IFERROR(('Data Sheet'!D68/'Data Sheet'!D17)*365,"NA")</f>
      </c>
      <c r="E98" s="108">
        <f>IFERROR(('Data Sheet'!E68/'Data Sheet'!E17)*365,"NA")</f>
      </c>
      <c r="F98" s="108">
        <f>IFERROR(('Data Sheet'!F68/'Data Sheet'!F17)*365,"NA")</f>
      </c>
      <c r="G98" s="108">
        <f>IFERROR(('Data Sheet'!G68/'Data Sheet'!G17)*365,"NA")</f>
      </c>
      <c r="H98" s="108">
        <f>IFERROR(('Data Sheet'!H68/'Data Sheet'!H17)*365,"NA")</f>
      </c>
      <c r="I98" s="108">
        <f>IFERROR(('Data Sheet'!I68/'Data Sheet'!I17)*365,"NA")</f>
      </c>
      <c r="J98" s="108">
        <f>IFERROR(('Data Sheet'!J68/'Data Sheet'!J17)*365,"NA")</f>
      </c>
      <c r="K98" s="108">
        <f>IFERROR(('Data Sheet'!K68/'Data Sheet'!K17)*365,"NA")</f>
      </c>
      <c r="L98" s="108">
        <f>IFERROR(('Data Sheet'!K68/'Data Sheet'!K17)*365,"NA")</f>
      </c>
      <c r="N98" s="83"/>
      <c r="O98" s="97">
        <f t="shared" si="21"/>
      </c>
      <c r="P98" s="97">
        <f t="shared" si="22"/>
      </c>
      <c r="Q98" s="108">
        <f t="shared" si="23"/>
      </c>
    </row>
    <row r="99" spans="1:17" ht="34.5" x14ac:dyDescent="0.25">
      <c r="A99" s="81" t="s">
        <v>297</v>
      </c>
      <c r="B99" s="82" t="s">
        <v>298</v>
      </c>
      <c r="C99" s="108">
        <f>IFERROR(('Data Sheet'!C67/'Data Sheet'!C17)*365,"NA")</f>
      </c>
      <c r="D99" s="108">
        <f>IFERROR(('Data Sheet'!D67/'Data Sheet'!D17)*365,"NA")</f>
      </c>
      <c r="E99" s="108">
        <f>IFERROR(('Data Sheet'!E67/'Data Sheet'!E17)*365,"NA")</f>
      </c>
      <c r="F99" s="108">
        <f>IFERROR(('Data Sheet'!F67/'Data Sheet'!F17)*365,"NA")</f>
      </c>
      <c r="G99" s="108">
        <f>IFERROR(('Data Sheet'!G67/'Data Sheet'!G17)*365,"NA")</f>
      </c>
      <c r="H99" s="108">
        <f>IFERROR(('Data Sheet'!H67/'Data Sheet'!H17)*365,"NA")</f>
      </c>
      <c r="I99" s="108">
        <f>IFERROR(('Data Sheet'!I67/'Data Sheet'!I17)*365,"NA")</f>
      </c>
      <c r="J99" s="108">
        <f>IFERROR(('Data Sheet'!J67/'Data Sheet'!J17)*365,"NA")</f>
      </c>
      <c r="K99" s="108">
        <f>IFERROR(('Data Sheet'!K67/'Data Sheet'!K17)*365,"NA")</f>
      </c>
      <c r="L99" s="108">
        <f>IFERROR(('Data Sheet'!K67/'Data Sheet'!K17)*365,"NA")</f>
      </c>
      <c r="N99" s="83"/>
      <c r="O99" s="97">
        <f t="shared" si="21"/>
      </c>
      <c r="P99" s="97">
        <f t="shared" si="22"/>
      </c>
      <c r="Q99" s="108">
        <f t="shared" si="23"/>
      </c>
    </row>
    <row r="100" spans="1:17" ht="23.25" x14ac:dyDescent="0.25">
      <c r="A100" s="81" t="s">
        <v>299</v>
      </c>
      <c r="B100" s="82" t="s">
        <v>300</v>
      </c>
      <c r="C100" s="95"/>
      <c r="D100" s="95"/>
      <c r="E100" s="95"/>
      <c r="F100" s="95"/>
      <c r="G100" s="95"/>
      <c r="H100" s="95"/>
      <c r="I100" s="95"/>
      <c r="J100" s="95"/>
      <c r="K100" s="95"/>
      <c r="N100" s="83"/>
      <c r="O100" s="83"/>
      <c r="P100" s="83"/>
      <c r="Q100" s="86"/>
    </row>
    <row r="101" spans="1:17" x14ac:dyDescent="0.25">
      <c r="A101" s="81" t="s">
        <v>301</v>
      </c>
      <c r="B101" s="82" t="s">
        <v>302</v>
      </c>
      <c r="C101" s="95"/>
      <c r="D101" s="95"/>
      <c r="E101" s="95"/>
      <c r="F101" s="95"/>
      <c r="G101" s="95"/>
      <c r="H101" s="95"/>
      <c r="I101" s="95"/>
      <c r="J101" s="95"/>
      <c r="K101" s="95"/>
      <c r="N101" s="83"/>
      <c r="O101" s="83"/>
      <c r="P101" s="83"/>
      <c r="Q101" s="86"/>
    </row>
    <row r="102" spans="1:17" x14ac:dyDescent="0.25">
      <c r="A102" s="81" t="s">
        <v>303</v>
      </c>
      <c r="B102" s="82" t="s">
        <v>302</v>
      </c>
      <c r="N102" s="83"/>
      <c r="O102" s="83"/>
      <c r="P102" s="83"/>
      <c r="Q102" s="86"/>
    </row>
    <row r="103" spans="1:17" x14ac:dyDescent="0.25">
      <c r="A103" s="81" t="s">
        <v>116</v>
      </c>
      <c r="B103" s="82"/>
      <c r="D103">
        <f>'Data Sheet'!D30</f>
      </c>
      <c r="E103">
        <f>'Data Sheet'!E30</f>
      </c>
      <c r="F103">
        <f>'Data Sheet'!F30</f>
      </c>
      <c r="G103">
        <f>'Data Sheet'!G30</f>
      </c>
      <c r="H103">
        <f>'Data Sheet'!H30</f>
      </c>
      <c r="I103">
        <f>'Data Sheet'!I30</f>
      </c>
      <c r="J103">
        <f>'Data Sheet'!J30</f>
      </c>
      <c r="K103">
        <f>'Data Sheet'!K30</f>
      </c>
      <c r="L103" s="117">
        <f>'Data Sheet'!K30</f>
      </c>
      <c r="N103" s="99">
        <f>SUM(D103:L103)</f>
      </c>
      <c r="O103" s="83"/>
      <c r="P103" s="83"/>
      <c r="Q103" s="86"/>
    </row>
    <row r="104" spans="1:17" x14ac:dyDescent="0.25">
      <c r="A104" s="81" t="s">
        <v>304</v>
      </c>
      <c r="B104" s="82"/>
      <c r="D104">
        <f>'Data Sheet'!D82</f>
      </c>
      <c r="E104">
        <f>'Data Sheet'!E82</f>
      </c>
      <c r="F104">
        <f>'Data Sheet'!F82</f>
      </c>
      <c r="G104">
        <f>'Data Sheet'!G82</f>
      </c>
      <c r="H104">
        <f>'Data Sheet'!H82</f>
      </c>
      <c r="I104">
        <f>'Data Sheet'!I82</f>
      </c>
      <c r="J104">
        <f>'Data Sheet'!J82</f>
      </c>
      <c r="K104">
        <f>'Data Sheet'!K82</f>
      </c>
      <c r="L104" s="117">
        <f>'Data Sheet'!K82</f>
      </c>
      <c r="N104" s="99">
        <f t="shared" ref="N104:N105" si="24">SUM(D104:L104)</f>
      </c>
      <c r="O104" s="83"/>
      <c r="P104" s="83"/>
      <c r="Q104" s="86"/>
    </row>
    <row r="105" spans="1:17" x14ac:dyDescent="0.25">
      <c r="A105" s="81" t="s">
        <v>305</v>
      </c>
      <c r="B105" s="82" t="s">
        <v>306</v>
      </c>
      <c r="D105" s="98">
        <f>'Data Sheet'!D82-'Financial Analysis'!D45</f>
      </c>
      <c r="E105" s="98">
        <f>'Data Sheet'!E82-'Financial Analysis'!E45</f>
      </c>
      <c r="F105" s="98">
        <f>'Data Sheet'!F82-'Financial Analysis'!F45</f>
      </c>
      <c r="G105" s="98">
        <f>'Data Sheet'!G82-'Financial Analysis'!G45</f>
      </c>
      <c r="H105" s="98">
        <f>'Data Sheet'!H82-'Financial Analysis'!H45</f>
      </c>
      <c r="I105" s="98">
        <f>'Data Sheet'!I82-'Financial Analysis'!I45</f>
      </c>
      <c r="J105" s="98">
        <f>'Data Sheet'!J82-'Financial Analysis'!J45</f>
      </c>
      <c r="K105" s="98">
        <f>'Data Sheet'!K82-'Financial Analysis'!K45</f>
      </c>
      <c r="L105" s="98">
        <f>'Data Sheet'!K82-'Financial Analysis'!K45</f>
      </c>
      <c r="N105" s="99">
        <f t="shared" si="24"/>
      </c>
      <c r="O105" s="83"/>
      <c r="P105" s="83"/>
      <c r="Q105" s="86"/>
    </row>
    <row r="106" spans="1:17" x14ac:dyDescent="0.25">
      <c r="A106" s="81"/>
      <c r="B106" s="82"/>
      <c r="D106" s="98"/>
      <c r="N106" s="83"/>
      <c r="O106" s="83"/>
      <c r="P106" s="83"/>
      <c r="Q106" s="86"/>
    </row>
    <row r="107" spans="1:17" x14ac:dyDescent="0.25">
      <c r="A107" s="81" t="s">
        <v>571</v>
      </c>
      <c r="B107" s="82"/>
      <c r="C107" s="98"/>
      <c r="D107" s="311">
        <f>D42/D104</f>
      </c>
      <c r="E107" s="311">
        <f t="shared" ref="E107:L107" si="25">E42/E104</f>
      </c>
      <c r="F107" s="311">
        <f t="shared" si="25"/>
      </c>
      <c r="G107" s="311">
        <f t="shared" si="25"/>
      </c>
      <c r="H107" s="311">
        <f t="shared" si="25"/>
      </c>
      <c r="I107" s="311">
        <f t="shared" si="25"/>
      </c>
      <c r="J107" s="311">
        <f t="shared" si="25"/>
      </c>
      <c r="K107" s="311">
        <f t="shared" si="25"/>
      </c>
      <c r="L107" s="311">
        <f t="shared" si="25"/>
      </c>
      <c r="N107" s="83"/>
      <c r="O107" s="83"/>
      <c r="P107" s="83"/>
      <c r="Q107" s="86"/>
    </row>
    <row r="108" spans="1:17" ht="18.75" x14ac:dyDescent="0.25">
      <c r="A108" s="75" t="s">
        <v>307</v>
      </c>
      <c r="B108" s="82"/>
      <c r="C108" s="85">
        <f>C80</f>
      </c>
      <c r="D108" s="85">
        <f t="shared" ref="D108:L108" si="26">D80</f>
      </c>
      <c r="E108" s="85">
        <f t="shared" si="26"/>
      </c>
      <c r="F108" s="85">
        <f t="shared" si="26"/>
      </c>
      <c r="G108" s="85">
        <f t="shared" si="26"/>
      </c>
      <c r="H108" s="85">
        <f t="shared" si="26"/>
      </c>
      <c r="I108" s="85">
        <f t="shared" si="26"/>
      </c>
      <c r="J108" s="85">
        <f t="shared" si="26"/>
      </c>
      <c r="K108" s="85">
        <f t="shared" si="26"/>
      </c>
      <c r="L108" s="85" t="str">
        <f t="shared" si="26"/>
      </c>
      <c r="O108" s="83">
        <f t="shared" si="21"/>
      </c>
      <c r="P108" s="83">
        <f t="shared" si="22"/>
      </c>
      <c r="Q108" s="86">
        <f t="shared" si="23"/>
      </c>
    </row>
    <row r="109" spans="1:17" x14ac:dyDescent="0.25">
      <c r="A109" s="81" t="s">
        <v>308</v>
      </c>
      <c r="B109" s="82" t="s">
        <v>309</v>
      </c>
      <c r="C109" s="105">
        <f>('Data Sheet'!C59)/('Data Sheet'!C57+'Data Sheet'!C58)</f>
      </c>
      <c r="D109" s="105">
        <f>('Data Sheet'!D59)/('Data Sheet'!D57+'Data Sheet'!D58)</f>
      </c>
      <c r="E109" s="105">
        <f>('Data Sheet'!E59)/('Data Sheet'!E57+'Data Sheet'!E58)</f>
      </c>
      <c r="F109" s="105">
        <f>('Data Sheet'!F59)/('Data Sheet'!F57+'Data Sheet'!F58)</f>
      </c>
      <c r="G109" s="105">
        <f>('Data Sheet'!G59)/('Data Sheet'!G57+'Data Sheet'!G58)</f>
      </c>
      <c r="H109" s="105">
        <f>('Data Sheet'!H59)/('Data Sheet'!H57+'Data Sheet'!H58)</f>
      </c>
      <c r="I109" s="105">
        <f>('Data Sheet'!I59)/('Data Sheet'!I57+'Data Sheet'!I58)</f>
      </c>
      <c r="J109" s="105">
        <f>('Data Sheet'!J59)/('Data Sheet'!J57+'Data Sheet'!J58)</f>
      </c>
      <c r="K109" s="105">
        <f>('Data Sheet'!K59)/('Data Sheet'!K57+'Data Sheet'!K58)</f>
      </c>
      <c r="L109" s="105">
        <f>('Data Sheet'!K59)/('Data Sheet'!K57+'Data Sheet'!K58)</f>
      </c>
      <c r="N109" s="83">
        <f t="shared" ref="N109:N118" si="27">(L109/C109)^(1/(9-1))-1</f>
      </c>
      <c r="O109" s="83">
        <f t="shared" si="21"/>
      </c>
      <c r="P109" s="83">
        <f t="shared" si="22"/>
      </c>
      <c r="Q109" s="86">
        <f t="shared" si="23"/>
      </c>
    </row>
    <row r="110" spans="1:17" x14ac:dyDescent="0.25">
      <c r="A110" s="81" t="s">
        <v>310</v>
      </c>
      <c r="B110" s="82" t="s">
        <v>311</v>
      </c>
      <c r="C110" s="108">
        <f>C54/'Profit &amp; Loss'!C9</f>
      </c>
      <c r="D110" s="108">
        <f>D54/'Profit &amp; Loss'!D9</f>
      </c>
      <c r="E110" s="108">
        <f>E54/'Profit &amp; Loss'!E9</f>
      </c>
      <c r="F110" s="108">
        <f>F54/'Profit &amp; Loss'!F9</f>
      </c>
      <c r="G110" s="108">
        <f>G54/'Profit &amp; Loss'!G9</f>
      </c>
      <c r="H110" s="108">
        <f>H54/'Profit &amp; Loss'!H9</f>
      </c>
      <c r="I110" s="108">
        <f>I54/'Profit &amp; Loss'!I9</f>
      </c>
      <c r="J110" s="108">
        <f>J54/'Profit &amp; Loss'!J9</f>
      </c>
      <c r="K110" s="108">
        <f>K54/'Profit &amp; Loss'!K9</f>
      </c>
      <c r="L110" s="108">
        <f>L54/'Profit &amp; Loss'!L9</f>
      </c>
      <c r="N110" s="83">
        <f t="shared" si="27"/>
      </c>
      <c r="O110" s="83">
        <f t="shared" si="21"/>
      </c>
      <c r="P110" s="83">
        <f t="shared" si="22"/>
      </c>
      <c r="Q110" s="86">
        <f t="shared" si="23"/>
      </c>
    </row>
    <row r="111" spans="1:17" ht="23.25" x14ac:dyDescent="0.25">
      <c r="A111" s="81" t="s">
        <v>312</v>
      </c>
      <c r="B111" s="82" t="s">
        <v>313</v>
      </c>
      <c r="C111" s="108">
        <f>'Data Sheet'!C82/('Data Sheet'!C59+'Data Sheet'!C60)</f>
      </c>
      <c r="D111" s="108">
        <f>'Data Sheet'!D82/('Data Sheet'!D59+'Data Sheet'!D60)</f>
      </c>
      <c r="E111" s="108">
        <f>'Data Sheet'!E82/('Data Sheet'!E59+'Data Sheet'!E60)</f>
      </c>
      <c r="F111" s="108">
        <f>'Data Sheet'!F82/('Data Sheet'!F59+'Data Sheet'!F60)</f>
      </c>
      <c r="G111" s="108">
        <f>'Data Sheet'!G82/('Data Sheet'!G59+'Data Sheet'!G60)</f>
      </c>
      <c r="H111" s="108">
        <f>'Data Sheet'!H82/('Data Sheet'!H59+'Data Sheet'!H60)</f>
      </c>
      <c r="I111" s="108">
        <f>'Data Sheet'!I82/('Data Sheet'!I59+'Data Sheet'!I60)</f>
      </c>
      <c r="J111" s="108">
        <f>'Data Sheet'!J82/('Data Sheet'!J59+'Data Sheet'!J60)</f>
      </c>
      <c r="K111" s="108">
        <f>'Data Sheet'!K82/('Data Sheet'!K59+'Data Sheet'!K60)</f>
      </c>
      <c r="L111" s="108">
        <f>'Data Sheet'!K82/('Data Sheet'!K59+'Data Sheet'!K60)</f>
      </c>
      <c r="N111" s="83" t="e">
        <f t="shared" si="27"/>
      </c>
      <c r="O111" s="107">
        <f t="shared" si="21"/>
      </c>
      <c r="P111" s="107">
        <f t="shared" si="22"/>
      </c>
      <c r="Q111" s="105">
        <f t="shared" si="23"/>
      </c>
    </row>
    <row r="112" spans="1:17" ht="23.25" x14ac:dyDescent="0.25">
      <c r="A112" s="81" t="s">
        <v>314</v>
      </c>
      <c r="B112" s="82" t="s">
        <v>275</v>
      </c>
      <c r="C112" s="108">
        <f>C86</f>
      </c>
      <c r="D112" s="108">
        <f t="shared" ref="D112:L112" si="28">D86</f>
      </c>
      <c r="E112" s="108">
        <f t="shared" si="28"/>
      </c>
      <c r="F112" s="108">
        <f t="shared" si="28"/>
      </c>
      <c r="G112" s="108">
        <f t="shared" si="28"/>
      </c>
      <c r="H112" s="108">
        <f t="shared" si="28"/>
      </c>
      <c r="I112" s="108">
        <f t="shared" si="28"/>
      </c>
      <c r="J112" s="108">
        <f t="shared" si="28"/>
      </c>
      <c r="K112" s="108">
        <f t="shared" si="28"/>
      </c>
      <c r="L112" s="108">
        <f t="shared" si="28"/>
      </c>
      <c r="N112" s="83">
        <f t="shared" si="27"/>
      </c>
      <c r="O112" s="107">
        <f t="shared" si="21"/>
      </c>
      <c r="P112" s="107">
        <f t="shared" si="22"/>
      </c>
      <c r="Q112" s="105">
        <f t="shared" si="23"/>
      </c>
    </row>
    <row r="113" spans="1:17" ht="34.5" x14ac:dyDescent="0.25">
      <c r="A113" s="81" t="s">
        <v>315</v>
      </c>
      <c r="B113" s="82" t="s">
        <v>316</v>
      </c>
      <c r="C113" s="108">
        <f>('Data Sheet'!C65-'Data Sheet'!C68)/'Data Sheet'!C60</f>
      </c>
      <c r="D113" s="108">
        <f>('Data Sheet'!D65-'Data Sheet'!D68)/'Data Sheet'!D60</f>
      </c>
      <c r="E113" s="108">
        <f>('Data Sheet'!E65-'Data Sheet'!E68)/'Data Sheet'!E60</f>
      </c>
      <c r="F113" s="108">
        <f>('Data Sheet'!F65-'Data Sheet'!F68)/'Data Sheet'!F60</f>
      </c>
      <c r="G113" s="108">
        <f>('Data Sheet'!G65-'Data Sheet'!G68)/'Data Sheet'!G60</f>
      </c>
      <c r="H113" s="108">
        <f>('Data Sheet'!H65-'Data Sheet'!H68)/'Data Sheet'!H60</f>
      </c>
      <c r="I113" s="108">
        <f>('Data Sheet'!I65-'Data Sheet'!I68)/'Data Sheet'!I60</f>
      </c>
      <c r="J113" s="108">
        <f>('Data Sheet'!J65-'Data Sheet'!J68)/'Data Sheet'!J60</f>
      </c>
      <c r="K113" s="108">
        <f>('Data Sheet'!K65-'Data Sheet'!K68)/'Data Sheet'!K60</f>
      </c>
      <c r="L113" s="108">
        <f>('Data Sheet'!K65-'Data Sheet'!K68)/'Data Sheet'!K60</f>
      </c>
      <c r="N113" s="83">
        <f t="shared" si="27"/>
      </c>
      <c r="O113" s="107">
        <f t="shared" si="21"/>
      </c>
      <c r="P113" s="107">
        <f t="shared" si="22"/>
      </c>
      <c r="Q113" s="105">
        <f t="shared" si="23"/>
      </c>
    </row>
    <row r="114" spans="1:17" ht="34.5" x14ac:dyDescent="0.25">
      <c r="A114" s="81" t="s">
        <v>317</v>
      </c>
      <c r="B114" s="82" t="s">
        <v>318</v>
      </c>
      <c r="C114" s="108">
        <f>'Data Sheet'!C69/'Data Sheet'!C60</f>
      </c>
      <c r="D114" s="108">
        <f>'Data Sheet'!D69/'Data Sheet'!D60</f>
      </c>
      <c r="E114" s="108">
        <f>'Data Sheet'!E69/'Data Sheet'!E60</f>
      </c>
      <c r="F114" s="108">
        <f>'Data Sheet'!F69/'Data Sheet'!F60</f>
      </c>
      <c r="G114" s="108">
        <f>'Data Sheet'!G69/'Data Sheet'!G60</f>
      </c>
      <c r="H114" s="108">
        <f>'Data Sheet'!H69/'Data Sheet'!H60</f>
      </c>
      <c r="I114" s="108">
        <f>'Data Sheet'!I69/'Data Sheet'!I60</f>
      </c>
      <c r="J114" s="108">
        <f>'Data Sheet'!J69/'Data Sheet'!J60</f>
      </c>
      <c r="K114" s="108">
        <f>'Data Sheet'!K69/'Data Sheet'!K60</f>
      </c>
      <c r="L114" s="108">
        <f>'Data Sheet'!K69/'Data Sheet'!K60</f>
      </c>
      <c r="N114" s="83">
        <f t="shared" si="27"/>
      </c>
      <c r="O114" s="107">
        <f t="shared" si="21"/>
      </c>
      <c r="P114" s="107">
        <f t="shared" si="22"/>
      </c>
      <c r="Q114" s="105">
        <f t="shared" si="23"/>
      </c>
    </row>
    <row r="115" spans="1:17" ht="23.25" x14ac:dyDescent="0.25">
      <c r="A115" s="81" t="s">
        <v>319</v>
      </c>
      <c r="B115" s="82" t="s">
        <v>320</v>
      </c>
      <c r="C115" s="108">
        <f>'Data Sheet'!C82/'Data Sheet'!C60</f>
      </c>
      <c r="D115" s="108">
        <f>'Data Sheet'!D82/'Data Sheet'!D60</f>
      </c>
      <c r="E115" s="108">
        <f>'Data Sheet'!E82/'Data Sheet'!E60</f>
      </c>
      <c r="F115" s="108">
        <f>'Data Sheet'!F82/'Data Sheet'!F60</f>
      </c>
      <c r="G115" s="108">
        <f>'Data Sheet'!G82/'Data Sheet'!G60</f>
      </c>
      <c r="H115" s="108">
        <f>'Data Sheet'!H82/'Data Sheet'!H60</f>
      </c>
      <c r="I115" s="108">
        <f>'Data Sheet'!I82/'Data Sheet'!I60</f>
      </c>
      <c r="J115" s="108">
        <f>'Data Sheet'!J82/'Data Sheet'!J60</f>
      </c>
      <c r="K115" s="108">
        <f>'Data Sheet'!K82/'Data Sheet'!K60</f>
      </c>
      <c r="L115" s="108">
        <f>'Data Sheet'!K82/'Data Sheet'!K60</f>
      </c>
      <c r="N115" s="83" t="e">
        <f t="shared" si="27"/>
      </c>
      <c r="O115" s="107">
        <f t="shared" si="21"/>
      </c>
      <c r="P115" s="107">
        <f t="shared" si="22"/>
      </c>
      <c r="Q115" s="105">
        <f t="shared" si="23"/>
      </c>
    </row>
    <row r="116" spans="1:17" ht="23.25" x14ac:dyDescent="0.25">
      <c r="A116" s="81" t="s">
        <v>321</v>
      </c>
      <c r="B116" s="82" t="s">
        <v>322</v>
      </c>
      <c r="C116" s="107">
        <f>'Data Sheet'!C82/'Financial Analysis'!C45</f>
      </c>
      <c r="D116" s="107">
        <f>'Data Sheet'!D82/'Financial Analysis'!D45</f>
      </c>
      <c r="E116" s="107">
        <f>'Data Sheet'!E82/'Financial Analysis'!E45</f>
      </c>
      <c r="F116" s="107">
        <f>'Data Sheet'!F82/'Financial Analysis'!F45</f>
      </c>
      <c r="G116" s="107">
        <f>'Data Sheet'!G82/'Financial Analysis'!G45</f>
      </c>
      <c r="H116" s="107">
        <f>'Data Sheet'!H82/'Financial Analysis'!H45</f>
      </c>
      <c r="I116" s="107">
        <f>'Data Sheet'!I82/'Financial Analysis'!I45</f>
      </c>
      <c r="J116" s="107">
        <f>'Data Sheet'!J82/'Financial Analysis'!J45</f>
      </c>
      <c r="K116" s="107">
        <f>'Data Sheet'!K82/'Financial Analysis'!K45</f>
      </c>
      <c r="L116" s="107">
        <f>'Data Sheet'!K82/'Financial Analysis'!K45</f>
      </c>
      <c r="N116" s="83">
        <f>(L116/D116)^(1/(8-1))-1</f>
      </c>
      <c r="O116" s="83">
        <f t="shared" si="21"/>
      </c>
      <c r="P116" s="83">
        <f t="shared" si="22"/>
      </c>
      <c r="Q116" s="86">
        <f t="shared" si="23"/>
      </c>
    </row>
    <row r="117" spans="1:17" ht="23.25" x14ac:dyDescent="0.25">
      <c r="A117" s="81" t="s">
        <v>323</v>
      </c>
      <c r="B117" s="82" t="s">
        <v>324</v>
      </c>
      <c r="C117" s="83">
        <f>'Data Sheet'!C82/'Data Sheet'!C17</f>
      </c>
      <c r="D117" s="83">
        <f>'Data Sheet'!D82/'Data Sheet'!D17</f>
      </c>
      <c r="E117" s="83">
        <f>'Data Sheet'!E82/'Data Sheet'!E17</f>
      </c>
      <c r="F117" s="83">
        <f>'Data Sheet'!F82/'Data Sheet'!F17</f>
      </c>
      <c r="G117" s="83">
        <f>'Data Sheet'!G82/'Data Sheet'!G17</f>
      </c>
      <c r="H117" s="83">
        <f>'Data Sheet'!H82/'Data Sheet'!H17</f>
      </c>
      <c r="I117" s="83">
        <f>'Data Sheet'!I82/'Data Sheet'!I17</f>
      </c>
      <c r="J117" s="83">
        <f>'Data Sheet'!J82/'Data Sheet'!J17</f>
      </c>
      <c r="K117" s="83">
        <f>'Data Sheet'!K82/'Data Sheet'!K17</f>
      </c>
      <c r="L117" s="83">
        <f>'Data Sheet'!K82/'Data Sheet'!K17</f>
      </c>
      <c r="N117" s="83" t="e">
        <f t="shared" si="27"/>
      </c>
      <c r="O117" s="83">
        <f t="shared" si="21"/>
      </c>
      <c r="P117" s="83">
        <f t="shared" si="22"/>
      </c>
      <c r="Q117" s="86">
        <f t="shared" si="23"/>
      </c>
    </row>
    <row r="118" spans="1:17" x14ac:dyDescent="0.25">
      <c r="A118" s="81" t="s">
        <v>325</v>
      </c>
      <c r="B118" s="82" t="s">
        <v>326</v>
      </c>
      <c r="C118" s="83">
        <f>'Data Sheet'!C85/'Data Sheet'!C17</f>
      </c>
      <c r="D118" s="83">
        <f>'Data Sheet'!D85/'Data Sheet'!D17</f>
      </c>
      <c r="E118" s="83">
        <f>'Data Sheet'!E85/'Data Sheet'!E17</f>
      </c>
      <c r="F118" s="83">
        <f>'Data Sheet'!F85/'Data Sheet'!F17</f>
      </c>
      <c r="G118" s="83">
        <f>'Data Sheet'!G85/'Data Sheet'!G17</f>
      </c>
      <c r="H118" s="83">
        <f>'Data Sheet'!H85/'Data Sheet'!H17</f>
      </c>
      <c r="I118" s="83">
        <f>'Data Sheet'!I85/'Data Sheet'!I17</f>
      </c>
      <c r="J118" s="83">
        <f>'Data Sheet'!J85/'Data Sheet'!J17</f>
      </c>
      <c r="K118" s="83">
        <f>'Data Sheet'!K85/'Data Sheet'!K17</f>
      </c>
      <c r="L118" s="83">
        <f>'Data Sheet'!K85/'Data Sheet'!K17</f>
      </c>
      <c r="N118" s="83" t="e">
        <f t="shared" si="27"/>
      </c>
      <c r="O118" s="83">
        <f t="shared" si="21"/>
      </c>
      <c r="P118" s="83">
        <f t="shared" si="22"/>
      </c>
      <c r="Q118" s="86">
        <f t="shared" si="23"/>
      </c>
    </row>
    <row r="119" spans="1:17" x14ac:dyDescent="0.25">
      <c r="O119" s="83">
        <f t="shared" si="21"/>
      </c>
      <c r="P119" s="83">
        <f t="shared" si="22"/>
      </c>
      <c r="Q119" s="86" t="e">
        <f t="shared" si="23"/>
      </c>
    </row>
    <row r="120" spans="1:17" ht="18.75" x14ac:dyDescent="0.25">
      <c r="A120" s="75" t="s">
        <v>327</v>
      </c>
      <c r="O120" s="83">
        <f t="shared" si="21"/>
      </c>
      <c r="P120" s="83">
        <f t="shared" si="22"/>
      </c>
      <c r="Q120" s="86" t="e">
        <f t="shared" si="23"/>
      </c>
    </row>
    <row r="121" spans="1:17" ht="68.25" x14ac:dyDescent="0.25">
      <c r="A121" s="81" t="s">
        <v>147</v>
      </c>
      <c r="B121" s="82" t="s">
        <v>328</v>
      </c>
      <c r="C121" s="111"/>
      <c r="D121" s="111"/>
      <c r="E121" s="111"/>
      <c r="F121" s="111"/>
      <c r="G121" s="111"/>
      <c r="H121" s="111"/>
      <c r="I121" s="111"/>
      <c r="J121" s="111"/>
      <c r="K121" s="111"/>
      <c r="O121" s="83"/>
      <c r="P121" s="83"/>
      <c r="Q121" s="86"/>
    </row>
    <row r="122" spans="1:17" x14ac:dyDescent="0.25">
      <c r="A122" s="112" t="s">
        <v>329</v>
      </c>
      <c r="B122" s="104"/>
      <c r="C122" s="111"/>
      <c r="D122" s="111"/>
      <c r="E122" s="111"/>
      <c r="F122" s="111"/>
      <c r="G122" s="111"/>
      <c r="H122" s="111"/>
      <c r="I122" s="111"/>
      <c r="J122" s="111"/>
      <c r="K122" s="111"/>
      <c r="O122" s="83"/>
      <c r="P122" s="83"/>
      <c r="Q122" s="86"/>
    </row>
    <row r="123" spans="1:17" x14ac:dyDescent="0.25">
      <c r="A123" s="81" t="s">
        <v>330</v>
      </c>
      <c r="B123" s="82" t="s">
        <v>331</v>
      </c>
      <c r="C123" s="108">
        <f>Other_input_data!C69</f>
      </c>
      <c r="D123" s="108">
        <f>Other_input_data!D69</f>
      </c>
      <c r="E123" s="108">
        <f>Other_input_data!E69</f>
      </c>
      <c r="F123" s="108">
        <f>Other_input_data!F69</f>
      </c>
      <c r="G123" s="108">
        <f>Other_input_data!G69</f>
      </c>
      <c r="H123" s="108">
        <f>Other_input_data!H69</f>
      </c>
      <c r="I123" s="108">
        <f>Other_input_data!I69</f>
      </c>
      <c r="J123" s="108">
        <f>Other_input_data!J69</f>
      </c>
      <c r="K123" s="108">
        <f>Other_input_data!K69</f>
      </c>
      <c r="L123" s="108">
        <f>Other_input_data!L69</f>
      </c>
      <c r="O123" s="97">
        <f>MIN(D123:L123)</f>
      </c>
      <c r="P123" s="97">
        <f>MAX(D123:L123)</f>
      </c>
      <c r="Q123" s="108">
        <f>AVERAGE(D123:L123)</f>
      </c>
    </row>
    <row r="124" spans="1:17" ht="23.25" x14ac:dyDescent="0.25">
      <c r="A124" s="112" t="s">
        <v>332</v>
      </c>
      <c r="B124" s="104" t="s">
        <v>333</v>
      </c>
      <c r="O124" s="97"/>
      <c r="P124" s="97"/>
      <c r="Q124" s="108"/>
    </row>
    <row r="125" spans="1:17" x14ac:dyDescent="0.25">
      <c r="A125" s="112" t="s">
        <v>145</v>
      </c>
      <c r="B125" s="104" t="s">
        <v>334</v>
      </c>
      <c r="O125" s="97"/>
      <c r="P125" s="97"/>
      <c r="Q125" s="108"/>
    </row>
    <row r="126" spans="1:17" x14ac:dyDescent="0.25">
      <c r="A126" s="81" t="s">
        <v>335</v>
      </c>
      <c r="B126" s="82" t="s">
        <v>336</v>
      </c>
      <c r="D126" s="105">
        <f t="shared" ref="D126:L126" si="29">(D123/D8)/100</f>
      </c>
      <c r="E126" s="105">
        <f t="shared" si="29"/>
      </c>
      <c r="F126" s="105">
        <f t="shared" si="29"/>
      </c>
      <c r="G126" s="105">
        <f t="shared" si="29"/>
      </c>
      <c r="H126" s="105">
        <f t="shared" si="29"/>
      </c>
      <c r="I126" s="105">
        <f t="shared" si="29"/>
      </c>
      <c r="J126" s="105">
        <f t="shared" si="29"/>
      </c>
      <c r="K126" s="105">
        <f t="shared" si="29"/>
      </c>
      <c r="L126" s="105">
        <f t="shared" si="29"/>
      </c>
      <c r="O126" s="97">
        <f t="shared" si="21"/>
      </c>
      <c r="P126" s="97">
        <f t="shared" si="22"/>
      </c>
      <c r="Q126" s="108">
        <f t="shared" si="23"/>
      </c>
    </row>
    <row r="127" spans="1:17" ht="45.75" x14ac:dyDescent="0.25">
      <c r="A127" s="81" t="s">
        <v>337</v>
      </c>
      <c r="B127" s="82" t="s">
        <v>338</v>
      </c>
      <c r="C127" s="105">
        <f>C42/'Data Sheet'!C17</f>
      </c>
      <c r="D127" s="105">
        <f>D42/'Data Sheet'!D17</f>
      </c>
      <c r="E127" s="105">
        <f>E42/'Data Sheet'!E17</f>
      </c>
      <c r="F127" s="105">
        <f>F42/'Data Sheet'!F17</f>
      </c>
      <c r="G127" s="105">
        <f>G42/'Data Sheet'!G17</f>
      </c>
      <c r="H127" s="105">
        <f>H42/'Data Sheet'!H17</f>
      </c>
      <c r="I127" s="105">
        <f>I42/'Data Sheet'!I17</f>
      </c>
      <c r="J127" s="105">
        <f>J42/'Data Sheet'!J17</f>
      </c>
      <c r="K127" s="105">
        <f>K42/'Data Sheet'!K17</f>
      </c>
      <c r="L127" s="105">
        <f>L42/'Data Sheet'!K17</f>
      </c>
      <c r="O127" s="97">
        <f t="shared" si="21"/>
      </c>
      <c r="P127" s="97">
        <f t="shared" si="22"/>
      </c>
      <c r="Q127" s="108">
        <f t="shared" si="23"/>
      </c>
    </row>
    <row r="128" spans="1:17" ht="45.75" x14ac:dyDescent="0.25">
      <c r="A128" s="112" t="s">
        <v>339</v>
      </c>
      <c r="B128" s="82" t="s">
        <v>340</v>
      </c>
      <c r="C128" s="108">
        <f>'Data Sheet'!C69/'Financial Analysis'!C41</f>
      </c>
      <c r="D128" s="108">
        <f>'Data Sheet'!D69/'Financial Analysis'!D41</f>
      </c>
      <c r="E128" s="108">
        <f>'Data Sheet'!E69/'Financial Analysis'!E41</f>
      </c>
      <c r="F128" s="108">
        <f>'Data Sheet'!F69/'Financial Analysis'!F41</f>
      </c>
      <c r="G128" s="108">
        <f>'Data Sheet'!G69/'Financial Analysis'!G41</f>
      </c>
      <c r="H128" s="108">
        <f>'Data Sheet'!H69/'Financial Analysis'!H41</f>
      </c>
      <c r="I128" s="108">
        <f>'Data Sheet'!I69/'Financial Analysis'!I41</f>
      </c>
      <c r="J128" s="108">
        <f>'Data Sheet'!J69/'Financial Analysis'!J41</f>
      </c>
      <c r="K128" s="108">
        <f>'Data Sheet'!K69/'Financial Analysis'!K41</f>
      </c>
      <c r="L128" s="108">
        <f>'Data Sheet'!K69/'Financial Analysis'!L41</f>
      </c>
      <c r="N128" s="83"/>
      <c r="O128" s="107">
        <f t="shared" si="21"/>
      </c>
      <c r="P128" s="107">
        <f t="shared" si="22"/>
      </c>
      <c r="Q128" s="105">
        <f t="shared" si="23"/>
      </c>
    </row>
    <row r="129" spans="1:17" ht="23.25" x14ac:dyDescent="0.25">
      <c r="A129" s="112" t="s">
        <v>341</v>
      </c>
      <c r="B129" s="82" t="s">
        <v>342</v>
      </c>
      <c r="C129" s="83">
        <f>C128/C40</f>
      </c>
      <c r="D129" s="83">
        <f t="shared" ref="D129:L129" si="30">D128/D40</f>
      </c>
      <c r="E129" s="83">
        <f t="shared" si="30"/>
      </c>
      <c r="F129" s="83">
        <f t="shared" si="30"/>
      </c>
      <c r="G129" s="83">
        <f t="shared" si="30"/>
      </c>
      <c r="H129" s="83">
        <f t="shared" si="30"/>
      </c>
      <c r="I129" s="83">
        <f t="shared" si="30"/>
      </c>
      <c r="J129" s="83">
        <f t="shared" si="30"/>
      </c>
      <c r="K129" s="83">
        <f t="shared" si="30"/>
      </c>
      <c r="L129" s="83">
        <f t="shared" si="30"/>
      </c>
      <c r="O129" s="83">
        <f t="shared" si="21"/>
      </c>
      <c r="P129" s="83">
        <f t="shared" si="22"/>
      </c>
      <c r="Q129" s="86">
        <f t="shared" si="23"/>
      </c>
    </row>
    <row r="130" spans="1:17" x14ac:dyDescent="0.25">
      <c r="A130" s="112"/>
      <c r="B130" s="82"/>
    </row>
    <row r="131" spans="1:17" ht="18.75" x14ac:dyDescent="0.25">
      <c r="A131" s="75" t="s">
        <v>343</v>
      </c>
    </row>
    <row r="132" spans="1:17" ht="34.5" x14ac:dyDescent="0.25">
      <c r="A132" s="112" t="s">
        <v>344</v>
      </c>
      <c r="B132" s="104" t="s">
        <v>345</v>
      </c>
    </row>
    <row r="133" spans="1:17" x14ac:dyDescent="0.25">
      <c r="A133" s="112" t="s">
        <v>346</v>
      </c>
      <c r="B133" s="104" t="s">
        <v>347</v>
      </c>
    </row>
    <row r="134" spans="1:17" x14ac:dyDescent="0.25">
      <c r="A134" s="112" t="s">
        <v>348</v>
      </c>
      <c r="B134" s="104" t="s">
        <v>347</v>
      </c>
    </row>
    <row r="135" spans="1:17" x14ac:dyDescent="0.25">
      <c r="A135" s="112" t="s">
        <v>349</v>
      </c>
      <c r="B135" s="104" t="s">
        <v>347</v>
      </c>
    </row>
    <row r="136" spans="1:17" x14ac:dyDescent="0.25">
      <c r="A136" s="81"/>
      <c r="B136" s="82"/>
    </row>
    <row r="137" spans="1:17" ht="18.75" x14ac:dyDescent="0.25">
      <c r="A137" s="75" t="s">
        <v>350</v>
      </c>
      <c r="B137" s="82"/>
    </row>
    <row r="138" spans="1:17" x14ac:dyDescent="0.25">
      <c r="A138" s="112" t="s">
        <v>351</v>
      </c>
      <c r="B138" s="104" t="s">
        <v>352</v>
      </c>
    </row>
    <row r="139" spans="1:17" x14ac:dyDescent="0.25">
      <c r="A139" s="112" t="s">
        <v>353</v>
      </c>
      <c r="B139" s="104" t="s">
        <v>354</v>
      </c>
    </row>
    <row r="140" spans="1:17" x14ac:dyDescent="0.25">
      <c r="A140" s="112" t="s">
        <v>355</v>
      </c>
      <c r="B140" s="104" t="s">
        <v>356</v>
      </c>
    </row>
    <row r="141" spans="1:17" x14ac:dyDescent="0.25">
      <c r="A141" s="112" t="s">
        <v>357</v>
      </c>
      <c r="B141" s="104" t="s">
        <v>347</v>
      </c>
    </row>
    <row r="142" spans="1:17" x14ac:dyDescent="0.25">
      <c r="A142" s="112" t="s">
        <v>358</v>
      </c>
      <c r="B142" s="104" t="s">
        <v>347</v>
      </c>
    </row>
    <row r="143" spans="1:17" x14ac:dyDescent="0.25">
      <c r="A143" s="112" t="s">
        <v>359</v>
      </c>
      <c r="B143" s="104" t="s">
        <v>347</v>
      </c>
    </row>
    <row r="144" spans="1:17" x14ac:dyDescent="0.25">
      <c r="A144" s="112" t="s">
        <v>360</v>
      </c>
      <c r="B144" s="104" t="s">
        <v>347</v>
      </c>
    </row>
    <row r="145" spans="1:1" x14ac:dyDescent="0.25">
      <c r="A145" s="110" t="s">
        <v>361</v>
      </c>
    </row>
    <row r="147" spans="1:1" ht="18.75" x14ac:dyDescent="0.25">
      <c r="A147" s="75"/>
    </row>
  </sheetData>
  <conditionalFormatting sqref="C3:L8">
    <cfRule type="expression" dxfId="108" priority="5" stopIfTrue="1">
      <formula>C3&lt;0</formula>
    </cfRule>
    <cfRule type="expression" dxfId="107" priority="6" stopIfTrue="1">
      <formula>0&lt;C3&lt;0.05</formula>
    </cfRule>
    <cfRule type="expression" dxfId="106" priority="7" stopIfTrue="1">
      <formula>0.05&lt;C3&lt;0.1</formula>
    </cfRule>
    <cfRule type="expression" dxfId="105" priority="8" stopIfTrue="1">
      <formula>C3&gt;0.1</formula>
    </cfRule>
  </conditionalFormatting>
  <conditionalFormatting sqref="N3:P8">
    <cfRule type="expression" dxfId="104" priority="1" stopIfTrue="1">
      <formula>N3&lt;0</formula>
    </cfRule>
    <cfRule type="expression" dxfId="103" priority="2" stopIfTrue="1">
      <formula>0&lt;N3&lt;0.05</formula>
    </cfRule>
    <cfRule type="expression" dxfId="102" priority="3" stopIfTrue="1">
      <formula>0.05&lt;N3&lt;0.1</formula>
    </cfRule>
    <cfRule type="expression" dxfId="101" priority="4" stopIfTrue="1">
      <formula>N3&gt;0.1</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
  <sheetViews>
    <sheetView workbookViewId="0">
      <pane xSplit="1" ySplit="1" topLeftCell="B2" activePane="bottomRight" state="frozen"/>
      <selection activeCell="C4" sqref="C4"/>
      <selection pane="topRight" activeCell="C4" sqref="C4"/>
      <selection pane="bottomLeft" activeCell="C4" sqref="C4"/>
      <selection pane="bottomRight" activeCell="B37" sqref="B37"/>
    </sheetView>
  </sheetViews>
  <sheetFormatPr defaultRowHeight="15" x14ac:dyDescent="0.25"/>
  <cols>
    <col min="1" max="1" width="24.28515625" style="5" customWidth="1"/>
    <col min="2" max="11" width="13.5703125" style="5" bestFit="1" customWidth="1"/>
    <col min="12" max="16384" width="9.140625" style="5"/>
  </cols>
  <sheetData>
    <row r="1" spans="1:11" s="1" customFormat="1" x14ac:dyDescent="0.25">
      <c r="A1" s="1" t="s">
        <v>0</v>
      </c>
      <c r="B1" s="1" t="s">
        <v>64</v>
      </c>
      <c r="E1" s="357" t="str">
        <f>IF(B2&lt;&gt;B3, "A NEW VERSION OF THE WORKSHEET IS AVAILABLE", "")</f>
      </c>
      <c r="F1" s="357"/>
      <c r="G1" s="357"/>
      <c r="H1" s="357"/>
      <c r="I1" s="357"/>
      <c r="J1" s="357"/>
      <c r="K1" s="357"/>
    </row>
    <row r="2" spans="1:11" x14ac:dyDescent="0.25">
      <c r="A2" s="1" t="s">
        <v>62</v>
      </c>
      <c r="B2" s="5">
        <v>2.1</v>
      </c>
      <c r="E2" s="358" t="s">
        <v>36</v>
      </c>
      <c r="F2" s="358"/>
      <c r="G2" s="358"/>
      <c r="H2" s="358"/>
      <c r="I2" s="358"/>
      <c r="J2" s="358"/>
      <c r="K2" s="358"/>
    </row>
    <row r="3" spans="1:11" x14ac:dyDescent="0.25">
      <c r="A3" s="1" t="s">
        <v>63</v>
      </c>
      <c r="B3" s="5">
        <v>2.1</v>
      </c>
    </row>
    <row r="4" spans="1:11" x14ac:dyDescent="0.25">
      <c r="A4" s="1"/>
    </row>
    <row r="5" spans="1:11" x14ac:dyDescent="0.25">
      <c r="A5" s="1" t="s">
        <v>65</v>
      </c>
    </row>
    <row r="6" spans="1:11" x14ac:dyDescent="0.25">
      <c r="A6" s="5" t="s">
        <v>42</v>
      </c>
      <c r="B6" s="5">
        <f>IF(B9&gt;0, B9/B8, 0)</f>
      </c>
    </row>
    <row r="7" spans="1:11" x14ac:dyDescent="0.25">
      <c r="A7" s="5" t="s">
        <v>31</v>
      </c>
      <c r="B7">
        <v>10.00</v>
      </c>
    </row>
    <row r="8" spans="1:11" x14ac:dyDescent="0.25">
      <c r="A8" s="5" t="s">
        <v>43</v>
      </c>
      <c r="B8">
        <v>2076.05</v>
      </c>
    </row>
    <row r="9" spans="1:11" x14ac:dyDescent="0.25">
      <c r="A9" s="5" t="s">
        <v>80</v>
      </c>
      <c r="B9">
        <v>6157.57</v>
      </c>
    </row>
    <row r="15" spans="1:11" x14ac:dyDescent="0.25">
      <c r="A15" s="1" t="s">
        <v>37</v>
      </c>
    </row>
    <row r="16" spans="1:11" s="24" customFormat="1" x14ac:dyDescent="0.25">
      <c r="A16" s="23" t="s">
        <v>38</v>
      </c>
      <c r="B16" s="16">
        <v>39172.0</v>
      </c>
      <c r="C16" s="16">
        <v>39538.0</v>
      </c>
      <c r="D16" s="16">
        <v>39903.0</v>
      </c>
      <c r="E16" s="16">
        <v>40268.0</v>
      </c>
      <c r="F16" s="16">
        <v>40633.0</v>
      </c>
      <c r="G16" s="16">
        <v>40999.0</v>
      </c>
      <c r="H16" s="16">
        <v>41364.0</v>
      </c>
      <c r="I16" s="16">
        <v>41729.0</v>
      </c>
      <c r="J16" s="16">
        <v>42094.0</v>
      </c>
      <c r="K16" s="16">
        <v>42460.0</v>
      </c>
    </row>
    <row r="17" spans="1:11" s="9" customFormat="1" x14ac:dyDescent="0.25">
      <c r="A17" s="9" t="s">
        <v>6</v>
      </c>
      <c r="B17">
        <v>910.83</v>
      </c>
      <c r="C17">
        <v>1013.68</v>
      </c>
      <c r="D17">
        <v>1159.45</v>
      </c>
      <c r="E17">
        <v>1168.12</v>
      </c>
      <c r="F17">
        <v>1510.99</v>
      </c>
      <c r="G17">
        <v>1777.68</v>
      </c>
      <c r="H17">
        <v>2001.48</v>
      </c>
      <c r="I17">
        <v>2365.45</v>
      </c>
      <c r="J17">
        <v>2555.65</v>
      </c>
      <c r="K17">
        <v>2458.90</v>
      </c>
    </row>
    <row r="18" spans="1:11" s="9" customFormat="1" x14ac:dyDescent="0.25">
      <c r="A18" s="5" t="s">
        <v>81</v>
      </c>
      <c r="B18">
        <v>485.69</v>
      </c>
      <c r="C18">
        <v>600.64</v>
      </c>
      <c r="D18">
        <v>667.04</v>
      </c>
      <c r="E18">
        <v>679.32</v>
      </c>
      <c r="F18">
        <v>908.63</v>
      </c>
      <c r="G18">
        <v>1075.14</v>
      </c>
      <c r="H18">
        <v>1102.13</v>
      </c>
      <c r="I18">
        <v>1298.93</v>
      </c>
      <c r="J18">
        <v>1287.87</v>
      </c>
      <c r="K18">
        <v>1180.91</v>
      </c>
    </row>
    <row r="19" spans="1:11" s="9" customFormat="1" x14ac:dyDescent="0.25">
      <c r="A19" s="5" t="s">
        <v>82</v>
      </c>
      <c r="B19">
        <v>-26.29</v>
      </c>
      <c r="C19">
        <v>19.68</v>
      </c>
      <c r="D19">
        <v>3.97</v>
      </c>
      <c r="E19">
        <v>22.55</v>
      </c>
      <c r="F19">
        <v>25.27</v>
      </c>
      <c r="G19">
        <v>15.33</v>
      </c>
      <c r="H19">
        <v>0.06</v>
      </c>
      <c r="I19">
        <v>66.47</v>
      </c>
      <c r="J19">
        <v>-16.12</v>
      </c>
      <c r="K19">
        <v>28.02</v>
      </c>
    </row>
    <row r="20" spans="1:11" s="9" customFormat="1" x14ac:dyDescent="0.25">
      <c r="A20" s="5" t="s">
        <v>83</v>
      </c>
      <c r="B20">
        <v>97.11</v>
      </c>
      <c r="C20">
        <v>107.08</v>
      </c>
      <c r="D20">
        <v>110.58</v>
      </c>
      <c r="E20">
        <v>112.52</v>
      </c>
      <c r="F20">
        <v>137.61</v>
      </c>
      <c r="G20">
        <v>166.86</v>
      </c>
      <c r="H20">
        <v>212.75</v>
      </c>
      <c r="I20">
        <v>277.99</v>
      </c>
      <c r="J20">
        <v>294.42</v>
      </c>
      <c r="K20">
        <v>263.32</v>
      </c>
    </row>
    <row r="21" spans="1:11" s="9" customFormat="1" x14ac:dyDescent="0.25">
      <c r="A21" s="5" t="s">
        <v>84</v>
      </c>
      <c r="B21">
        <v>76.59</v>
      </c>
      <c r="C21">
        <v>82.94</v>
      </c>
      <c r="D21">
        <v>63.96</v>
      </c>
      <c r="E21">
        <v>69.33</v>
      </c>
      <c r="F21">
        <v>81.45</v>
      </c>
      <c r="G21">
        <v>99.77</v>
      </c>
      <c r="H21">
        <v>161.72</v>
      </c>
      <c r="I21">
        <v>199.09</v>
      </c>
      <c r="J21">
        <v>256.05</v>
      </c>
      <c r="K21">
        <v>266.67</v>
      </c>
    </row>
    <row r="22" spans="1:11" s="9" customFormat="1" x14ac:dyDescent="0.25">
      <c r="A22" s="5" t="s">
        <v>85</v>
      </c>
      <c r="B22">
        <v>70.21</v>
      </c>
      <c r="C22">
        <v>79.82</v>
      </c>
      <c r="D22">
        <v>88.34</v>
      </c>
      <c r="E22">
        <v>100.25</v>
      </c>
      <c r="F22">
        <v>101.69</v>
      </c>
      <c r="G22">
        <v>117.20</v>
      </c>
      <c r="H22">
        <v>127.60</v>
      </c>
      <c r="I22">
        <v>139.79</v>
      </c>
      <c r="J22">
        <v>153.85</v>
      </c>
      <c r="K22">
        <v>172.19</v>
      </c>
    </row>
    <row r="23" spans="1:11" s="9" customFormat="1" x14ac:dyDescent="0.25">
      <c r="A23" s="5" t="s">
        <v>86</v>
      </c>
      <c r="B23">
        <v>65.95</v>
      </c>
      <c r="C23">
        <v>72.95</v>
      </c>
      <c r="D23">
        <v>67.50</v>
      </c>
      <c r="E23">
        <v>72.60</v>
      </c>
      <c r="F23">
        <v>95.04</v>
      </c>
      <c r="G23">
        <v>82.24</v>
      </c>
      <c r="H23">
        <v>92.01</v>
      </c>
      <c r="I23">
        <v>106.25</v>
      </c>
      <c r="J23">
        <v>114.26</v>
      </c>
      <c r="K23">
        <v>106.80</v>
      </c>
    </row>
    <row r="24" spans="1:11" s="9" customFormat="1" x14ac:dyDescent="0.25">
      <c r="A24" s="5" t="s">
        <v>87</v>
      </c>
      <c r="B24">
        <v>27.93</v>
      </c>
      <c r="C24">
        <v>33.55</v>
      </c>
      <c r="D24">
        <v>82.36</v>
      </c>
      <c r="E24">
        <v>46.36</v>
      </c>
      <c r="F24">
        <v>60.13</v>
      </c>
      <c r="G24">
        <v>63.46</v>
      </c>
      <c r="H24">
        <v>58.07</v>
      </c>
      <c r="I24">
        <v>66.74</v>
      </c>
      <c r="J24">
        <v>57.36</v>
      </c>
      <c r="K24">
        <v>72.59</v>
      </c>
    </row>
    <row r="25" spans="1:11" s="9" customFormat="1" x14ac:dyDescent="0.25">
      <c r="A25" s="9" t="s">
        <v>9</v>
      </c>
      <c r="B25">
        <v>28.83</v>
      </c>
      <c r="C25">
        <v>43.97</v>
      </c>
      <c r="D25">
        <v>34.70</v>
      </c>
      <c r="E25">
        <v>32.35</v>
      </c>
      <c r="F25">
        <v>52.22</v>
      </c>
      <c r="G25">
        <v>20.89</v>
      </c>
      <c r="H25">
        <v>25.84</v>
      </c>
      <c r="I25">
        <v>39.62</v>
      </c>
      <c r="J25">
        <v>15.31</v>
      </c>
      <c r="K25">
        <v>56.12</v>
      </c>
    </row>
    <row r="26" spans="1:11" s="9" customFormat="1" x14ac:dyDescent="0.25">
      <c r="A26" s="9" t="s">
        <v>10</v>
      </c>
      <c r="B26">
        <v>30.59</v>
      </c>
      <c r="C26">
        <v>29.55</v>
      </c>
      <c r="D26">
        <v>31.72</v>
      </c>
      <c r="E26">
        <v>37.30</v>
      </c>
      <c r="F26">
        <v>38.54</v>
      </c>
      <c r="G26">
        <v>43.65</v>
      </c>
      <c r="H26">
        <v>49.06</v>
      </c>
      <c r="I26">
        <v>54.23</v>
      </c>
      <c r="J26">
        <v>55.28</v>
      </c>
      <c r="K26">
        <v>61.69</v>
      </c>
    </row>
    <row r="27" spans="1:11" s="9" customFormat="1" x14ac:dyDescent="0.25">
      <c r="A27" s="9" t="s">
        <v>11</v>
      </c>
      <c r="B27">
        <v>29.09</v>
      </c>
      <c r="C27">
        <v>32.73</v>
      </c>
      <c r="D27">
        <v>41.03</v>
      </c>
      <c r="E27">
        <v>25.69</v>
      </c>
      <c r="F27">
        <v>26.22</v>
      </c>
      <c r="G27">
        <v>43.10</v>
      </c>
      <c r="H27">
        <v>31.62</v>
      </c>
      <c r="I27">
        <v>31.43</v>
      </c>
      <c r="J27">
        <v>23.64</v>
      </c>
      <c r="K27">
        <v>25.84</v>
      </c>
    </row>
    <row r="28" spans="1:11" s="9" customFormat="1" x14ac:dyDescent="0.25">
      <c r="A28" s="9" t="s">
        <v>12</v>
      </c>
      <c r="B28">
        <v>30.21</v>
      </c>
      <c r="C28">
        <v>38.07</v>
      </c>
      <c r="D28">
        <v>45.59</v>
      </c>
      <c r="E28">
        <v>79.65</v>
      </c>
      <c r="F28">
        <v>139.17</v>
      </c>
      <c r="G28">
        <v>122.48</v>
      </c>
      <c r="H28">
        <v>192.42</v>
      </c>
      <c r="I28">
        <v>297.09</v>
      </c>
      <c r="J28">
        <v>312.11</v>
      </c>
      <c r="K28">
        <v>393.03</v>
      </c>
    </row>
    <row r="29" spans="1:11" s="9" customFormat="1" x14ac:dyDescent="0.25">
      <c r="A29" s="9" t="s">
        <v>13</v>
      </c>
      <c r="B29">
        <v>0.62</v>
      </c>
      <c r="C29">
        <v>1.45</v>
      </c>
      <c r="D29">
        <v>7.72</v>
      </c>
      <c r="E29">
        <v>22.84</v>
      </c>
      <c r="F29">
        <v>49.17</v>
      </c>
      <c r="G29">
        <v>34.37</v>
      </c>
      <c r="H29">
        <v>56.90</v>
      </c>
      <c r="I29">
        <v>84.30</v>
      </c>
      <c r="J29">
        <v>94.69</v>
      </c>
      <c r="K29">
        <v>124.97</v>
      </c>
    </row>
    <row r="30" spans="1:11" s="9" customFormat="1" x14ac:dyDescent="0.25">
      <c r="A30" s="9" t="s">
        <v>14</v>
      </c>
      <c r="B30">
        <v>29.59</v>
      </c>
      <c r="C30">
        <v>36.62</v>
      </c>
      <c r="D30">
        <v>37.87</v>
      </c>
      <c r="E30">
        <v>56.81</v>
      </c>
      <c r="F30">
        <v>90.00</v>
      </c>
      <c r="G30">
        <v>88.11</v>
      </c>
      <c r="H30">
        <v>135.52</v>
      </c>
      <c r="I30">
        <v>212.79</v>
      </c>
      <c r="J30">
        <v>217.42</v>
      </c>
      <c r="K30">
        <v>268.06</v>
      </c>
    </row>
    <row r="31" spans="1:11" s="9" customFormat="1" x14ac:dyDescent="0.25">
      <c r="A31" s="9" t="s">
        <v>71</v>
      </c>
      <c r="B31">
        <v>8.90</v>
      </c>
      <c r="C31">
        <v>8.90</v>
      </c>
      <c r="D31">
        <v>8.90</v>
      </c>
      <c r="E31">
        <v>11.87</v>
      </c>
      <c r="F31">
        <v>13.35</v>
      </c>
      <c r="G31">
        <v>13.35</v>
      </c>
      <c r="H31">
        <v>17.80</v>
      </c>
      <c r="I31">
        <v>22.25</v>
      </c>
      <c r="J31">
        <v>25.21</v>
      </c>
      <c r="K31">
        <v>29.66</v>
      </c>
    </row>
    <row r="32" spans="1:11" s="9" customFormat="1" x14ac:dyDescent="0.25"/>
    <row r="33" spans="1:11" x14ac:dyDescent="0.25">
      <c r="A33" s="9"/>
    </row>
    <row r="34" spans="1:11" x14ac:dyDescent="0.25">
      <c r="A34" s="9"/>
    </row>
    <row r="35" spans="1:11" x14ac:dyDescent="0.25">
      <c r="A35" s="9"/>
    </row>
    <row r="36" spans="1:11" x14ac:dyDescent="0.25">
      <c r="A36" s="9"/>
    </row>
    <row r="37" spans="1:11" x14ac:dyDescent="0.25">
      <c r="A37" s="9"/>
    </row>
    <row r="38" spans="1:11" x14ac:dyDescent="0.25">
      <c r="A38" s="9"/>
    </row>
    <row r="39" spans="1:11" x14ac:dyDescent="0.25">
      <c r="A39" s="9"/>
    </row>
    <row r="40" spans="1:11" x14ac:dyDescent="0.25">
      <c r="A40" s="1" t="s">
        <v>39</v>
      </c>
    </row>
    <row r="41" spans="1:11" s="24" customFormat="1" x14ac:dyDescent="0.25">
      <c r="A41" s="23" t="s">
        <v>38</v>
      </c>
      <c r="B41" s="16">
        <v>41820.0</v>
      </c>
      <c r="C41" s="16">
        <v>41912.0</v>
      </c>
      <c r="D41" s="16">
        <v>42004.0</v>
      </c>
      <c r="E41" s="16">
        <v>42094.0</v>
      </c>
      <c r="F41" s="16">
        <v>42185.0</v>
      </c>
      <c r="G41" s="16">
        <v>42277.0</v>
      </c>
      <c r="H41" s="16">
        <v>42369.0</v>
      </c>
      <c r="I41" s="16">
        <v>42460.0</v>
      </c>
      <c r="J41" s="16">
        <v>42551.0</v>
      </c>
      <c r="K41" s="16">
        <v>42643.0</v>
      </c>
    </row>
    <row r="42" spans="1:11" s="9" customFormat="1" x14ac:dyDescent="0.25">
      <c r="A42" s="9" t="s">
        <v>6</v>
      </c>
      <c r="B42">
        <v>647.08</v>
      </c>
      <c r="C42">
        <v>662.41</v>
      </c>
      <c r="D42">
        <v>627.12</v>
      </c>
      <c r="E42">
        <v>619.04</v>
      </c>
      <c r="F42">
        <v>583.06</v>
      </c>
      <c r="G42">
        <v>643.69</v>
      </c>
      <c r="H42">
        <v>605.70</v>
      </c>
      <c r="I42">
        <v>620.89</v>
      </c>
      <c r="J42">
        <v>635.63</v>
      </c>
      <c r="K42">
        <v>698.79</v>
      </c>
    </row>
    <row r="43" spans="1:11" s="9" customFormat="1" x14ac:dyDescent="0.25">
      <c r="A43" s="9" t="s">
        <v>7</v>
      </c>
      <c r="B43">
        <v>543.25</v>
      </c>
      <c r="C43">
        <v>565.44</v>
      </c>
      <c r="D43">
        <v>532.91</v>
      </c>
      <c r="E43">
        <v>538.33</v>
      </c>
      <c r="F43">
        <v>484.19</v>
      </c>
      <c r="G43">
        <v>526.18</v>
      </c>
      <c r="H43">
        <v>501.94</v>
      </c>
      <c r="I43">
        <v>515.52</v>
      </c>
      <c r="J43">
        <v>518.56</v>
      </c>
      <c r="K43">
        <v>555.85</v>
      </c>
    </row>
    <row r="44" spans="1:11" s="9" customFormat="1" x14ac:dyDescent="0.25">
      <c r="A44" s="9" t="s">
        <v>9</v>
      </c>
      <c r="B44">
        <v>1.52</v>
      </c>
      <c r="C44">
        <v>8.56</v>
      </c>
      <c r="D44">
        <v>3.86</v>
      </c>
      <c r="E44">
        <v>1.37</v>
      </c>
      <c r="F44">
        <v>8.95</v>
      </c>
      <c r="G44">
        <v>26.42</v>
      </c>
      <c r="H44">
        <v>7.14</v>
      </c>
      <c r="I44">
        <v>15.57</v>
      </c>
      <c r="J44">
        <v>5.62</v>
      </c>
      <c r="K44">
        <v>10.57</v>
      </c>
    </row>
    <row r="45" spans="1:11" s="9" customFormat="1" x14ac:dyDescent="0.25">
      <c r="A45" s="9" t="s">
        <v>10</v>
      </c>
      <c r="B45">
        <v>13.56</v>
      </c>
      <c r="C45">
        <v>13.67</v>
      </c>
      <c r="D45">
        <v>13.85</v>
      </c>
      <c r="E45">
        <v>14.20</v>
      </c>
      <c r="F45">
        <v>14.11</v>
      </c>
      <c r="G45">
        <v>14.84</v>
      </c>
      <c r="H45">
        <v>15.74</v>
      </c>
      <c r="I45">
        <v>17.06</v>
      </c>
      <c r="J45">
        <v>20.44</v>
      </c>
      <c r="K45">
        <v>22.34</v>
      </c>
    </row>
    <row r="46" spans="1:11" s="9" customFormat="1" x14ac:dyDescent="0.25">
      <c r="A46" s="9" t="s">
        <v>11</v>
      </c>
      <c r="B46">
        <v>6.17</v>
      </c>
      <c r="C46">
        <v>5.73</v>
      </c>
      <c r="D46">
        <v>6.25</v>
      </c>
      <c r="E46">
        <v>5.49</v>
      </c>
      <c r="F46">
        <v>5.27</v>
      </c>
      <c r="G46">
        <v>6.31</v>
      </c>
      <c r="H46">
        <v>7.68</v>
      </c>
      <c r="I46">
        <v>6.58</v>
      </c>
      <c r="J46">
        <v>7.23</v>
      </c>
      <c r="K46">
        <v>5.07</v>
      </c>
    </row>
    <row r="47" spans="1:11" s="9" customFormat="1" x14ac:dyDescent="0.25">
      <c r="A47" s="9" t="s">
        <v>12</v>
      </c>
      <c r="B47">
        <v>85.62</v>
      </c>
      <c r="C47">
        <v>86.13</v>
      </c>
      <c r="D47">
        <v>77.97</v>
      </c>
      <c r="E47">
        <v>62.39</v>
      </c>
      <c r="F47">
        <v>88.44</v>
      </c>
      <c r="G47">
        <v>122.78</v>
      </c>
      <c r="H47">
        <v>87.48</v>
      </c>
      <c r="I47">
        <v>97.30</v>
      </c>
      <c r="J47">
        <v>95.02</v>
      </c>
      <c r="K47">
        <v>126.10</v>
      </c>
    </row>
    <row r="48" spans="1:11" s="9" customFormat="1" x14ac:dyDescent="0.25">
      <c r="A48" s="9" t="s">
        <v>13</v>
      </c>
      <c r="B48">
        <v>25.84</v>
      </c>
      <c r="C48">
        <v>27.06</v>
      </c>
      <c r="D48">
        <v>24.26</v>
      </c>
      <c r="E48">
        <v>17.53</v>
      </c>
      <c r="F48">
        <v>27.37</v>
      </c>
      <c r="G48">
        <v>36.92</v>
      </c>
      <c r="H48">
        <v>26.54</v>
      </c>
      <c r="I48">
        <v>34.69</v>
      </c>
      <c r="J48">
        <v>14.48</v>
      </c>
      <c r="K48">
        <v>43.78</v>
      </c>
    </row>
    <row r="49" spans="1:11" s="9" customFormat="1" x14ac:dyDescent="0.25">
      <c r="A49" s="9" t="s">
        <v>14</v>
      </c>
      <c r="B49">
        <v>59.78</v>
      </c>
      <c r="C49">
        <v>59.07</v>
      </c>
      <c r="D49">
        <v>53.71</v>
      </c>
      <c r="E49">
        <v>44.86</v>
      </c>
      <c r="F49">
        <v>61.07</v>
      </c>
      <c r="G49">
        <v>85.86</v>
      </c>
      <c r="H49">
        <v>60.94</v>
      </c>
      <c r="I49">
        <v>62.61</v>
      </c>
      <c r="J49">
        <v>80.54</v>
      </c>
      <c r="K49">
        <v>82.32</v>
      </c>
    </row>
    <row r="50" spans="1:11" x14ac:dyDescent="0.25">
      <c r="A50" s="9" t="s">
        <v>8</v>
      </c>
      <c r="B50">
        <v>103.83</v>
      </c>
      <c r="C50">
        <v>96.97</v>
      </c>
      <c r="D50">
        <v>94.21</v>
      </c>
      <c r="E50">
        <v>80.71</v>
      </c>
      <c r="F50">
        <v>98.87</v>
      </c>
      <c r="G50">
        <v>117.51</v>
      </c>
      <c r="H50">
        <v>103.76</v>
      </c>
      <c r="I50">
        <v>105.37</v>
      </c>
      <c r="J50">
        <v>117.07</v>
      </c>
      <c r="K50">
        <v>142.94</v>
      </c>
    </row>
    <row r="51" spans="1:11" x14ac:dyDescent="0.25">
      <c r="A51" s="9"/>
    </row>
    <row r="52" spans="1:11" x14ac:dyDescent="0.25">
      <c r="A52" s="9"/>
    </row>
    <row r="53" spans="1:11" x14ac:dyDescent="0.25">
      <c r="A53" s="9"/>
    </row>
    <row r="54" spans="1:11" x14ac:dyDescent="0.25">
      <c r="A54" s="9"/>
    </row>
    <row r="55" spans="1:11" x14ac:dyDescent="0.25">
      <c r="A55" s="1" t="s">
        <v>40</v>
      </c>
    </row>
    <row r="56" spans="1:11" s="24" customFormat="1" x14ac:dyDescent="0.25">
      <c r="A56" s="23" t="s">
        <v>38</v>
      </c>
      <c r="B56" s="16">
        <v>39172.0</v>
      </c>
      <c r="C56" s="16">
        <v>39538.0</v>
      </c>
      <c r="D56" s="16">
        <v>39903.0</v>
      </c>
      <c r="E56" s="16">
        <v>40268.0</v>
      </c>
      <c r="F56" s="16">
        <v>40633.0</v>
      </c>
      <c r="G56" s="16">
        <v>40999.0</v>
      </c>
      <c r="H56" s="16">
        <v>41364.0</v>
      </c>
      <c r="I56" s="16">
        <v>41729.0</v>
      </c>
      <c r="J56" s="16">
        <v>42094.0</v>
      </c>
      <c r="K56" s="16">
        <v>42460.0</v>
      </c>
    </row>
    <row r="57" spans="1:11" x14ac:dyDescent="0.25">
      <c r="A57" s="9" t="s">
        <v>24</v>
      </c>
      <c r="B57">
        <v>29.67</v>
      </c>
      <c r="C57">
        <v>29.67</v>
      </c>
      <c r="D57">
        <v>29.68</v>
      </c>
      <c r="E57">
        <v>29.68</v>
      </c>
      <c r="F57">
        <v>29.68</v>
      </c>
      <c r="G57">
        <v>29.68</v>
      </c>
      <c r="H57">
        <v>29.68</v>
      </c>
      <c r="I57">
        <v>29.68</v>
      </c>
      <c r="J57">
        <v>29.68</v>
      </c>
      <c r="K57">
        <v>29.68</v>
      </c>
    </row>
    <row r="58" spans="1:11" x14ac:dyDescent="0.25">
      <c r="A58" s="9" t="s">
        <v>25</v>
      </c>
      <c r="B58">
        <v>262.48</v>
      </c>
      <c r="C58">
        <v>288.69</v>
      </c>
      <c r="D58">
        <v>316.35</v>
      </c>
      <c r="E58">
        <v>344.29</v>
      </c>
      <c r="F58">
        <v>428.83</v>
      </c>
      <c r="G58">
        <v>505.73</v>
      </c>
      <c r="H58">
        <v>621.95</v>
      </c>
      <c r="I58">
        <v>809.51</v>
      </c>
      <c r="J58">
        <v>986.10</v>
      </c>
      <c r="K58">
        <v>1221.21</v>
      </c>
    </row>
    <row r="59" spans="1:11" x14ac:dyDescent="0.25">
      <c r="A59" s="9" t="s">
        <v>72</v>
      </c>
      <c r="B59">
        <v>369.24</v>
      </c>
      <c r="C59">
        <v>428.40</v>
      </c>
      <c r="D59">
        <v>367.91</v>
      </c>
      <c r="E59">
        <v>294.78</v>
      </c>
      <c r="F59">
        <v>327.22</v>
      </c>
      <c r="G59">
        <v>382.28</v>
      </c>
      <c r="H59">
        <v>355.10</v>
      </c>
      <c r="I59">
        <v>350.78</v>
      </c>
      <c r="J59">
        <v>280.93</v>
      </c>
      <c r="K59">
        <v>303.46</v>
      </c>
    </row>
    <row r="60" spans="1:11" x14ac:dyDescent="0.25">
      <c r="A60" s="9" t="s">
        <v>73</v>
      </c>
      <c r="B60">
        <v>253.88</v>
      </c>
      <c r="C60">
        <v>390.98</v>
      </c>
      <c r="D60">
        <v>359.96</v>
      </c>
      <c r="E60">
        <v>459.38</v>
      </c>
      <c r="F60">
        <v>465.95</v>
      </c>
      <c r="G60">
        <v>529.40</v>
      </c>
      <c r="H60">
        <v>528.77</v>
      </c>
      <c r="I60">
        <v>594.24</v>
      </c>
      <c r="J60">
        <v>474.23</v>
      </c>
      <c r="K60">
        <v>539.04</v>
      </c>
    </row>
    <row r="61" spans="1:11" s="1" customFormat="1" x14ac:dyDescent="0.25">
      <c r="A61" s="1" t="s">
        <v>26</v>
      </c>
      <c r="B61">
        <v>915.27</v>
      </c>
      <c r="C61">
        <v>1137.74</v>
      </c>
      <c r="D61">
        <v>1073.90</v>
      </c>
      <c r="E61">
        <v>1128.13</v>
      </c>
      <c r="F61">
        <v>1251.68</v>
      </c>
      <c r="G61">
        <v>1447.09</v>
      </c>
      <c r="H61">
        <v>1535.50</v>
      </c>
      <c r="I61">
        <v>1784.21</v>
      </c>
      <c r="J61">
        <v>1770.94</v>
      </c>
      <c r="K61">
        <v>2093.39</v>
      </c>
    </row>
    <row r="62" spans="1:11" x14ac:dyDescent="0.25">
      <c r="A62" s="9" t="s">
        <v>27</v>
      </c>
      <c r="B62">
        <v>239.49</v>
      </c>
      <c r="C62">
        <v>371.23</v>
      </c>
      <c r="D62">
        <v>427.33</v>
      </c>
      <c r="E62">
        <v>412.24</v>
      </c>
      <c r="F62">
        <v>390.07</v>
      </c>
      <c r="G62">
        <v>417.77</v>
      </c>
      <c r="H62">
        <v>480.45</v>
      </c>
      <c r="I62">
        <v>519.60</v>
      </c>
      <c r="J62">
        <v>474.26</v>
      </c>
      <c r="K62">
        <v>713.12</v>
      </c>
    </row>
    <row r="63" spans="1:11" x14ac:dyDescent="0.25">
      <c r="A63" s="9" t="s">
        <v>28</v>
      </c>
      <c r="B63">
        <v>55.37</v>
      </c>
      <c r="C63">
        <v>61.89</v>
      </c>
      <c r="D63">
        <v>15.68</v>
      </c>
      <c r="E63">
        <v>11.41</v>
      </c>
      <c r="F63">
        <v>29.46</v>
      </c>
      <c r="G63">
        <v>55.94</v>
      </c>
      <c r="H63">
        <v>45.93</v>
      </c>
      <c r="I63">
        <v>52.98</v>
      </c>
      <c r="J63">
        <v>104.08</v>
      </c>
      <c r="K63">
        <v>169.66</v>
      </c>
    </row>
    <row r="64" spans="1:11" x14ac:dyDescent="0.25">
      <c r="A64" s="9" t="s">
        <v>29</v>
      </c>
      <c r="B64">
        <v>65.13</v>
      </c>
      <c r="C64">
        <v>65.13</v>
      </c>
      <c r="D64">
        <v>65.13</v>
      </c>
      <c r="E64">
        <v>65.02</v>
      </c>
      <c r="F64">
        <v>83.32</v>
      </c>
      <c r="G64">
        <v>125.00</v>
      </c>
      <c r="H64">
        <v>128.56</v>
      </c>
      <c r="I64">
        <v>136.47</v>
      </c>
      <c r="J64">
        <v>148.82</v>
      </c>
      <c r="K64">
        <v>144.56</v>
      </c>
    </row>
    <row r="65" spans="1:11" x14ac:dyDescent="0.25">
      <c r="A65" s="9" t="s">
        <v>74</v>
      </c>
      <c r="B65">
        <v>555.28</v>
      </c>
      <c r="C65">
        <v>639.49</v>
      </c>
      <c r="D65">
        <v>565.76</v>
      </c>
      <c r="E65">
        <v>639.46</v>
      </c>
      <c r="F65">
        <v>748.83</v>
      </c>
      <c r="G65">
        <v>848.38</v>
      </c>
      <c r="H65">
        <v>880.56</v>
      </c>
      <c r="I65">
        <v>1075.16</v>
      </c>
      <c r="J65">
        <v>1043.78</v>
      </c>
      <c r="K65">
        <v>1066.05</v>
      </c>
    </row>
    <row r="66" spans="1:11" s="1" customFormat="1" x14ac:dyDescent="0.25">
      <c r="A66" s="1" t="s">
        <v>26</v>
      </c>
      <c r="B66">
        <v>915.27</v>
      </c>
      <c r="C66">
        <v>1137.74</v>
      </c>
      <c r="D66">
        <v>1073.90</v>
      </c>
      <c r="E66">
        <v>1128.13</v>
      </c>
      <c r="F66">
        <v>1251.68</v>
      </c>
      <c r="G66">
        <v>1447.09</v>
      </c>
      <c r="H66">
        <v>1535.50</v>
      </c>
      <c r="I66">
        <v>1784.21</v>
      </c>
      <c r="J66">
        <v>1770.94</v>
      </c>
      <c r="K66">
        <v>2093.39</v>
      </c>
    </row>
    <row r="67" spans="1:11" s="9" customFormat="1" x14ac:dyDescent="0.25">
      <c r="A67" s="9" t="s">
        <v>79</v>
      </c>
      <c r="B67">
        <v>258.90</v>
      </c>
      <c r="C67">
        <v>281.11</v>
      </c>
      <c r="D67">
        <v>222.67</v>
      </c>
      <c r="E67">
        <v>270.61</v>
      </c>
      <c r="F67">
        <v>299.54</v>
      </c>
      <c r="G67">
        <v>368.22</v>
      </c>
      <c r="H67">
        <v>361.60</v>
      </c>
      <c r="I67">
        <v>447.26</v>
      </c>
      <c r="J67">
        <v>439.19</v>
      </c>
      <c r="K67">
        <v>420.12</v>
      </c>
    </row>
    <row r="68" spans="1:11" x14ac:dyDescent="0.25">
      <c r="A68" s="9" t="s">
        <v>45</v>
      </c>
      <c r="B68">
        <v>172.33</v>
      </c>
      <c r="C68">
        <v>209.28</v>
      </c>
      <c r="D68">
        <v>196.68</v>
      </c>
      <c r="E68">
        <v>211.29</v>
      </c>
      <c r="F68">
        <v>261.39</v>
      </c>
      <c r="G68">
        <v>294.57</v>
      </c>
      <c r="H68">
        <v>307.53</v>
      </c>
      <c r="I68">
        <v>375.75</v>
      </c>
      <c r="J68">
        <v>349.65</v>
      </c>
      <c r="K68">
        <v>374.18</v>
      </c>
    </row>
    <row r="69" spans="1:11" x14ac:dyDescent="0.25">
      <c r="A69" s="5" t="s">
        <v>88</v>
      </c>
      <c r="B69">
        <v>38.42</v>
      </c>
      <c r="C69">
        <v>23.35</v>
      </c>
      <c r="D69">
        <v>23.30</v>
      </c>
      <c r="E69">
        <v>14.84</v>
      </c>
      <c r="F69">
        <v>15.15</v>
      </c>
      <c r="G69">
        <v>11.52</v>
      </c>
      <c r="H69">
        <v>7.84</v>
      </c>
      <c r="I69">
        <v>8.80</v>
      </c>
      <c r="J69">
        <v>6.29</v>
      </c>
      <c r="K69">
        <v>5.18</v>
      </c>
    </row>
    <row r="70" spans="1:11" x14ac:dyDescent="0.25">
      <c r="A70" s="5" t="s">
        <v>75</v>
      </c>
      <c r="B70">
        <v>29691780.00</v>
      </c>
      <c r="C70">
        <v>29691780.00</v>
      </c>
      <c r="D70">
        <v>29691780.00</v>
      </c>
      <c r="E70">
        <v>29691780.00</v>
      </c>
      <c r="F70">
        <v>29691780.00</v>
      </c>
      <c r="G70">
        <v>29691780.00</v>
      </c>
      <c r="H70">
        <v>29691780.00</v>
      </c>
      <c r="I70">
        <v>29691800.00</v>
      </c>
      <c r="J70">
        <v>29691800.00</v>
      </c>
      <c r="K70">
        <v>29691800.00</v>
      </c>
    </row>
    <row r="71" spans="1:11" x14ac:dyDescent="0.25">
      <c r="A71" s="5" t="s">
        <v>76</v>
      </c>
    </row>
    <row r="72" spans="1:11" x14ac:dyDescent="0.25">
      <c r="A72" s="5" t="s">
        <v>89</v>
      </c>
      <c r="B72">
        <v>10.00</v>
      </c>
      <c r="C72">
        <v>10.00</v>
      </c>
      <c r="D72">
        <v>10.00</v>
      </c>
      <c r="E72">
        <v>10.00</v>
      </c>
      <c r="F72">
        <v>10.00</v>
      </c>
      <c r="G72">
        <v>10.00</v>
      </c>
      <c r="H72">
        <v>10.00</v>
      </c>
      <c r="I72">
        <v>10.00</v>
      </c>
      <c r="J72">
        <v>10.00</v>
      </c>
      <c r="K72">
        <v>10.00</v>
      </c>
    </row>
    <row r="74" spans="1:11" x14ac:dyDescent="0.25">
      <c r="A74" s="9"/>
    </row>
    <row r="75" spans="1:11" x14ac:dyDescent="0.25">
      <c r="A75" s="9"/>
    </row>
    <row r="76" spans="1:11" x14ac:dyDescent="0.25">
      <c r="A76" s="9"/>
    </row>
    <row r="77" spans="1:11" x14ac:dyDescent="0.25">
      <c r="A77" s="9"/>
    </row>
    <row r="78" spans="1:11" x14ac:dyDescent="0.25">
      <c r="A78" s="9"/>
    </row>
    <row r="79" spans="1:11" x14ac:dyDescent="0.25">
      <c r="A79" s="9"/>
    </row>
    <row r="80" spans="1:11" x14ac:dyDescent="0.25">
      <c r="A80" s="1" t="s">
        <v>41</v>
      </c>
    </row>
    <row r="81" spans="1:11" s="24" customFormat="1" x14ac:dyDescent="0.25">
      <c r="A81" s="23" t="s">
        <v>38</v>
      </c>
      <c r="B81" s="16">
        <v>39172.0</v>
      </c>
      <c r="C81" s="16">
        <v>39538.0</v>
      </c>
      <c r="D81" s="16">
        <v>39903.0</v>
      </c>
      <c r="E81" s="16">
        <v>40268.0</v>
      </c>
      <c r="F81" s="16">
        <v>40633.0</v>
      </c>
      <c r="G81" s="16">
        <v>40999.0</v>
      </c>
      <c r="H81" s="16">
        <v>41364.0</v>
      </c>
      <c r="I81" s="16">
        <v>41729.0</v>
      </c>
      <c r="J81" s="16">
        <v>42094.0</v>
      </c>
      <c r="K81" s="16">
        <v>42460.0</v>
      </c>
    </row>
    <row r="82" spans="1:11" s="1" customFormat="1" x14ac:dyDescent="0.25">
      <c r="A82" s="9" t="s">
        <v>32</v>
      </c>
      <c r="B82">
        <v>73.42</v>
      </c>
      <c r="C82">
        <v>11.46</v>
      </c>
      <c r="D82">
        <v>203.94</v>
      </c>
      <c r="E82">
        <v>106.63</v>
      </c>
      <c r="F82">
        <v>60.20</v>
      </c>
      <c r="G82">
        <v>120.53</v>
      </c>
      <c r="H82">
        <v>166.55</v>
      </c>
      <c r="I82">
        <v>141.00</v>
      </c>
      <c r="J82">
        <v>316.96</v>
      </c>
      <c r="K82">
        <v>374.28</v>
      </c>
    </row>
    <row r="83" spans="1:11" s="9" customFormat="1" x14ac:dyDescent="0.25">
      <c r="A83" s="9" t="s">
        <v>33</v>
      </c>
      <c r="B83">
        <v>-33.31</v>
      </c>
      <c r="C83">
        <v>-53.54</v>
      </c>
      <c r="D83">
        <v>-68.28</v>
      </c>
      <c r="E83">
        <v>-12.66</v>
      </c>
      <c r="F83">
        <v>-51.52</v>
      </c>
      <c r="G83">
        <v>-119.32</v>
      </c>
      <c r="H83">
        <v>-88.51</v>
      </c>
      <c r="I83">
        <v>-79.85</v>
      </c>
      <c r="J83">
        <v>-196.10</v>
      </c>
      <c r="K83">
        <v>-340.32</v>
      </c>
    </row>
    <row r="84" spans="1:11" s="9" customFormat="1" x14ac:dyDescent="0.25">
      <c r="A84" s="9" t="s">
        <v>34</v>
      </c>
      <c r="B84">
        <v>-15.48</v>
      </c>
      <c r="C84">
        <v>27.01</v>
      </c>
      <c r="D84">
        <v>-135.71</v>
      </c>
      <c r="E84">
        <v>-102.43</v>
      </c>
      <c r="F84">
        <v>-5.38</v>
      </c>
      <c r="G84">
        <v>-5.43</v>
      </c>
      <c r="H84">
        <v>-80.75</v>
      </c>
      <c r="I84">
        <v>-60.39</v>
      </c>
      <c r="J84">
        <v>-123.40</v>
      </c>
      <c r="K84">
        <v>-35.26</v>
      </c>
    </row>
    <row r="85" spans="1:11" s="1" customFormat="1" x14ac:dyDescent="0.25">
      <c r="A85" s="9" t="s">
        <v>35</v>
      </c>
      <c r="B85">
        <v>24.63</v>
      </c>
      <c r="C85">
        <v>-15.07</v>
      </c>
      <c r="D85">
        <v>-0.05</v>
      </c>
      <c r="E85">
        <v>-8.46</v>
      </c>
      <c r="F85">
        <v>3.30</v>
      </c>
      <c r="G85">
        <v>-4.22</v>
      </c>
      <c r="H85">
        <v>-2.71</v>
      </c>
      <c r="I85">
        <v>0.76</v>
      </c>
      <c r="J85">
        <v>-2.54</v>
      </c>
      <c r="K85">
        <v>-1.30</v>
      </c>
    </row>
    <row r="86" spans="1:11" x14ac:dyDescent="0.25">
      <c r="A86" s="9"/>
    </row>
    <row r="87" spans="1:11" x14ac:dyDescent="0.25">
      <c r="A87" s="9"/>
    </row>
    <row r="88" spans="1:11" x14ac:dyDescent="0.25">
      <c r="A88" s="9"/>
    </row>
    <row r="89" spans="1:11" x14ac:dyDescent="0.25">
      <c r="A89" s="9"/>
    </row>
    <row r="90" spans="1:11" s="1" customFormat="1" x14ac:dyDescent="0.25">
      <c r="A90" s="1" t="s">
        <v>78</v>
      </c>
      <c r="B90">
        <v>90.40</v>
      </c>
      <c r="C90">
        <v>59.03</v>
      </c>
      <c r="D90">
        <v>48.07</v>
      </c>
      <c r="E90">
        <v>91.52</v>
      </c>
      <c r="F90">
        <v>186.26</v>
      </c>
      <c r="G90">
        <v>198.76</v>
      </c>
      <c r="H90">
        <v>328.67</v>
      </c>
      <c r="I90">
        <v>483.73</v>
      </c>
      <c r="J90">
        <v>1215.83</v>
      </c>
      <c r="K90">
        <v>1715.72</v>
      </c>
    </row>
    <row r="92" spans="1:11" s="1" customFormat="1" x14ac:dyDescent="0.25">
      <c r="A92" s="1" t="s">
        <v>77</v>
      </c>
    </row>
    <row r="93" spans="1:11" x14ac:dyDescent="0.25">
      <c r="A93" s="5" t="s">
        <v>90</v>
      </c>
      <c r="B93" s="31">
        <f>IF($B7&gt;0,(B70*B72/$B7)+SUM(C71:$K71),0)/10000000</f>
      </c>
      <c r="C93" s="31">
        <f>IF($B7&gt;0,(C70*C72/$B7)+SUM(D71:$K71),0)/10000000</f>
      </c>
      <c r="D93" s="31">
        <f>IF($B7&gt;0,(D70*D72/$B7)+SUM(E71:$K71),0)/10000000</f>
      </c>
      <c r="E93" s="31">
        <f>IF($B7&gt;0,(E70*E72/$B7)+SUM(F71:$K71),0)/10000000</f>
      </c>
      <c r="F93" s="31">
        <f>IF($B7&gt;0,(F70*F72/$B7)+SUM(G71:$K71),0)/10000000</f>
      </c>
      <c r="G93" s="31">
        <f>IF($B7&gt;0,(G70*G72/$B7)+SUM(H71:$K71),0)/10000000</f>
      </c>
      <c r="H93" s="31">
        <f>IF($B7&gt;0,(H70*H72/$B7)+SUM(I71:$K71),0)/10000000</f>
      </c>
      <c r="I93" s="31">
        <f>IF($B7&gt;0,(I70*I72/$B7)+SUM(J71:$K71),0)/10000000</f>
      </c>
      <c r="J93" s="31">
        <f>IF($B7&gt;0,(J70*J72/$B7)+SUM(K71:$K71),0)/10000000</f>
      </c>
      <c r="K93" s="31">
        <f>IF($B7&gt;0,(K70*K72/$B7),0)/10000000</f>
      </c>
    </row>
  </sheetData>
  <mergeCells count="2">
    <mergeCell ref="E1:K1"/>
    <mergeCell ref="E2:K2"/>
  </mergeCells>
  <conditionalFormatting sqref="E1:K1">
    <cfRule type="cellIs" dxfId="100" priority="1" operator="notEqual">
      <formula>""</formula>
    </cfRule>
  </conditionalFormatting>
  <hyperlinks>
    <hyperlink ref="E1:K1" r:id="rId1" display="https://www.screener.in/excel/"/>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18"/>
  <sheetViews>
    <sheetView topLeftCell="A56" workbookViewId="0">
      <selection activeCell="L75" sqref="L75"/>
    </sheetView>
  </sheetViews>
  <sheetFormatPr defaultRowHeight="15" x14ac:dyDescent="0.25"/>
  <cols>
    <col min="1" max="1" width="30" bestFit="1" customWidth="1"/>
    <col min="12" max="12" width="12" bestFit="1" customWidth="1"/>
  </cols>
  <sheetData>
    <row r="1" spans="1:12" x14ac:dyDescent="0.25">
      <c r="A1" s="70" t="str">
        <f>'Data Sheet'!B1</f>
      </c>
      <c r="B1" s="33"/>
      <c r="C1" s="33"/>
      <c r="D1" s="33"/>
      <c r="E1" s="33"/>
      <c r="F1" s="33"/>
      <c r="G1" s="33"/>
      <c r="H1" s="33"/>
      <c r="I1" s="33"/>
      <c r="J1" s="33"/>
      <c r="K1" s="33"/>
      <c r="L1" s="33"/>
    </row>
    <row r="2" spans="1:12" x14ac:dyDescent="0.25">
      <c r="A2" s="32"/>
      <c r="B2" s="33"/>
      <c r="C2" s="33"/>
      <c r="D2" s="33"/>
      <c r="E2" s="33"/>
      <c r="F2" s="33"/>
      <c r="G2" s="33"/>
      <c r="H2" s="33"/>
      <c r="I2" s="33"/>
      <c r="J2" s="33"/>
      <c r="K2" s="33"/>
      <c r="L2" s="33"/>
    </row>
    <row r="3" spans="1:12" x14ac:dyDescent="0.25">
      <c r="A3" s="361" t="s">
        <v>94</v>
      </c>
      <c r="B3" s="361"/>
      <c r="C3" s="361"/>
      <c r="D3" s="361"/>
      <c r="E3" s="361"/>
      <c r="F3" s="361"/>
      <c r="G3" s="361"/>
      <c r="H3" s="361"/>
      <c r="I3" s="361"/>
      <c r="J3" s="361"/>
      <c r="K3" s="34"/>
      <c r="L3" s="35"/>
    </row>
    <row r="4" spans="1:12" x14ac:dyDescent="0.25">
      <c r="A4" s="71" t="str">
        <f>'Data Sheet'!A1</f>
      </c>
      <c r="B4" s="36">
        <f>'Data Sheet'!B$16</f>
      </c>
      <c r="C4" s="36">
        <f>'Data Sheet'!C$16</f>
      </c>
      <c r="D4" s="36">
        <f>'Data Sheet'!D$16</f>
      </c>
      <c r="E4" s="36">
        <f>'Data Sheet'!E$16</f>
      </c>
      <c r="F4" s="36">
        <f>'Data Sheet'!F$16</f>
      </c>
      <c r="G4" s="36">
        <f>'Data Sheet'!G$16</f>
      </c>
      <c r="H4" s="36">
        <f>'Data Sheet'!H$16</f>
      </c>
      <c r="I4" s="36">
        <f>'Data Sheet'!I$16</f>
      </c>
      <c r="J4" s="36">
        <f>'Data Sheet'!J$16</f>
      </c>
      <c r="K4" s="36">
        <f>'Data Sheet'!K$16</f>
      </c>
      <c r="L4" s="36">
        <f>'Data Sheet'!K$16</f>
      </c>
    </row>
    <row r="5" spans="1:12" x14ac:dyDescent="0.25">
      <c r="A5" s="37" t="s">
        <v>95</v>
      </c>
      <c r="B5" s="38"/>
      <c r="C5" s="38"/>
      <c r="D5" s="38"/>
      <c r="E5" s="38"/>
      <c r="F5" s="38"/>
      <c r="G5" s="38"/>
      <c r="H5" s="38"/>
      <c r="I5" s="38"/>
      <c r="J5" s="38"/>
      <c r="K5" s="38"/>
      <c r="L5" s="35"/>
    </row>
    <row r="6" spans="1:12" x14ac:dyDescent="0.25">
      <c r="A6" s="39" t="s">
        <v>45</v>
      </c>
      <c r="B6" s="40">
        <f>Other_input_data!B53</f>
      </c>
      <c r="C6" s="40">
        <f>Other_input_data!C53</f>
      </c>
      <c r="D6" s="40">
        <f>Other_input_data!D53</f>
      </c>
      <c r="E6" s="40">
        <f>Other_input_data!E53</f>
      </c>
      <c r="F6" s="40">
        <f>Other_input_data!F53</f>
      </c>
      <c r="G6" s="40">
        <f>Other_input_data!G53</f>
      </c>
      <c r="H6" s="40">
        <f>Other_input_data!H53</f>
      </c>
      <c r="I6" s="40">
        <f>Other_input_data!I53</f>
      </c>
      <c r="J6" s="40">
        <f>Other_input_data!J53</f>
      </c>
      <c r="K6" s="40">
        <f>Other_input_data!K53</f>
      </c>
      <c r="L6" s="40">
        <f>Other_input_data!L53</f>
      </c>
    </row>
    <row r="7" spans="1:12" x14ac:dyDescent="0.25">
      <c r="A7" s="39" t="s">
        <v>44</v>
      </c>
      <c r="B7" s="40">
        <f>B52</f>
      </c>
      <c r="C7" s="40">
        <f t="shared" ref="C7:L7" si="0">C52</f>
      </c>
      <c r="D7" s="40">
        <f t="shared" si="0"/>
      </c>
      <c r="E7" s="40">
        <f t="shared" si="0"/>
      </c>
      <c r="F7" s="40">
        <f t="shared" si="0"/>
      </c>
      <c r="G7" s="40">
        <f t="shared" si="0"/>
      </c>
      <c r="H7" s="40">
        <f t="shared" si="0"/>
      </c>
      <c r="I7" s="40">
        <f t="shared" si="0"/>
      </c>
      <c r="J7" s="40">
        <f t="shared" si="0"/>
      </c>
      <c r="K7" s="40">
        <f t="shared" si="0"/>
      </c>
      <c r="L7" s="40">
        <f t="shared" si="0"/>
      </c>
    </row>
    <row r="8" spans="1:12" x14ac:dyDescent="0.25">
      <c r="A8" s="39" t="s">
        <v>96</v>
      </c>
      <c r="B8" s="40">
        <f>B54</f>
      </c>
      <c r="C8" s="40">
        <f t="shared" ref="C8:L8" si="1">C54</f>
      </c>
      <c r="D8" s="40">
        <f t="shared" si="1"/>
      </c>
      <c r="E8" s="40">
        <f t="shared" si="1"/>
      </c>
      <c r="F8" s="40">
        <f t="shared" si="1"/>
      </c>
      <c r="G8" s="40">
        <f t="shared" si="1"/>
      </c>
      <c r="H8" s="40">
        <f t="shared" si="1"/>
      </c>
      <c r="I8" s="40">
        <f t="shared" si="1"/>
      </c>
      <c r="J8" s="40">
        <f t="shared" si="1"/>
      </c>
      <c r="K8" s="40">
        <f t="shared" si="1"/>
      </c>
      <c r="L8" s="40">
        <f t="shared" si="1"/>
      </c>
    </row>
    <row r="9" spans="1:12" x14ac:dyDescent="0.25">
      <c r="A9" s="39" t="s">
        <v>97</v>
      </c>
      <c r="B9" s="40">
        <f>B46</f>
      </c>
      <c r="C9" s="40">
        <f t="shared" ref="C9:L10" si="2">C46</f>
      </c>
      <c r="D9" s="40">
        <f t="shared" si="2"/>
      </c>
      <c r="E9" s="40">
        <f t="shared" si="2"/>
      </c>
      <c r="F9" s="40">
        <f t="shared" si="2"/>
      </c>
      <c r="G9" s="40">
        <f t="shared" si="2"/>
      </c>
      <c r="H9" s="40">
        <f t="shared" si="2"/>
      </c>
      <c r="I9" s="40">
        <f t="shared" si="2"/>
      </c>
      <c r="J9" s="40">
        <f t="shared" si="2"/>
      </c>
      <c r="K9" s="40">
        <f t="shared" si="2"/>
      </c>
      <c r="L9" s="40">
        <f t="shared" si="2"/>
      </c>
    </row>
    <row r="10" spans="1:12" x14ac:dyDescent="0.25">
      <c r="A10" s="39" t="s">
        <v>98</v>
      </c>
      <c r="B10" s="40">
        <f>B47</f>
      </c>
      <c r="C10" s="40">
        <f t="shared" si="2"/>
      </c>
      <c r="D10" s="40">
        <f t="shared" si="2"/>
      </c>
      <c r="E10" s="40">
        <f t="shared" si="2"/>
      </c>
      <c r="F10" s="40">
        <f t="shared" si="2"/>
      </c>
      <c r="G10" s="40">
        <f t="shared" si="2"/>
      </c>
      <c r="H10" s="40">
        <f t="shared" si="2"/>
      </c>
      <c r="I10" s="40">
        <f t="shared" si="2"/>
      </c>
      <c r="J10" s="40">
        <f t="shared" si="2"/>
      </c>
      <c r="K10" s="40">
        <f t="shared" si="2"/>
      </c>
      <c r="L10" s="40">
        <f t="shared" si="2"/>
      </c>
    </row>
    <row r="11" spans="1:12" x14ac:dyDescent="0.25">
      <c r="A11" s="39" t="s">
        <v>99</v>
      </c>
      <c r="B11" s="40">
        <f>B9-B10</f>
      </c>
      <c r="C11" s="40">
        <f t="shared" ref="C11:L11" si="3">C9-C10</f>
      </c>
      <c r="D11" s="40">
        <f t="shared" si="3"/>
      </c>
      <c r="E11" s="40">
        <f t="shared" si="3"/>
      </c>
      <c r="F11" s="40">
        <f t="shared" si="3"/>
      </c>
      <c r="G11" s="40">
        <f t="shared" si="3"/>
      </c>
      <c r="H11" s="40">
        <f t="shared" si="3"/>
      </c>
      <c r="I11" s="40">
        <f t="shared" si="3"/>
      </c>
      <c r="J11" s="40">
        <f t="shared" si="3"/>
      </c>
      <c r="K11" s="40">
        <f t="shared" si="3"/>
      </c>
      <c r="L11" s="40">
        <f t="shared" si="3"/>
      </c>
    </row>
    <row r="12" spans="1:12" x14ac:dyDescent="0.25">
      <c r="A12" s="362"/>
      <c r="B12" s="362"/>
      <c r="C12" s="362"/>
      <c r="D12" s="362"/>
      <c r="E12" s="362"/>
      <c r="F12" s="362"/>
      <c r="G12" s="362"/>
      <c r="H12" s="362"/>
      <c r="I12" s="362"/>
      <c r="J12" s="362"/>
      <c r="K12" s="362"/>
      <c r="L12" s="35"/>
    </row>
    <row r="13" spans="1:12" x14ac:dyDescent="0.25">
      <c r="A13" s="361" t="s">
        <v>100</v>
      </c>
      <c r="B13" s="361"/>
      <c r="C13" s="361"/>
      <c r="D13" s="361"/>
      <c r="E13" s="361"/>
      <c r="F13" s="361"/>
      <c r="G13" s="361"/>
      <c r="H13" s="361"/>
      <c r="I13" s="361"/>
      <c r="J13" s="361"/>
      <c r="K13" s="41"/>
      <c r="L13" s="35"/>
    </row>
    <row r="14" spans="1:12" x14ac:dyDescent="0.25">
      <c r="A14" s="42" t="s">
        <v>101</v>
      </c>
      <c r="B14" s="43">
        <f>B4</f>
      </c>
      <c r="C14" s="43">
        <f t="shared" ref="C14:L14" si="4">C4</f>
      </c>
      <c r="D14" s="43">
        <f t="shared" si="4"/>
      </c>
      <c r="E14" s="43">
        <f t="shared" si="4"/>
      </c>
      <c r="F14" s="43">
        <f t="shared" si="4"/>
      </c>
      <c r="G14" s="43">
        <f t="shared" si="4"/>
      </c>
      <c r="H14" s="43">
        <f t="shared" si="4"/>
      </c>
      <c r="I14" s="43">
        <f t="shared" si="4"/>
      </c>
      <c r="J14" s="43">
        <f t="shared" si="4"/>
      </c>
      <c r="K14" s="43">
        <f t="shared" si="4"/>
      </c>
      <c r="L14" s="43">
        <f t="shared" si="4"/>
      </c>
    </row>
    <row r="15" spans="1:12" x14ac:dyDescent="0.25">
      <c r="A15" s="44" t="s">
        <v>102</v>
      </c>
      <c r="B15" s="45">
        <f>'Data Sheet'!B18</f>
      </c>
      <c r="C15" s="45">
        <f>'Data Sheet'!C18</f>
      </c>
      <c r="D15" s="45">
        <f>'Data Sheet'!D18</f>
      </c>
      <c r="E15" s="45">
        <f>'Data Sheet'!E18</f>
      </c>
      <c r="F15" s="45">
        <f>'Data Sheet'!F18</f>
      </c>
      <c r="G15" s="45">
        <f>'Data Sheet'!G18</f>
      </c>
      <c r="H15" s="45">
        <f>'Data Sheet'!H18</f>
      </c>
      <c r="I15" s="45">
        <f>'Data Sheet'!I18</f>
      </c>
      <c r="J15" s="45">
        <f>'Data Sheet'!J18</f>
      </c>
      <c r="K15" s="45">
        <f>'Data Sheet'!K18</f>
      </c>
      <c r="L15" s="45">
        <f>'Data Sheet'!K18</f>
      </c>
    </row>
    <row r="16" spans="1:12" x14ac:dyDescent="0.25">
      <c r="A16" s="44" t="s">
        <v>103</v>
      </c>
      <c r="B16" s="45">
        <f>'Data Sheet'!B22</f>
      </c>
      <c r="C16" s="45">
        <f>'Data Sheet'!C22</f>
      </c>
      <c r="D16" s="45">
        <f>'Data Sheet'!D22</f>
      </c>
      <c r="E16" s="45">
        <f>'Data Sheet'!E22</f>
      </c>
      <c r="F16" s="45">
        <f>'Data Sheet'!F22</f>
      </c>
      <c r="G16" s="45">
        <f>'Data Sheet'!G22</f>
      </c>
      <c r="H16" s="45">
        <f>'Data Sheet'!H22</f>
      </c>
      <c r="I16" s="45">
        <f>'Data Sheet'!I22</f>
      </c>
      <c r="J16" s="45">
        <f>'Data Sheet'!J22</f>
      </c>
      <c r="K16" s="45">
        <f>'Data Sheet'!K22</f>
      </c>
      <c r="L16" s="45">
        <f>'Data Sheet'!K22</f>
      </c>
    </row>
    <row r="17" spans="1:12" x14ac:dyDescent="0.25">
      <c r="A17" s="44" t="s">
        <v>104</v>
      </c>
      <c r="B17" s="45">
        <f>'Data Sheet'!B23</f>
      </c>
      <c r="C17" s="45">
        <f>'Data Sheet'!C23</f>
      </c>
      <c r="D17" s="45">
        <f>'Data Sheet'!D23</f>
      </c>
      <c r="E17" s="45">
        <f>'Data Sheet'!E23</f>
      </c>
      <c r="F17" s="45">
        <f>'Data Sheet'!F23</f>
      </c>
      <c r="G17" s="45">
        <f>'Data Sheet'!G23</f>
      </c>
      <c r="H17" s="45">
        <f>'Data Sheet'!H23</f>
      </c>
      <c r="I17" s="45">
        <f>'Data Sheet'!I23</f>
      </c>
      <c r="J17" s="45">
        <f>'Data Sheet'!J23</f>
      </c>
      <c r="K17" s="45">
        <f>'Data Sheet'!K23</f>
      </c>
      <c r="L17" s="45">
        <f>'Data Sheet'!K23</f>
      </c>
    </row>
    <row r="18" spans="1:12" x14ac:dyDescent="0.25">
      <c r="A18" s="44" t="s">
        <v>105</v>
      </c>
      <c r="B18" s="45"/>
      <c r="C18" s="45"/>
      <c r="D18" s="45"/>
      <c r="E18" s="45"/>
      <c r="F18" s="45"/>
      <c r="G18" s="45"/>
      <c r="H18" s="45"/>
      <c r="I18" s="45"/>
      <c r="J18" s="45"/>
      <c r="K18" s="45"/>
      <c r="L18" s="45"/>
    </row>
    <row r="19" spans="1:12" x14ac:dyDescent="0.25">
      <c r="A19" s="44" t="s">
        <v>106</v>
      </c>
      <c r="B19" s="45"/>
      <c r="C19" s="45"/>
      <c r="D19" s="45"/>
      <c r="E19" s="45"/>
      <c r="F19" s="45"/>
      <c r="G19" s="45"/>
      <c r="H19" s="45"/>
      <c r="I19" s="45"/>
      <c r="J19" s="45"/>
      <c r="K19" s="45"/>
      <c r="L19" s="45"/>
    </row>
    <row r="20" spans="1:12" x14ac:dyDescent="0.25">
      <c r="A20" s="44" t="s">
        <v>107</v>
      </c>
      <c r="B20" s="45">
        <f>'Data Sheet'!B20</f>
      </c>
      <c r="C20" s="45">
        <f>'Data Sheet'!C20</f>
      </c>
      <c r="D20" s="45">
        <f>'Data Sheet'!D20</f>
      </c>
      <c r="E20" s="45">
        <f>'Data Sheet'!E20</f>
      </c>
      <c r="F20" s="45">
        <f>'Data Sheet'!F20</f>
      </c>
      <c r="G20" s="45">
        <f>'Data Sheet'!G20</f>
      </c>
      <c r="H20" s="45">
        <f>'Data Sheet'!H20</f>
      </c>
      <c r="I20" s="45">
        <f>'Data Sheet'!I20</f>
      </c>
      <c r="J20" s="45">
        <f>'Data Sheet'!J20</f>
      </c>
      <c r="K20" s="45">
        <f>'Data Sheet'!K20</f>
      </c>
      <c r="L20" s="45">
        <f>'Data Sheet'!K20</f>
      </c>
    </row>
    <row r="21" spans="1:12" x14ac:dyDescent="0.25">
      <c r="A21" s="44" t="s">
        <v>108</v>
      </c>
      <c r="B21" s="45">
        <f>'Data Sheet'!B24</f>
      </c>
      <c r="C21" s="45">
        <f>'Data Sheet'!C24</f>
      </c>
      <c r="D21" s="45">
        <f>'Data Sheet'!D24</f>
      </c>
      <c r="E21" s="45">
        <f>'Data Sheet'!E24</f>
      </c>
      <c r="F21" s="45">
        <f>'Data Sheet'!F24</f>
      </c>
      <c r="G21" s="45">
        <f>'Data Sheet'!G24</f>
      </c>
      <c r="H21" s="45">
        <f>'Data Sheet'!H24</f>
      </c>
      <c r="I21" s="45">
        <f>'Data Sheet'!I24</f>
      </c>
      <c r="J21" s="45">
        <f>'Data Sheet'!J24</f>
      </c>
      <c r="K21" s="45">
        <f>'Data Sheet'!K24</f>
      </c>
      <c r="L21" s="45">
        <f>'Data Sheet'!K24</f>
      </c>
    </row>
    <row r="22" spans="1:12" x14ac:dyDescent="0.25">
      <c r="A22" s="44" t="s">
        <v>109</v>
      </c>
      <c r="B22" s="45"/>
      <c r="C22" s="45"/>
      <c r="D22" s="45"/>
      <c r="E22" s="45"/>
      <c r="F22" s="45"/>
      <c r="G22" s="46"/>
      <c r="H22" s="46"/>
      <c r="I22" s="46"/>
      <c r="J22" s="46"/>
      <c r="K22" s="44"/>
      <c r="L22" s="47"/>
    </row>
    <row r="23" spans="1:12" x14ac:dyDescent="0.25">
      <c r="A23" s="48" t="s">
        <v>110</v>
      </c>
      <c r="B23" s="45"/>
      <c r="C23" s="45">
        <f>(C49-B49)+(C50-B50)+C29</f>
      </c>
      <c r="D23" s="45">
        <f t="shared" ref="D23:K23" si="5">(D49-C49)+(D50-C50)+D29</f>
      </c>
      <c r="E23" s="45">
        <f t="shared" si="5"/>
      </c>
      <c r="F23" s="45">
        <f t="shared" si="5"/>
      </c>
      <c r="G23" s="45">
        <f t="shared" si="5"/>
      </c>
      <c r="H23" s="45">
        <f t="shared" si="5"/>
      </c>
      <c r="I23" s="45">
        <f t="shared" si="5"/>
      </c>
      <c r="J23" s="45">
        <f t="shared" si="5"/>
      </c>
      <c r="K23" s="45">
        <f t="shared" si="5"/>
      </c>
      <c r="L23" s="45">
        <f>(L49-J49)+(L50-J50)+L29</f>
      </c>
    </row>
    <row r="24" spans="1:12" x14ac:dyDescent="0.25">
      <c r="A24" s="72" t="str">
        <f>'Data Sheet'!A1</f>
      </c>
      <c r="B24" s="49">
        <f>B14</f>
      </c>
      <c r="C24" s="49">
        <f t="shared" ref="C24:L24" si="6">C14</f>
      </c>
      <c r="D24" s="49">
        <f t="shared" si="6"/>
      </c>
      <c r="E24" s="49">
        <f t="shared" si="6"/>
      </c>
      <c r="F24" s="49">
        <f t="shared" si="6"/>
      </c>
      <c r="G24" s="49">
        <f t="shared" si="6"/>
      </c>
      <c r="H24" s="49">
        <f t="shared" si="6"/>
      </c>
      <c r="I24" s="49">
        <f t="shared" si="6"/>
      </c>
      <c r="J24" s="49">
        <f t="shared" si="6"/>
      </c>
      <c r="K24" s="49">
        <f t="shared" si="6"/>
      </c>
      <c r="L24" s="49">
        <f t="shared" si="6"/>
      </c>
    </row>
    <row r="25" spans="1:12" x14ac:dyDescent="0.25">
      <c r="A25" s="50" t="s">
        <v>6</v>
      </c>
      <c r="B25" s="50">
        <f>'Data Sheet'!B17</f>
      </c>
      <c r="C25" s="50">
        <f>'Data Sheet'!C17</f>
      </c>
      <c r="D25" s="50">
        <f>'Data Sheet'!D17</f>
      </c>
      <c r="E25" s="50">
        <f>'Data Sheet'!E17</f>
      </c>
      <c r="F25" s="50">
        <f>'Data Sheet'!F17</f>
      </c>
      <c r="G25" s="50">
        <f>'Data Sheet'!G17</f>
      </c>
      <c r="H25" s="50">
        <f>'Data Sheet'!H17</f>
      </c>
      <c r="I25" s="50">
        <f>'Data Sheet'!I17</f>
      </c>
      <c r="J25" s="50">
        <f>'Data Sheet'!J17</f>
      </c>
      <c r="K25" s="50">
        <f>'Data Sheet'!K17</f>
      </c>
      <c r="L25" s="51">
        <f>SUM('Data Sheet'!H42:K42)</f>
      </c>
    </row>
    <row r="26" spans="1:12" x14ac:dyDescent="0.25">
      <c r="A26" s="50" t="str">
        <f t="shared" ref="A26:K26" si="7">A15</f>
      </c>
      <c r="B26" s="50">
        <f t="shared" si="7"/>
      </c>
      <c r="C26" s="50">
        <f t="shared" si="7"/>
      </c>
      <c r="D26" s="50">
        <f t="shared" si="7"/>
      </c>
      <c r="E26" s="50">
        <f t="shared" si="7"/>
      </c>
      <c r="F26" s="50">
        <f t="shared" si="7"/>
      </c>
      <c r="G26" s="50">
        <f t="shared" si="7"/>
      </c>
      <c r="H26" s="50">
        <f t="shared" si="7"/>
      </c>
      <c r="I26" s="50">
        <f t="shared" si="7"/>
      </c>
      <c r="J26" s="50">
        <f t="shared" si="7"/>
      </c>
      <c r="K26" s="50">
        <f t="shared" si="7"/>
      </c>
      <c r="L26" s="51"/>
    </row>
    <row r="27" spans="1:12" x14ac:dyDescent="0.25">
      <c r="A27" s="50" t="s">
        <v>111</v>
      </c>
      <c r="B27" s="50">
        <f t="shared" ref="B27:K27" si="8">B25-B26</f>
      </c>
      <c r="C27" s="50">
        <f t="shared" si="8"/>
      </c>
      <c r="D27" s="50">
        <f t="shared" si="8"/>
      </c>
      <c r="E27" s="50">
        <f t="shared" si="8"/>
      </c>
      <c r="F27" s="50">
        <f t="shared" si="8"/>
      </c>
      <c r="G27" s="50">
        <f t="shared" si="8"/>
      </c>
      <c r="H27" s="50">
        <f t="shared" si="8"/>
      </c>
      <c r="I27" s="50">
        <f t="shared" si="8"/>
      </c>
      <c r="J27" s="50">
        <f t="shared" si="8"/>
      </c>
      <c r="K27" s="50">
        <f t="shared" si="8"/>
      </c>
      <c r="L27" s="51"/>
    </row>
    <row r="28" spans="1:12" x14ac:dyDescent="0.25">
      <c r="A28" s="50" t="s">
        <v>112</v>
      </c>
      <c r="B28" s="51">
        <f>'Data Sheet'!B17-'Data Sheet'!B18-'Data Sheet'!B20-'Data Sheet'!B21-'Data Sheet'!B22-'Data Sheet'!B23-'Data Sheet'!B24+'Data Sheet'!B25+'Data Sheet'!B19</f>
      </c>
      <c r="C28" s="51">
        <f>'Data Sheet'!C17-'Data Sheet'!C18-'Data Sheet'!C20-'Data Sheet'!C21-'Data Sheet'!C22-'Data Sheet'!C23-'Data Sheet'!C24+'Data Sheet'!C25+'Data Sheet'!C19</f>
      </c>
      <c r="D28" s="51">
        <f>'Data Sheet'!D17-'Data Sheet'!D18-'Data Sheet'!D20-'Data Sheet'!D21-'Data Sheet'!D22-'Data Sheet'!D23-'Data Sheet'!D24+'Data Sheet'!D25+'Data Sheet'!D19</f>
      </c>
      <c r="E28" s="51">
        <f>'Data Sheet'!E17-'Data Sheet'!E18-'Data Sheet'!E20-'Data Sheet'!E21-'Data Sheet'!E22-'Data Sheet'!E23-'Data Sheet'!E24+'Data Sheet'!E25+'Data Sheet'!E19</f>
      </c>
      <c r="F28" s="51">
        <f>'Data Sheet'!F17-'Data Sheet'!F18-'Data Sheet'!F20-'Data Sheet'!F21-'Data Sheet'!F22-'Data Sheet'!F23-'Data Sheet'!F24+'Data Sheet'!F25+'Data Sheet'!F19</f>
      </c>
      <c r="G28" s="51">
        <f>'Data Sheet'!G17-'Data Sheet'!G18-'Data Sheet'!G20-'Data Sheet'!G21-'Data Sheet'!G22-'Data Sheet'!G23-'Data Sheet'!G24+'Data Sheet'!G25+'Data Sheet'!G19</f>
      </c>
      <c r="H28" s="51">
        <f>'Data Sheet'!H17-'Data Sheet'!H18-'Data Sheet'!H20-'Data Sheet'!H21-'Data Sheet'!H22-'Data Sheet'!H23-'Data Sheet'!H24+'Data Sheet'!H25+'Data Sheet'!H19</f>
      </c>
      <c r="I28" s="51">
        <f>'Data Sheet'!I17-'Data Sheet'!I18-'Data Sheet'!I20-'Data Sheet'!I21-'Data Sheet'!I22-'Data Sheet'!I23-'Data Sheet'!I24+'Data Sheet'!I25+'Data Sheet'!I19</f>
      </c>
      <c r="J28" s="51">
        <f>'Data Sheet'!J17-'Data Sheet'!J18-'Data Sheet'!J20-'Data Sheet'!J21-'Data Sheet'!J22-'Data Sheet'!J23-'Data Sheet'!J24+'Data Sheet'!J25+'Data Sheet'!J19</f>
      </c>
      <c r="K28" s="51">
        <f>'Data Sheet'!K17-'Data Sheet'!K18-'Data Sheet'!K20-'Data Sheet'!K21-'Data Sheet'!K22-'Data Sheet'!K23-'Data Sheet'!K24+'Data Sheet'!K25+'Data Sheet'!K19</f>
      </c>
      <c r="L28" s="51">
        <f>'Profit &amp; Loss'!L6</f>
      </c>
    </row>
    <row r="29" spans="1:12" x14ac:dyDescent="0.25">
      <c r="A29" s="50" t="s">
        <v>113</v>
      </c>
      <c r="B29" s="50">
        <f>'Data Sheet'!B26</f>
      </c>
      <c r="C29" s="50">
        <f>'Data Sheet'!C26</f>
      </c>
      <c r="D29" s="50">
        <f>'Data Sheet'!D26</f>
      </c>
      <c r="E29" s="50">
        <f>'Data Sheet'!E26</f>
      </c>
      <c r="F29" s="50">
        <f>'Data Sheet'!F26</f>
      </c>
      <c r="G29" s="50">
        <f>'Data Sheet'!G26</f>
      </c>
      <c r="H29" s="50">
        <f>'Data Sheet'!H26</f>
      </c>
      <c r="I29" s="50">
        <f>'Data Sheet'!I26</f>
      </c>
      <c r="J29" s="50">
        <f>'Data Sheet'!J26</f>
      </c>
      <c r="K29" s="50">
        <f>'Data Sheet'!K26</f>
      </c>
      <c r="L29" s="51">
        <f>'Profit &amp; Loss'!L8</f>
      </c>
    </row>
    <row r="30" spans="1:12" x14ac:dyDescent="0.25">
      <c r="A30" s="50" t="s">
        <v>114</v>
      </c>
      <c r="B30" s="50">
        <f>B28-B29</f>
      </c>
      <c r="C30" s="50">
        <f t="shared" ref="C30:K30" si="9">C28-C29</f>
      </c>
      <c r="D30" s="50">
        <f t="shared" si="9"/>
      </c>
      <c r="E30" s="50">
        <f t="shared" si="9"/>
      </c>
      <c r="F30" s="50">
        <f t="shared" si="9"/>
      </c>
      <c r="G30" s="50">
        <f t="shared" si="9"/>
      </c>
      <c r="H30" s="50">
        <f t="shared" si="9"/>
      </c>
      <c r="I30" s="50">
        <f t="shared" si="9"/>
      </c>
      <c r="J30" s="50">
        <f t="shared" si="9"/>
      </c>
      <c r="K30" s="50">
        <f t="shared" si="9"/>
      </c>
      <c r="L30" s="50"/>
    </row>
    <row r="31" spans="1:12" x14ac:dyDescent="0.25">
      <c r="A31" s="50" t="s">
        <v>11</v>
      </c>
      <c r="B31" s="50">
        <f>'Data Sheet'!B27</f>
      </c>
      <c r="C31" s="50">
        <f>'Data Sheet'!C27</f>
      </c>
      <c r="D31" s="50">
        <f>'Data Sheet'!D27</f>
      </c>
      <c r="E31" s="50">
        <f>'Data Sheet'!E27</f>
      </c>
      <c r="F31" s="50">
        <f>'Data Sheet'!F27</f>
      </c>
      <c r="G31" s="50">
        <f>'Data Sheet'!G27</f>
      </c>
      <c r="H31" s="50">
        <f>'Data Sheet'!H27</f>
      </c>
      <c r="I31" s="50">
        <f>'Data Sheet'!I27</f>
      </c>
      <c r="J31" s="50">
        <f>'Data Sheet'!J27</f>
      </c>
      <c r="K31" s="50">
        <f>'Data Sheet'!K27</f>
      </c>
      <c r="L31" s="51">
        <f>'Profit &amp; Loss'!L9</f>
      </c>
    </row>
    <row r="32" spans="1:12" x14ac:dyDescent="0.25">
      <c r="A32" s="50" t="s">
        <v>115</v>
      </c>
      <c r="B32" s="50">
        <f>B30-B31</f>
      </c>
      <c r="C32" s="50">
        <f t="shared" ref="C32:K32" si="10">C30-C31</f>
      </c>
      <c r="D32" s="50">
        <f t="shared" si="10"/>
      </c>
      <c r="E32" s="50">
        <f t="shared" si="10"/>
      </c>
      <c r="F32" s="50">
        <f t="shared" si="10"/>
      </c>
      <c r="G32" s="50">
        <f t="shared" si="10"/>
      </c>
      <c r="H32" s="50">
        <f t="shared" si="10"/>
      </c>
      <c r="I32" s="50">
        <f t="shared" si="10"/>
      </c>
      <c r="J32" s="50">
        <f t="shared" si="10"/>
      </c>
      <c r="K32" s="50">
        <f t="shared" si="10"/>
      </c>
      <c r="L32" s="50">
        <f>'Profit &amp; Loss'!L10</f>
      </c>
    </row>
    <row r="33" spans="1:13" x14ac:dyDescent="0.25">
      <c r="A33" s="50" t="s">
        <v>13</v>
      </c>
      <c r="B33" s="50">
        <f>'Data Sheet'!B29</f>
      </c>
      <c r="C33" s="50">
        <f>'Data Sheet'!C29</f>
      </c>
      <c r="D33" s="50">
        <f>'Data Sheet'!D29</f>
      </c>
      <c r="E33" s="50">
        <f>'Data Sheet'!E29</f>
      </c>
      <c r="F33" s="50">
        <f>'Data Sheet'!F29</f>
      </c>
      <c r="G33" s="50">
        <f>'Data Sheet'!G29</f>
      </c>
      <c r="H33" s="50">
        <f>'Data Sheet'!H29</f>
      </c>
      <c r="I33" s="50">
        <f>'Data Sheet'!I29</f>
      </c>
      <c r="J33" s="50">
        <f>'Data Sheet'!J29</f>
      </c>
      <c r="K33" s="50">
        <f>'Data Sheet'!K29</f>
      </c>
      <c r="L33" s="50">
        <f>'Profit &amp; Loss'!L11</f>
      </c>
    </row>
    <row r="34" spans="1:13" x14ac:dyDescent="0.25">
      <c r="A34" s="50" t="s">
        <v>116</v>
      </c>
      <c r="B34" s="50">
        <f>B32-B33</f>
      </c>
      <c r="C34" s="50">
        <f t="shared" ref="C34:K34" si="11">C32-C33</f>
      </c>
      <c r="D34" s="50">
        <f t="shared" si="11"/>
      </c>
      <c r="E34" s="50">
        <f t="shared" si="11"/>
      </c>
      <c r="F34" s="50">
        <f t="shared" si="11"/>
      </c>
      <c r="G34" s="50">
        <f t="shared" si="11"/>
      </c>
      <c r="H34" s="50">
        <f t="shared" si="11"/>
      </c>
      <c r="I34" s="50">
        <f t="shared" si="11"/>
      </c>
      <c r="J34" s="50">
        <f t="shared" si="11"/>
      </c>
      <c r="K34" s="50">
        <f t="shared" si="11"/>
      </c>
      <c r="L34" s="50">
        <f>'Profit &amp; Loss'!L12</f>
      </c>
    </row>
    <row r="35" spans="1:13" x14ac:dyDescent="0.25">
      <c r="A35" s="50" t="s">
        <v>117</v>
      </c>
      <c r="B35" s="51">
        <f>'Data Sheet'!B31</f>
      </c>
      <c r="C35" s="51">
        <f>'Data Sheet'!C31</f>
      </c>
      <c r="D35" s="51">
        <f>'Data Sheet'!D31</f>
      </c>
      <c r="E35" s="51">
        <f>'Data Sheet'!E31</f>
      </c>
      <c r="F35" s="51">
        <f>'Data Sheet'!F31</f>
      </c>
      <c r="G35" s="51">
        <f>'Data Sheet'!G31</f>
      </c>
      <c r="H35" s="51">
        <f>'Data Sheet'!H31</f>
      </c>
      <c r="I35" s="51">
        <f>'Data Sheet'!I31</f>
      </c>
      <c r="J35" s="51">
        <f>'Data Sheet'!J31</f>
      </c>
      <c r="K35" s="51">
        <f>'Data Sheet'!K31</f>
      </c>
      <c r="L35" s="51">
        <f>'Data Sheet'!K31</f>
      </c>
    </row>
    <row r="36" spans="1:13" x14ac:dyDescent="0.25">
      <c r="A36" s="50" t="s">
        <v>118</v>
      </c>
      <c r="B36" s="260">
        <f>'Data Sheet'!B90*'Data Sheet'!B93</f>
      </c>
      <c r="C36" s="52">
        <f>'Data Sheet'!C90*'Data Sheet'!C93</f>
      </c>
      <c r="D36" s="52">
        <f>'Data Sheet'!D90*'Data Sheet'!D93</f>
      </c>
      <c r="E36" s="52">
        <f>'Data Sheet'!E90*'Data Sheet'!E93</f>
      </c>
      <c r="F36" s="52">
        <f>'Data Sheet'!F90*'Data Sheet'!F93</f>
      </c>
      <c r="G36" s="52">
        <f>'Data Sheet'!G90*'Data Sheet'!G93</f>
      </c>
      <c r="H36" s="52">
        <f>'Data Sheet'!H90*'Data Sheet'!H93</f>
      </c>
      <c r="I36" s="52">
        <f>'Data Sheet'!I90*'Data Sheet'!I93</f>
      </c>
      <c r="J36" s="52">
        <f>'Data Sheet'!J90*'Data Sheet'!J93</f>
      </c>
      <c r="K36" s="52">
        <f>'Data Sheet'!K90*'Data Sheet'!K93</f>
      </c>
      <c r="L36" s="52">
        <f>'Data Sheet'!B9</f>
      </c>
    </row>
    <row r="37" spans="1:13" x14ac:dyDescent="0.25">
      <c r="A37" s="53" t="s">
        <v>119</v>
      </c>
      <c r="B37" s="53">
        <f>'Data Sheet'!B9</f>
      </c>
      <c r="C37" s="363"/>
      <c r="D37" s="364"/>
      <c r="E37" s="364"/>
      <c r="F37" s="364"/>
      <c r="G37" s="364"/>
      <c r="H37" s="364"/>
      <c r="I37" s="364"/>
      <c r="J37" s="364"/>
      <c r="K37" s="365"/>
      <c r="L37" s="35"/>
    </row>
    <row r="38" spans="1:13" x14ac:dyDescent="0.25">
      <c r="A38" s="360"/>
      <c r="B38" s="360"/>
      <c r="C38" s="360"/>
      <c r="D38" s="360"/>
      <c r="E38" s="360"/>
      <c r="F38" s="360"/>
      <c r="G38" s="360"/>
      <c r="H38" s="360"/>
      <c r="I38" s="360"/>
      <c r="J38" s="360"/>
      <c r="K38" s="360"/>
      <c r="L38" s="35"/>
    </row>
    <row r="39" spans="1:13" x14ac:dyDescent="0.25">
      <c r="A39" s="54" t="s">
        <v>120</v>
      </c>
      <c r="B39" s="50">
        <f>'Data Sheet'!B57</f>
      </c>
      <c r="C39" s="50">
        <f>'Data Sheet'!C57</f>
      </c>
      <c r="D39" s="50">
        <f>'Data Sheet'!D57</f>
      </c>
      <c r="E39" s="50">
        <f>'Data Sheet'!E57</f>
      </c>
      <c r="F39" s="50">
        <f>'Data Sheet'!F57</f>
      </c>
      <c r="G39" s="50">
        <f>'Data Sheet'!G57</f>
      </c>
      <c r="H39" s="50">
        <f>'Data Sheet'!H57</f>
      </c>
      <c r="I39" s="50">
        <f>'Data Sheet'!I57</f>
      </c>
      <c r="J39" s="50">
        <f>'Data Sheet'!J57</f>
      </c>
      <c r="K39" s="50">
        <f>'Data Sheet'!K57</f>
      </c>
      <c r="L39" s="51">
        <f>'Data Sheet'!K57</f>
      </c>
      <c r="M39" s="55">
        <f>(K39/C39)^(1/9)-1</f>
      </c>
    </row>
    <row r="40" spans="1:13" x14ac:dyDescent="0.25">
      <c r="A40" s="54" t="s">
        <v>121</v>
      </c>
      <c r="B40" s="54">
        <f>'Data Sheet'!B58</f>
      </c>
      <c r="C40" s="54">
        <f>'Data Sheet'!C58</f>
      </c>
      <c r="D40" s="54">
        <f>'Data Sheet'!D58</f>
      </c>
      <c r="E40" s="54">
        <f>'Data Sheet'!E58</f>
      </c>
      <c r="F40" s="54">
        <f>'Data Sheet'!F58</f>
      </c>
      <c r="G40" s="54">
        <f>'Data Sheet'!G58</f>
      </c>
      <c r="H40" s="54">
        <f>'Data Sheet'!H58</f>
      </c>
      <c r="I40" s="54">
        <f>'Data Sheet'!I58</f>
      </c>
      <c r="J40" s="54">
        <f>'Data Sheet'!J58</f>
      </c>
      <c r="K40" s="54">
        <f>'Data Sheet'!K58</f>
      </c>
      <c r="L40" s="73">
        <f>'Data Sheet'!K58</f>
      </c>
    </row>
    <row r="41" spans="1:13" x14ac:dyDescent="0.25">
      <c r="A41" s="54" t="s">
        <v>122</v>
      </c>
      <c r="B41" s="50">
        <f t="shared" ref="B41:L41" si="12">B40+B39</f>
      </c>
      <c r="C41" s="50">
        <f t="shared" si="12"/>
      </c>
      <c r="D41" s="50">
        <f t="shared" si="12"/>
      </c>
      <c r="E41" s="50">
        <f t="shared" si="12"/>
      </c>
      <c r="F41" s="50">
        <f t="shared" si="12"/>
      </c>
      <c r="G41" s="50">
        <f t="shared" si="12"/>
      </c>
      <c r="H41" s="50">
        <f t="shared" si="12"/>
      </c>
      <c r="I41" s="50">
        <f t="shared" si="12"/>
      </c>
      <c r="J41" s="50">
        <f t="shared" si="12"/>
      </c>
      <c r="K41" s="50">
        <f t="shared" si="12"/>
      </c>
      <c r="L41" s="50">
        <f t="shared" si="12"/>
      </c>
    </row>
    <row r="42" spans="1:13" x14ac:dyDescent="0.25">
      <c r="A42" s="56" t="s">
        <v>123</v>
      </c>
      <c r="B42" s="57"/>
      <c r="C42" s="50"/>
      <c r="D42" s="50"/>
      <c r="E42" s="50"/>
      <c r="F42" s="50"/>
      <c r="G42" s="50"/>
      <c r="H42" s="50"/>
      <c r="I42" s="50"/>
      <c r="J42" s="50"/>
      <c r="K42" s="50"/>
      <c r="L42" s="35"/>
    </row>
    <row r="43" spans="1:13" x14ac:dyDescent="0.25">
      <c r="A43" s="56" t="s">
        <v>124</v>
      </c>
      <c r="B43" s="57"/>
      <c r="C43" s="50"/>
      <c r="D43" s="50"/>
      <c r="E43" s="50"/>
      <c r="F43" s="50"/>
      <c r="G43" s="50"/>
      <c r="H43" s="50"/>
      <c r="I43" s="50"/>
      <c r="J43" s="50"/>
      <c r="K43" s="50"/>
      <c r="L43" s="35"/>
    </row>
    <row r="44" spans="1:13" x14ac:dyDescent="0.25">
      <c r="A44" s="56" t="s">
        <v>72</v>
      </c>
      <c r="B44" s="54">
        <f>'Data Sheet'!B59</f>
      </c>
      <c r="C44" s="54">
        <f>'Data Sheet'!C59</f>
      </c>
      <c r="D44" s="54">
        <f>'Data Sheet'!D59</f>
      </c>
      <c r="E44" s="54">
        <f>'Data Sheet'!E59</f>
      </c>
      <c r="F44" s="54">
        <f>'Data Sheet'!F59</f>
      </c>
      <c r="G44" s="54">
        <f>'Data Sheet'!G59</f>
      </c>
      <c r="H44" s="54">
        <f>'Data Sheet'!H59</f>
      </c>
      <c r="I44" s="54">
        <f>'Data Sheet'!I59</f>
      </c>
      <c r="J44" s="73">
        <f>'Data Sheet'!J59</f>
      </c>
      <c r="K44" s="73">
        <f>'Data Sheet'!K59</f>
      </c>
      <c r="L44" s="73">
        <f>'Data Sheet'!K59</f>
      </c>
    </row>
    <row r="45" spans="1:13" x14ac:dyDescent="0.25">
      <c r="A45" s="56" t="s">
        <v>73</v>
      </c>
      <c r="B45" s="54">
        <f>'Data Sheet'!B60</f>
      </c>
      <c r="C45" s="54">
        <f>'Data Sheet'!C60</f>
      </c>
      <c r="D45" s="54">
        <f>'Data Sheet'!D60</f>
      </c>
      <c r="E45" s="54">
        <f>'Data Sheet'!E60</f>
      </c>
      <c r="F45" s="54">
        <f>'Data Sheet'!F60</f>
      </c>
      <c r="G45" s="54">
        <f>'Data Sheet'!G60</f>
      </c>
      <c r="H45" s="54">
        <f>'Data Sheet'!H60</f>
      </c>
      <c r="I45" s="54">
        <f>'Data Sheet'!I60</f>
      </c>
      <c r="J45" s="54">
        <f>'Data Sheet'!J60</f>
      </c>
      <c r="K45" s="54">
        <f>'Data Sheet'!K60</f>
      </c>
      <c r="L45" s="73">
        <f>'Data Sheet'!K60</f>
      </c>
    </row>
    <row r="46" spans="1:13" x14ac:dyDescent="0.25">
      <c r="A46" s="56" t="s">
        <v>125</v>
      </c>
      <c r="B46" s="54">
        <f>'Data Sheet'!B65</f>
      </c>
      <c r="C46" s="54">
        <f>'Data Sheet'!C65</f>
      </c>
      <c r="D46" s="54">
        <f>'Data Sheet'!D65</f>
      </c>
      <c r="E46" s="54">
        <f>'Data Sheet'!E65</f>
      </c>
      <c r="F46" s="54">
        <f>'Data Sheet'!F65</f>
      </c>
      <c r="G46" s="54">
        <f>'Data Sheet'!G65</f>
      </c>
      <c r="H46" s="54">
        <f>'Data Sheet'!H65</f>
      </c>
      <c r="I46" s="54">
        <f>'Data Sheet'!I65</f>
      </c>
      <c r="J46" s="54">
        <f>'Data Sheet'!J65</f>
      </c>
      <c r="K46" s="54">
        <f>'Data Sheet'!K65</f>
      </c>
      <c r="L46" s="73">
        <f>'Data Sheet'!K65</f>
      </c>
    </row>
    <row r="47" spans="1:13" x14ac:dyDescent="0.25">
      <c r="A47" s="56" t="s">
        <v>98</v>
      </c>
      <c r="B47" s="54">
        <f>'Data Sheet'!B60</f>
      </c>
      <c r="C47" s="54">
        <f>'Data Sheet'!C60</f>
      </c>
      <c r="D47" s="54">
        <f>'Data Sheet'!D60</f>
      </c>
      <c r="E47" s="54">
        <f>'Data Sheet'!E60</f>
      </c>
      <c r="F47" s="54">
        <f>'Data Sheet'!F60</f>
      </c>
      <c r="G47" s="54">
        <f>'Data Sheet'!G60</f>
      </c>
      <c r="H47" s="54">
        <f>'Data Sheet'!H60</f>
      </c>
      <c r="I47" s="54">
        <f>'Data Sheet'!I60</f>
      </c>
      <c r="J47" s="54">
        <f>'Data Sheet'!J60</f>
      </c>
      <c r="K47" s="54">
        <f>'Data Sheet'!K60</f>
      </c>
      <c r="L47" s="73">
        <f>'Data Sheet'!K60</f>
      </c>
    </row>
    <row r="48" spans="1:13" x14ac:dyDescent="0.25">
      <c r="A48" s="56" t="s">
        <v>126</v>
      </c>
      <c r="B48" s="54">
        <f>'Data Sheet'!B66</f>
      </c>
      <c r="C48" s="54">
        <f>'Data Sheet'!C66</f>
      </c>
      <c r="D48" s="54">
        <f>'Data Sheet'!D66</f>
      </c>
      <c r="E48" s="54">
        <f>'Data Sheet'!E66</f>
      </c>
      <c r="F48" s="54">
        <f>'Data Sheet'!F66</f>
      </c>
      <c r="G48" s="54">
        <f>'Data Sheet'!G66</f>
      </c>
      <c r="H48" s="54">
        <f>'Data Sheet'!H66</f>
      </c>
      <c r="I48" s="54">
        <f>'Data Sheet'!I66</f>
      </c>
      <c r="J48" s="54">
        <f>'Data Sheet'!J66</f>
      </c>
      <c r="K48" s="54">
        <f>'Data Sheet'!K66</f>
      </c>
      <c r="L48" s="73">
        <f>'Data Sheet'!K66</f>
      </c>
    </row>
    <row r="49" spans="1:12" x14ac:dyDescent="0.25">
      <c r="A49" s="50" t="s">
        <v>127</v>
      </c>
      <c r="B49" s="50">
        <f>'Data Sheet'!B62</f>
      </c>
      <c r="C49" s="50">
        <f>'Data Sheet'!C62</f>
      </c>
      <c r="D49" s="50">
        <f>'Data Sheet'!D62</f>
      </c>
      <c r="E49" s="50">
        <f>'Data Sheet'!E62</f>
      </c>
      <c r="F49" s="50">
        <f>'Data Sheet'!F62</f>
      </c>
      <c r="G49" s="50">
        <f>'Data Sheet'!G62</f>
      </c>
      <c r="H49" s="50">
        <f>'Data Sheet'!H62</f>
      </c>
      <c r="I49" s="50">
        <f>'Data Sheet'!I62</f>
      </c>
      <c r="J49" s="50">
        <f>'Data Sheet'!J62</f>
      </c>
      <c r="K49" s="50">
        <f>'Data Sheet'!K62</f>
      </c>
      <c r="L49" s="51">
        <f>'Data Sheet'!K62</f>
      </c>
    </row>
    <row r="50" spans="1:12" x14ac:dyDescent="0.25">
      <c r="A50" s="50" t="s">
        <v>28</v>
      </c>
      <c r="B50" s="51">
        <f>'Data Sheet'!B63</f>
      </c>
      <c r="C50" s="50">
        <f>'Data Sheet'!C63</f>
      </c>
      <c r="D50" s="51">
        <f>'Data Sheet'!D63</f>
      </c>
      <c r="E50" s="51">
        <f>'Data Sheet'!E63</f>
      </c>
      <c r="F50" s="51">
        <f>'Data Sheet'!F63</f>
      </c>
      <c r="G50" s="50">
        <f>'Data Sheet'!G63</f>
      </c>
      <c r="H50" s="50">
        <f>'Data Sheet'!H63</f>
      </c>
      <c r="I50" s="50">
        <f>'Data Sheet'!I63</f>
      </c>
      <c r="J50" s="51">
        <f>'Data Sheet'!J63</f>
      </c>
      <c r="K50" s="51">
        <f>'Data Sheet'!K63</f>
      </c>
      <c r="L50" s="51">
        <f>'Data Sheet'!K63</f>
      </c>
    </row>
    <row r="51" spans="1:12" x14ac:dyDescent="0.25">
      <c r="A51" s="56" t="s">
        <v>30</v>
      </c>
      <c r="B51" s="54">
        <f>'Data Sheet'!B65-'Data Sheet'!B60</f>
      </c>
      <c r="C51" s="54">
        <f>'Data Sheet'!C65-'Data Sheet'!C60</f>
      </c>
      <c r="D51" s="54">
        <f>'Data Sheet'!D65-'Data Sheet'!D60</f>
      </c>
      <c r="E51" s="54">
        <f>'Data Sheet'!E65-'Data Sheet'!E60</f>
      </c>
      <c r="F51" s="54">
        <f>'Data Sheet'!F65-'Data Sheet'!F60</f>
      </c>
      <c r="G51" s="54">
        <f>'Data Sheet'!G65-'Data Sheet'!G60</f>
      </c>
      <c r="H51" s="54">
        <f>'Data Sheet'!H65-'Data Sheet'!H60</f>
      </c>
      <c r="I51" s="54">
        <f>'Data Sheet'!I65-'Data Sheet'!I60</f>
      </c>
      <c r="J51" s="54">
        <f>'Data Sheet'!J65-'Data Sheet'!J60</f>
      </c>
      <c r="K51" s="54">
        <f>'Data Sheet'!K65-'Data Sheet'!K60</f>
      </c>
      <c r="L51" s="73">
        <f>'Data Sheet'!K65-'Data Sheet'!K60</f>
      </c>
    </row>
    <row r="52" spans="1:12" x14ac:dyDescent="0.25">
      <c r="A52" s="54" t="s">
        <v>44</v>
      </c>
      <c r="B52" s="54">
        <f>'Data Sheet'!B67</f>
      </c>
      <c r="C52" s="54">
        <f>'Data Sheet'!C67</f>
      </c>
      <c r="D52" s="54">
        <f>'Data Sheet'!D67</f>
      </c>
      <c r="E52" s="54">
        <f>'Data Sheet'!E67</f>
      </c>
      <c r="F52" s="54">
        <f>'Data Sheet'!F67</f>
      </c>
      <c r="G52" s="54">
        <f>'Data Sheet'!G67</f>
      </c>
      <c r="H52" s="54">
        <f>'Data Sheet'!H67</f>
      </c>
      <c r="I52" s="54">
        <f>'Data Sheet'!I67</f>
      </c>
      <c r="J52" s="54">
        <f>'Data Sheet'!J67</f>
      </c>
      <c r="K52" s="54">
        <f>'Data Sheet'!K67</f>
      </c>
      <c r="L52" s="73">
        <f>'Data Sheet'!K67</f>
      </c>
    </row>
    <row r="53" spans="1:12" x14ac:dyDescent="0.25">
      <c r="A53" s="54" t="s">
        <v>45</v>
      </c>
      <c r="B53" s="73">
        <f>'Data Sheet'!B68</f>
      </c>
      <c r="C53" s="73">
        <f>'Data Sheet'!C68</f>
      </c>
      <c r="D53" s="73">
        <f>'Data Sheet'!D68</f>
      </c>
      <c r="E53" s="73">
        <f>'Data Sheet'!E68</f>
      </c>
      <c r="F53" s="73">
        <f>'Data Sheet'!F68</f>
      </c>
      <c r="G53" s="73">
        <f>'Data Sheet'!G68</f>
      </c>
      <c r="H53" s="73">
        <f>'Data Sheet'!H68</f>
      </c>
      <c r="I53" s="73">
        <f>'Data Sheet'!I68</f>
      </c>
      <c r="J53" s="73">
        <f>'Data Sheet'!J68</f>
      </c>
      <c r="K53" s="73">
        <f>'Data Sheet'!K68</f>
      </c>
      <c r="L53" s="73">
        <f>'Data Sheet'!K68</f>
      </c>
    </row>
    <row r="54" spans="1:12" x14ac:dyDescent="0.25">
      <c r="A54" s="54" t="s">
        <v>128</v>
      </c>
      <c r="B54" s="54">
        <f>'Data Sheet'!B69</f>
      </c>
      <c r="C54" s="54">
        <f>'Data Sheet'!C69</f>
      </c>
      <c r="D54" s="54">
        <f>'Data Sheet'!D69</f>
      </c>
      <c r="E54" s="54">
        <f>'Data Sheet'!E69</f>
      </c>
      <c r="F54" s="54">
        <f>'Data Sheet'!F69</f>
      </c>
      <c r="G54" s="54">
        <f>'Data Sheet'!G69</f>
      </c>
      <c r="H54" s="54">
        <f>'Data Sheet'!H69</f>
      </c>
      <c r="I54" s="54">
        <f>'Data Sheet'!I69</f>
      </c>
      <c r="J54" s="54">
        <f>'Data Sheet'!J69</f>
      </c>
      <c r="K54" s="54">
        <f>'Data Sheet'!K69</f>
      </c>
      <c r="L54" s="73">
        <f>'Data Sheet'!K69</f>
      </c>
    </row>
    <row r="55" spans="1:12" x14ac:dyDescent="0.25">
      <c r="A55" s="50" t="s">
        <v>129</v>
      </c>
      <c r="B55" s="57"/>
      <c r="C55" s="50"/>
      <c r="D55" s="50"/>
      <c r="E55" s="50"/>
      <c r="F55" s="50"/>
      <c r="G55" s="50"/>
      <c r="H55" s="50"/>
      <c r="I55" s="50"/>
      <c r="J55" s="50"/>
      <c r="K55" s="50"/>
      <c r="L55" s="35"/>
    </row>
    <row r="56" spans="1:12" x14ac:dyDescent="0.25">
      <c r="A56" s="56" t="s">
        <v>130</v>
      </c>
      <c r="B56" s="50">
        <f>B41+B44</f>
      </c>
      <c r="C56" s="50">
        <f t="shared" ref="C56:L56" si="13">C41+C44</f>
      </c>
      <c r="D56" s="50">
        <f t="shared" si="13"/>
      </c>
      <c r="E56" s="50">
        <f t="shared" si="13"/>
      </c>
      <c r="F56" s="50">
        <f t="shared" si="13"/>
      </c>
      <c r="G56" s="50">
        <f t="shared" si="13"/>
      </c>
      <c r="H56" s="50">
        <f t="shared" si="13"/>
      </c>
      <c r="I56" s="50">
        <f t="shared" si="13"/>
      </c>
      <c r="J56" s="50">
        <f t="shared" si="13"/>
      </c>
      <c r="K56" s="50">
        <f t="shared" si="13"/>
      </c>
      <c r="L56" s="50">
        <f t="shared" si="13"/>
      </c>
    </row>
    <row r="57" spans="1:12" x14ac:dyDescent="0.25">
      <c r="A57" s="56" t="s">
        <v>131</v>
      </c>
      <c r="B57" s="50">
        <f>B48-B47</f>
      </c>
      <c r="C57" s="50">
        <f t="shared" ref="C57:L57" si="14">C48-C47</f>
      </c>
      <c r="D57" s="50">
        <f t="shared" si="14"/>
      </c>
      <c r="E57" s="50">
        <f t="shared" si="14"/>
      </c>
      <c r="F57" s="50">
        <f t="shared" si="14"/>
      </c>
      <c r="G57" s="50">
        <f t="shared" si="14"/>
      </c>
      <c r="H57" s="50">
        <f t="shared" si="14"/>
      </c>
      <c r="I57" s="50">
        <f t="shared" si="14"/>
      </c>
      <c r="J57" s="50">
        <f t="shared" si="14"/>
      </c>
      <c r="K57" s="50">
        <f t="shared" si="14"/>
      </c>
      <c r="L57" s="50">
        <f t="shared" si="14"/>
      </c>
    </row>
    <row r="58" spans="1:12" x14ac:dyDescent="0.25">
      <c r="A58" s="56" t="s">
        <v>132</v>
      </c>
      <c r="B58" s="50">
        <f>'Data Sheet'!B59+'Data Sheet'!B60</f>
      </c>
      <c r="C58" s="50">
        <f>'Data Sheet'!C59+'Data Sheet'!C60</f>
      </c>
      <c r="D58" s="50">
        <f>'Data Sheet'!D59+'Data Sheet'!D60</f>
      </c>
      <c r="E58" s="50">
        <f>'Data Sheet'!E59+'Data Sheet'!E60</f>
      </c>
      <c r="F58" s="50">
        <f>'Data Sheet'!F59+'Data Sheet'!F60</f>
      </c>
      <c r="G58" s="50">
        <f>'Data Sheet'!G59+'Data Sheet'!G60</f>
      </c>
      <c r="H58" s="50">
        <f>'Data Sheet'!H59+'Data Sheet'!H60</f>
      </c>
      <c r="I58" s="50">
        <f>'Data Sheet'!I59+'Data Sheet'!I60</f>
      </c>
      <c r="J58" s="51">
        <f>'Data Sheet'!J59+'Data Sheet'!J60</f>
      </c>
      <c r="K58" s="51">
        <f>'Data Sheet'!K59+'Data Sheet'!K60</f>
      </c>
      <c r="L58" s="51">
        <f>'Data Sheet'!K59+'Data Sheet'!K60</f>
      </c>
    </row>
    <row r="59" spans="1:12" x14ac:dyDescent="0.25">
      <c r="A59" s="57" t="s">
        <v>126</v>
      </c>
      <c r="B59" s="58">
        <f>'Data Sheet'!B66</f>
      </c>
      <c r="C59" s="58">
        <f>'Data Sheet'!C66</f>
      </c>
      <c r="D59" s="58">
        <f>'Data Sheet'!D66</f>
      </c>
      <c r="E59" s="58">
        <f>'Data Sheet'!E66</f>
      </c>
      <c r="F59" s="58">
        <f>'Data Sheet'!F66</f>
      </c>
      <c r="G59" s="58">
        <f>'Data Sheet'!G66</f>
      </c>
      <c r="H59" s="58">
        <f>'Data Sheet'!H66</f>
      </c>
      <c r="I59" s="58">
        <f>'Data Sheet'!I66</f>
      </c>
      <c r="J59" s="58">
        <f>'Data Sheet'!J66</f>
      </c>
      <c r="K59" s="58">
        <f>'Data Sheet'!K66</f>
      </c>
      <c r="L59" s="74">
        <f>'Data Sheet'!K66</f>
      </c>
    </row>
    <row r="60" spans="1:12" x14ac:dyDescent="0.25">
      <c r="A60" s="366"/>
      <c r="B60" s="366"/>
      <c r="C60" s="366"/>
      <c r="D60" s="366"/>
      <c r="E60" s="366"/>
      <c r="F60" s="366"/>
      <c r="G60" s="366"/>
      <c r="H60" s="366"/>
      <c r="I60" s="366"/>
      <c r="J60" s="366"/>
      <c r="K60" s="366"/>
      <c r="L60" s="35"/>
    </row>
    <row r="61" spans="1:12" x14ac:dyDescent="0.25">
      <c r="A61" s="54" t="s">
        <v>133</v>
      </c>
      <c r="B61" s="50">
        <f>'Data Sheet'!B82</f>
      </c>
      <c r="C61" s="50">
        <f>'Data Sheet'!C82</f>
      </c>
      <c r="D61" s="50">
        <f>'Data Sheet'!D82</f>
      </c>
      <c r="E61" s="50">
        <f>'Data Sheet'!E82</f>
      </c>
      <c r="F61" s="50">
        <f>'Data Sheet'!F82</f>
      </c>
      <c r="G61" s="50">
        <f>'Data Sheet'!G82</f>
      </c>
      <c r="H61" s="50">
        <f>'Data Sheet'!H82</f>
      </c>
      <c r="I61" s="50">
        <f>'Data Sheet'!I82</f>
      </c>
      <c r="J61" s="50">
        <f>'Data Sheet'!J82</f>
      </c>
      <c r="K61" s="50">
        <f>'Data Sheet'!K82</f>
      </c>
      <c r="L61" s="51">
        <f>'Data Sheet'!K82</f>
      </c>
    </row>
    <row r="62" spans="1:12" x14ac:dyDescent="0.25">
      <c r="A62" s="54" t="s">
        <v>134</v>
      </c>
      <c r="B62" s="59">
        <f t="shared" ref="B62:L62" si="15">B61-B23</f>
      </c>
      <c r="C62" s="59">
        <f t="shared" si="15"/>
      </c>
      <c r="D62" s="59">
        <f t="shared" si="15"/>
      </c>
      <c r="E62" s="59">
        <f t="shared" si="15"/>
      </c>
      <c r="F62" s="59">
        <f t="shared" si="15"/>
      </c>
      <c r="G62" s="59">
        <f t="shared" si="15"/>
      </c>
      <c r="H62" s="59">
        <f t="shared" si="15"/>
      </c>
      <c r="I62" s="59">
        <f t="shared" si="15"/>
      </c>
      <c r="J62" s="59">
        <f t="shared" si="15"/>
      </c>
      <c r="K62" s="59">
        <f t="shared" si="15"/>
      </c>
      <c r="L62" s="59">
        <f t="shared" si="15"/>
      </c>
    </row>
    <row r="63" spans="1:12" x14ac:dyDescent="0.25">
      <c r="A63" s="54" t="s">
        <v>135</v>
      </c>
      <c r="B63" s="60">
        <f>B33/B32</f>
      </c>
      <c r="C63" s="60">
        <f t="shared" ref="C63:L63" si="16">C33/C32</f>
      </c>
      <c r="D63" s="60">
        <f t="shared" si="16"/>
      </c>
      <c r="E63" s="60">
        <f t="shared" si="16"/>
      </c>
      <c r="F63" s="60">
        <f t="shared" si="16"/>
      </c>
      <c r="G63" s="60">
        <f t="shared" si="16"/>
      </c>
      <c r="H63" s="60">
        <f t="shared" si="16"/>
      </c>
      <c r="I63" s="60">
        <f t="shared" si="16"/>
      </c>
      <c r="J63" s="60">
        <f t="shared" si="16"/>
      </c>
      <c r="K63" s="60">
        <f t="shared" si="16"/>
      </c>
      <c r="L63" s="60">
        <f t="shared" si="16"/>
      </c>
    </row>
    <row r="64" spans="1:12" x14ac:dyDescent="0.25">
      <c r="A64" s="54" t="s">
        <v>136</v>
      </c>
      <c r="B64" s="59">
        <f t="shared" ref="B64:L64" si="17">B30*(1-B63)</f>
      </c>
      <c r="C64" s="59">
        <f t="shared" si="17"/>
      </c>
      <c r="D64" s="59">
        <f t="shared" si="17"/>
      </c>
      <c r="E64" s="59">
        <f t="shared" si="17"/>
      </c>
      <c r="F64" s="59">
        <f t="shared" si="17"/>
      </c>
      <c r="G64" s="59">
        <f t="shared" si="17"/>
      </c>
      <c r="H64" s="59">
        <f t="shared" si="17"/>
      </c>
      <c r="I64" s="59">
        <f t="shared" si="17"/>
      </c>
      <c r="J64" s="59">
        <f t="shared" si="17"/>
      </c>
      <c r="K64" s="59">
        <f t="shared" si="17"/>
      </c>
      <c r="L64" s="59">
        <f t="shared" si="17"/>
      </c>
    </row>
    <row r="65" spans="1:12" x14ac:dyDescent="0.25">
      <c r="A65" s="359"/>
      <c r="B65" s="359"/>
      <c r="C65" s="359"/>
      <c r="D65" s="359"/>
      <c r="E65" s="359"/>
      <c r="F65" s="359"/>
      <c r="G65" s="359"/>
      <c r="H65" s="359"/>
      <c r="I65" s="359"/>
      <c r="J65" s="359"/>
      <c r="K65" s="359"/>
      <c r="L65" s="35"/>
    </row>
    <row r="66" spans="1:12" x14ac:dyDescent="0.25">
      <c r="A66" s="61" t="s">
        <v>137</v>
      </c>
      <c r="C66" s="62">
        <f t="shared" ref="C66:L66" si="18">C36+B35</f>
      </c>
      <c r="D66" s="62">
        <f t="shared" si="18"/>
      </c>
      <c r="E66" s="62">
        <f t="shared" si="18"/>
      </c>
      <c r="F66" s="62">
        <f t="shared" si="18"/>
      </c>
      <c r="G66" s="62">
        <f t="shared" si="18"/>
      </c>
      <c r="H66" s="62">
        <f t="shared" si="18"/>
      </c>
      <c r="I66" s="62">
        <f t="shared" si="18"/>
      </c>
      <c r="J66" s="62">
        <f t="shared" si="18"/>
      </c>
      <c r="K66" s="62">
        <f t="shared" si="18"/>
      </c>
      <c r="L66" s="62">
        <f t="shared" si="18"/>
      </c>
    </row>
    <row r="67" spans="1:12" x14ac:dyDescent="0.25">
      <c r="A67" s="44" t="s">
        <v>138</v>
      </c>
      <c r="B67" s="62">
        <f t="shared" ref="B67:L67" si="19">B34-B35</f>
      </c>
      <c r="C67" s="62">
        <f t="shared" si="19"/>
      </c>
      <c r="D67" s="62">
        <f t="shared" si="19"/>
      </c>
      <c r="E67" s="62">
        <f t="shared" si="19"/>
      </c>
      <c r="F67" s="62">
        <f t="shared" si="19"/>
      </c>
      <c r="G67" s="62">
        <f t="shared" si="19"/>
      </c>
      <c r="H67" s="62">
        <f t="shared" si="19"/>
      </c>
      <c r="I67" s="62">
        <f t="shared" si="19"/>
      </c>
      <c r="J67" s="62">
        <f t="shared" si="19"/>
      </c>
      <c r="K67" s="62">
        <f t="shared" si="19"/>
      </c>
      <c r="L67" s="62">
        <f t="shared" si="19"/>
      </c>
    </row>
    <row r="68" spans="1:12" x14ac:dyDescent="0.25">
      <c r="A68" s="360"/>
      <c r="B68" s="360"/>
      <c r="C68" s="360"/>
      <c r="D68" s="360"/>
      <c r="E68" s="360"/>
      <c r="F68" s="360"/>
      <c r="G68" s="360"/>
      <c r="H68" s="360"/>
      <c r="I68" s="360"/>
      <c r="J68" s="360"/>
      <c r="K68" s="360"/>
      <c r="L68" s="35"/>
    </row>
    <row r="69" spans="1:12" x14ac:dyDescent="0.25">
      <c r="A69" s="63" t="s">
        <v>139</v>
      </c>
      <c r="B69" s="64"/>
      <c r="C69" s="64">
        <f>'Profit &amp; Loss'!C15/'Profit &amp; Loss'!C13</f>
      </c>
      <c r="D69" s="64">
        <f>'Profit &amp; Loss'!D15/'Profit &amp; Loss'!D13</f>
      </c>
      <c r="E69" s="64">
        <f>'Profit &amp; Loss'!E15/'Profit &amp; Loss'!E13</f>
      </c>
      <c r="F69" s="64">
        <f>'Profit &amp; Loss'!F15/'Profit &amp; Loss'!F13</f>
      </c>
      <c r="G69" s="64">
        <f>'Profit &amp; Loss'!G15/'Profit &amp; Loss'!G13</f>
      </c>
      <c r="H69" s="64">
        <f>'Profit &amp; Loss'!H15/'Profit &amp; Loss'!H13</f>
      </c>
      <c r="I69" s="64">
        <f>'Profit &amp; Loss'!I15/'Profit &amp; Loss'!I13</f>
      </c>
      <c r="J69" s="64">
        <f>'Profit &amp; Loss'!J15/'Profit &amp; Loss'!J13</f>
      </c>
      <c r="K69" s="64">
        <f>'Profit &amp; Loss'!K15/'Profit &amp; Loss'!K13</f>
      </c>
      <c r="L69" s="64">
        <f>'Profit &amp; Loss'!L15/'Profit &amp; Loss'!L13</f>
      </c>
    </row>
    <row r="70" spans="1:12" x14ac:dyDescent="0.25">
      <c r="A70" s="63" t="s">
        <v>140</v>
      </c>
      <c r="B70" s="63"/>
      <c r="C70" s="64"/>
      <c r="D70" s="64">
        <f>D69/((('Profit &amp; Loss'!D13-'Profit &amp; Loss'!C13)/'Profit &amp; Loss'!C13)*100)</f>
      </c>
      <c r="E70" s="64">
        <f>E69/((('Profit &amp; Loss'!E13-'Profit &amp; Loss'!D13)/'Profit &amp; Loss'!D13)*100)</f>
      </c>
      <c r="F70" s="64">
        <f>F69/((('Profit &amp; Loss'!F13-'Profit &amp; Loss'!E13)/'Profit &amp; Loss'!E13)*100)</f>
      </c>
      <c r="G70" s="64">
        <f>G69/((('Profit &amp; Loss'!G13-'Profit &amp; Loss'!F13)/'Profit &amp; Loss'!F13)*100)</f>
      </c>
      <c r="H70" s="64">
        <f>H69/((('Profit &amp; Loss'!H13-'Profit &amp; Loss'!G13)/'Profit &amp; Loss'!G13)*100)</f>
      </c>
      <c r="I70" s="64">
        <f>I69/((('Profit &amp; Loss'!I13-'Profit &amp; Loss'!H13)/'Profit &amp; Loss'!H13)*100)</f>
      </c>
      <c r="J70" s="64">
        <f>J69/((('Profit &amp; Loss'!J13-'Profit &amp; Loss'!I13)/'Profit &amp; Loss'!I13)*100)</f>
      </c>
      <c r="K70" s="64">
        <f>K69/((('Profit &amp; Loss'!K13-'Profit &amp; Loss'!J13)/'Profit &amp; Loss'!J13)*100)</f>
      </c>
      <c r="L70" s="64">
        <f>L69/((('Profit &amp; Loss'!K13-'Profit &amp; Loss'!J13)/'Profit &amp; Loss'!J13)*100)</f>
      </c>
    </row>
    <row r="71" spans="1:12" x14ac:dyDescent="0.25">
      <c r="A71" s="54" t="s">
        <v>141</v>
      </c>
      <c r="C71" s="65">
        <f>C36/C41</f>
      </c>
      <c r="D71" s="65">
        <f t="shared" ref="D71:L71" si="20">D36/D41</f>
      </c>
      <c r="E71" s="65">
        <f t="shared" si="20"/>
      </c>
      <c r="F71" s="65">
        <f t="shared" si="20"/>
      </c>
      <c r="G71" s="65">
        <f t="shared" si="20"/>
      </c>
      <c r="H71" s="65">
        <f t="shared" si="20"/>
      </c>
      <c r="I71" s="65">
        <f t="shared" si="20"/>
      </c>
      <c r="J71" s="65">
        <f t="shared" si="20"/>
      </c>
      <c r="K71" s="65">
        <f t="shared" si="20"/>
      </c>
      <c r="L71" s="65">
        <f t="shared" si="20"/>
      </c>
    </row>
    <row r="72" spans="1:12" x14ac:dyDescent="0.25">
      <c r="A72" s="57" t="s">
        <v>142</v>
      </c>
      <c r="B72" s="59"/>
      <c r="C72" s="59">
        <f>C36/C61</f>
      </c>
      <c r="D72" s="59">
        <f t="shared" ref="D72:L72" si="21">D36/D61</f>
      </c>
      <c r="E72" s="59">
        <f t="shared" si="21"/>
      </c>
      <c r="F72" s="59">
        <f t="shared" si="21"/>
      </c>
      <c r="G72" s="59">
        <f t="shared" si="21"/>
      </c>
      <c r="H72" s="59">
        <f t="shared" si="21"/>
      </c>
      <c r="I72" s="59">
        <f t="shared" si="21"/>
      </c>
      <c r="J72" s="59">
        <f t="shared" si="21"/>
      </c>
      <c r="K72" s="59">
        <f t="shared" si="21"/>
      </c>
      <c r="L72" s="59">
        <f t="shared" si="21"/>
      </c>
    </row>
    <row r="73" spans="1:12" x14ac:dyDescent="0.25">
      <c r="A73" s="57" t="s">
        <v>143</v>
      </c>
      <c r="B73" s="59"/>
      <c r="C73" s="59">
        <f>C36/C62</f>
      </c>
      <c r="D73" s="59">
        <f t="shared" ref="D73:L73" si="22">D36/D62</f>
      </c>
      <c r="E73" s="59">
        <f t="shared" si="22"/>
      </c>
      <c r="F73" s="59">
        <f t="shared" si="22"/>
      </c>
      <c r="G73" s="59">
        <f t="shared" si="22"/>
      </c>
      <c r="H73" s="59">
        <f t="shared" si="22"/>
      </c>
      <c r="I73" s="59">
        <f t="shared" si="22"/>
      </c>
      <c r="J73" s="59">
        <f t="shared" si="22"/>
      </c>
      <c r="K73" s="59">
        <f t="shared" si="22"/>
      </c>
      <c r="L73" s="59">
        <f t="shared" si="22"/>
      </c>
    </row>
    <row r="74" spans="1:12" x14ac:dyDescent="0.25">
      <c r="A74" s="57" t="s">
        <v>144</v>
      </c>
      <c r="B74" s="59"/>
      <c r="C74" s="59">
        <f>C36/C25</f>
      </c>
      <c r="D74" s="59">
        <f t="shared" ref="D74:L74" si="23">D36/D25</f>
      </c>
      <c r="E74" s="59">
        <f t="shared" si="23"/>
      </c>
      <c r="F74" s="59">
        <f t="shared" si="23"/>
      </c>
      <c r="G74" s="59">
        <f t="shared" si="23"/>
      </c>
      <c r="H74" s="59">
        <f t="shared" si="23"/>
      </c>
      <c r="I74" s="59">
        <f t="shared" si="23"/>
      </c>
      <c r="J74" s="59">
        <f t="shared" si="23"/>
      </c>
      <c r="K74" s="59">
        <f t="shared" si="23"/>
      </c>
      <c r="L74" s="59">
        <f t="shared" si="23"/>
      </c>
    </row>
    <row r="75" spans="1:12" x14ac:dyDescent="0.25">
      <c r="A75" s="57" t="s">
        <v>145</v>
      </c>
      <c r="B75" s="59"/>
      <c r="C75" s="59">
        <f>(C36+C44-C8)/C28</f>
      </c>
      <c r="D75" s="59">
        <f t="shared" ref="D75:K75" si="24">(D36+D44-D8)/D28</f>
      </c>
      <c r="E75" s="59">
        <f t="shared" si="24"/>
      </c>
      <c r="F75" s="59">
        <f t="shared" si="24"/>
      </c>
      <c r="G75" s="59">
        <f t="shared" si="24"/>
      </c>
      <c r="H75" s="59">
        <f t="shared" si="24"/>
      </c>
      <c r="I75" s="59">
        <f t="shared" si="24"/>
      </c>
      <c r="J75" s="59">
        <f t="shared" si="24"/>
      </c>
      <c r="K75" s="59">
        <f t="shared" si="24"/>
      </c>
      <c r="L75" s="325">
        <f>(L36+L44-L8)/L28</f>
      </c>
    </row>
    <row r="76" spans="1:12" x14ac:dyDescent="0.25">
      <c r="A76" s="50" t="s">
        <v>146</v>
      </c>
      <c r="B76" s="66"/>
      <c r="C76" s="66">
        <f>C35/C36</f>
      </c>
      <c r="D76" s="66">
        <f t="shared" ref="D76:L76" si="25">D35/D36</f>
      </c>
      <c r="E76" s="66">
        <f t="shared" si="25"/>
      </c>
      <c r="F76" s="66">
        <f t="shared" si="25"/>
      </c>
      <c r="G76" s="66">
        <f t="shared" si="25"/>
      </c>
      <c r="H76" s="66">
        <f t="shared" si="25"/>
      </c>
      <c r="I76" s="66">
        <f t="shared" si="25"/>
      </c>
      <c r="J76" s="66">
        <f t="shared" si="25"/>
      </c>
      <c r="K76" s="66">
        <f t="shared" si="25"/>
      </c>
      <c r="L76" s="66">
        <f t="shared" si="25"/>
      </c>
    </row>
    <row r="77" spans="1:12" x14ac:dyDescent="0.25">
      <c r="A77" s="67" t="s">
        <v>147</v>
      </c>
      <c r="B77" s="68"/>
      <c r="C77" s="69">
        <f>C36+C8-C44</f>
      </c>
      <c r="D77" s="69">
        <f t="shared" ref="D77:L77" si="26">D36+D8-D44</f>
      </c>
      <c r="E77" s="69">
        <f t="shared" si="26"/>
      </c>
      <c r="F77" s="69">
        <f t="shared" si="26"/>
      </c>
      <c r="G77" s="69">
        <f t="shared" si="26"/>
      </c>
      <c r="H77" s="69">
        <f t="shared" si="26"/>
      </c>
      <c r="I77" s="69">
        <f t="shared" si="26"/>
      </c>
      <c r="J77" s="69">
        <f t="shared" si="26"/>
      </c>
      <c r="K77" s="69">
        <f t="shared" si="26"/>
      </c>
      <c r="L77" s="69">
        <f t="shared" si="26"/>
      </c>
    </row>
    <row r="78" spans="1:12" x14ac:dyDescent="0.25">
      <c r="A78" s="359"/>
      <c r="B78" s="359"/>
      <c r="C78" s="359"/>
      <c r="D78" s="359"/>
      <c r="E78" s="359"/>
      <c r="F78" s="359"/>
      <c r="G78" s="359"/>
      <c r="H78" s="359"/>
      <c r="I78" s="359"/>
      <c r="J78" s="359"/>
      <c r="K78" s="359"/>
      <c r="L78" s="35" t="s">
        <v>148</v>
      </c>
    </row>
    <row r="79" spans="1:12" x14ac:dyDescent="0.25">
      <c r="A79" s="50" t="s">
        <v>149</v>
      </c>
      <c r="B79" s="59">
        <f t="shared" ref="B79" si="27">B51/B59</f>
      </c>
      <c r="C79" s="59">
        <f t="shared" ref="C79:K79" si="28">C51/C59</f>
      </c>
      <c r="D79" s="59">
        <f t="shared" si="28"/>
      </c>
      <c r="E79" s="59">
        <f t="shared" si="28"/>
      </c>
      <c r="F79" s="59">
        <f t="shared" si="28"/>
      </c>
      <c r="G79" s="59">
        <f t="shared" si="28"/>
      </c>
      <c r="H79" s="59">
        <f t="shared" si="28"/>
      </c>
      <c r="I79" s="59">
        <f t="shared" si="28"/>
      </c>
      <c r="J79" s="59">
        <f t="shared" si="28"/>
      </c>
      <c r="K79" s="59">
        <f t="shared" si="28"/>
      </c>
      <c r="L79" s="50">
        <v>1.2</v>
      </c>
    </row>
    <row r="80" spans="1:12" x14ac:dyDescent="0.25">
      <c r="A80" s="50" t="s">
        <v>150</v>
      </c>
      <c r="B80" s="59">
        <f t="shared" ref="B80" si="29">B67/B59</f>
      </c>
      <c r="C80" s="59">
        <f t="shared" ref="C80:K80" si="30">C67/C59</f>
      </c>
      <c r="D80" s="59">
        <f t="shared" si="30"/>
      </c>
      <c r="E80" s="59">
        <f t="shared" si="30"/>
      </c>
      <c r="F80" s="59">
        <f t="shared" si="30"/>
      </c>
      <c r="G80" s="59">
        <f t="shared" si="30"/>
      </c>
      <c r="H80" s="59">
        <f t="shared" si="30"/>
      </c>
      <c r="I80" s="59">
        <f t="shared" si="30"/>
      </c>
      <c r="J80" s="59">
        <f t="shared" si="30"/>
      </c>
      <c r="K80" s="59">
        <f t="shared" si="30"/>
      </c>
      <c r="L80" s="50">
        <v>1.4</v>
      </c>
    </row>
    <row r="81" spans="1:12" x14ac:dyDescent="0.25">
      <c r="A81" s="50" t="s">
        <v>151</v>
      </c>
      <c r="B81" s="59">
        <f t="shared" ref="B81" si="31">B30/B59</f>
      </c>
      <c r="C81" s="59">
        <f t="shared" ref="C81:K81" si="32">C30/C59</f>
      </c>
      <c r="D81" s="59">
        <f t="shared" si="32"/>
      </c>
      <c r="E81" s="59">
        <f t="shared" si="32"/>
      </c>
      <c r="F81" s="59">
        <f t="shared" si="32"/>
      </c>
      <c r="G81" s="59">
        <f t="shared" si="32"/>
      </c>
      <c r="H81" s="59">
        <f t="shared" si="32"/>
      </c>
      <c r="I81" s="59">
        <f t="shared" si="32"/>
      </c>
      <c r="J81" s="59">
        <f t="shared" si="32"/>
      </c>
      <c r="K81" s="59">
        <f t="shared" si="32"/>
      </c>
      <c r="L81" s="50">
        <v>3.3</v>
      </c>
    </row>
    <row r="82" spans="1:12" x14ac:dyDescent="0.25">
      <c r="A82" s="50" t="s">
        <v>152</v>
      </c>
      <c r="B82" s="59">
        <f>B36/B58</f>
      </c>
      <c r="C82" s="59">
        <f>C36/C58</f>
      </c>
      <c r="D82" s="59">
        <f t="shared" ref="D82:K82" si="33">D36/D58</f>
      </c>
      <c r="E82" s="59">
        <f t="shared" si="33"/>
      </c>
      <c r="F82" s="59">
        <f t="shared" si="33"/>
      </c>
      <c r="G82" s="59">
        <f t="shared" si="33"/>
      </c>
      <c r="H82" s="59">
        <f t="shared" si="33"/>
      </c>
      <c r="I82" s="59">
        <f t="shared" si="33"/>
      </c>
      <c r="J82" s="59">
        <f t="shared" si="33"/>
      </c>
      <c r="K82" s="59">
        <f t="shared" si="33"/>
      </c>
      <c r="L82" s="59">
        <f>L36/L58</f>
      </c>
    </row>
    <row r="83" spans="1:12" x14ac:dyDescent="0.25">
      <c r="A83" s="50" t="s">
        <v>153</v>
      </c>
      <c r="B83" s="59">
        <f t="shared" ref="B83" si="34">B25/B59</f>
      </c>
      <c r="C83" s="59">
        <f t="shared" ref="C83:K83" si="35">C25/C59</f>
      </c>
      <c r="D83" s="59">
        <f t="shared" si="35"/>
      </c>
      <c r="E83" s="59">
        <f t="shared" si="35"/>
      </c>
      <c r="F83" s="59">
        <f t="shared" si="35"/>
      </c>
      <c r="G83" s="59">
        <f t="shared" si="35"/>
      </c>
      <c r="H83" s="59">
        <f t="shared" si="35"/>
      </c>
      <c r="I83" s="59">
        <f t="shared" si="35"/>
      </c>
      <c r="J83" s="59">
        <f t="shared" si="35"/>
      </c>
      <c r="K83" s="59">
        <f t="shared" si="35"/>
      </c>
      <c r="L83" s="50">
        <v>1</v>
      </c>
    </row>
    <row r="84" spans="1:12" x14ac:dyDescent="0.25">
      <c r="A84" s="56" t="s">
        <v>154</v>
      </c>
      <c r="B84" s="59">
        <f t="shared" ref="B84" si="36">$L$79*B79+$L$80*B80+$L$81*B81+$K$82*B82+$L$83*B83</f>
      </c>
      <c r="C84" s="59">
        <f t="shared" ref="C84:K84" si="37">$L$79*C79+$L$80*C80+$L$81*C81+$K$82*C82+$L$83*C83</f>
      </c>
      <c r="D84" s="59">
        <f t="shared" si="37"/>
      </c>
      <c r="E84" s="59">
        <f t="shared" si="37"/>
      </c>
      <c r="F84" s="59">
        <f t="shared" si="37"/>
      </c>
      <c r="G84" s="59">
        <f t="shared" si="37"/>
      </c>
      <c r="H84" s="59">
        <f t="shared" si="37"/>
      </c>
      <c r="I84" s="59">
        <f t="shared" si="37"/>
      </c>
      <c r="J84" s="59">
        <f t="shared" si="37"/>
      </c>
      <c r="K84" s="59">
        <f t="shared" si="37"/>
      </c>
      <c r="L84" s="59">
        <f>$L$79*K79+$L$80*K80+$L$81*K81+$K$82*K82+$L$83*K83</f>
      </c>
    </row>
    <row r="85" spans="1:12" x14ac:dyDescent="0.25">
      <c r="A85" s="35" t="s">
        <v>155</v>
      </c>
      <c r="B85" s="35"/>
      <c r="C85" s="35"/>
      <c r="D85" s="35"/>
      <c r="E85" s="35"/>
      <c r="F85" s="35"/>
      <c r="G85" s="35"/>
      <c r="H85" s="35"/>
      <c r="I85" s="35"/>
      <c r="J85" s="35"/>
      <c r="K85" s="35"/>
      <c r="L85" s="35"/>
    </row>
    <row r="86" spans="1:12" x14ac:dyDescent="0.25">
      <c r="A86" s="35" t="s">
        <v>156</v>
      </c>
      <c r="B86" s="35"/>
      <c r="C86" s="35"/>
      <c r="D86" s="35"/>
      <c r="E86" s="35"/>
      <c r="F86" s="35"/>
      <c r="G86" s="35"/>
      <c r="H86" s="35"/>
      <c r="I86" s="35"/>
      <c r="J86" s="35"/>
      <c r="K86" s="35"/>
      <c r="L86" s="35"/>
    </row>
    <row r="87" spans="1:12" x14ac:dyDescent="0.25">
      <c r="A87" s="35" t="s">
        <v>157</v>
      </c>
      <c r="B87" s="35"/>
      <c r="C87" s="35"/>
      <c r="D87" s="35"/>
      <c r="E87" s="35"/>
      <c r="F87" s="35"/>
      <c r="G87" s="35"/>
      <c r="H87" s="35"/>
      <c r="I87" s="35"/>
      <c r="J87" s="35"/>
      <c r="K87" s="35"/>
      <c r="L87" s="35"/>
    </row>
    <row r="88" spans="1:12" x14ac:dyDescent="0.25">
      <c r="A88" s="35"/>
      <c r="B88" s="35"/>
      <c r="C88" s="35"/>
      <c r="D88" s="35"/>
      <c r="E88" s="35"/>
      <c r="F88" s="35"/>
      <c r="G88" s="35"/>
      <c r="H88" s="35"/>
      <c r="I88" s="35"/>
      <c r="J88" s="35"/>
      <c r="K88" s="35"/>
      <c r="L88" s="35"/>
    </row>
    <row r="89" spans="1:12" x14ac:dyDescent="0.25">
      <c r="A89" s="35"/>
      <c r="B89" s="35"/>
      <c r="C89" s="35"/>
      <c r="D89" s="35"/>
      <c r="E89" s="35"/>
      <c r="F89" s="35"/>
      <c r="G89" s="35"/>
      <c r="H89" s="35"/>
      <c r="I89" s="35"/>
      <c r="J89" s="35"/>
      <c r="K89" s="35"/>
      <c r="L89" s="35"/>
    </row>
    <row r="90" spans="1:12" x14ac:dyDescent="0.25">
      <c r="A90" s="35"/>
      <c r="B90" s="35"/>
      <c r="C90" s="35"/>
      <c r="D90" s="35"/>
      <c r="E90" s="35"/>
      <c r="F90" s="35"/>
      <c r="G90" s="35"/>
      <c r="H90" s="35"/>
      <c r="I90" s="35"/>
      <c r="J90" s="35"/>
      <c r="K90" s="35"/>
      <c r="L90" s="35"/>
    </row>
    <row r="91" spans="1:12" x14ac:dyDescent="0.25">
      <c r="A91" s="35"/>
      <c r="B91" s="35"/>
      <c r="C91" s="35"/>
      <c r="D91" s="35"/>
      <c r="E91" s="35"/>
      <c r="F91" s="35"/>
      <c r="G91" s="35"/>
      <c r="H91" s="35"/>
      <c r="I91" s="35"/>
      <c r="J91" s="35"/>
      <c r="K91" s="35"/>
      <c r="L91" s="35"/>
    </row>
    <row r="92" spans="1:12" x14ac:dyDescent="0.25">
      <c r="A92" s="35"/>
      <c r="B92" s="35"/>
      <c r="C92" s="35"/>
      <c r="D92" s="35"/>
      <c r="E92" s="35"/>
      <c r="F92" s="35"/>
      <c r="G92" s="35"/>
      <c r="H92" s="35"/>
      <c r="I92" s="35"/>
      <c r="J92" s="35"/>
      <c r="K92" s="35"/>
      <c r="L92" s="35"/>
    </row>
    <row r="93" spans="1:12" x14ac:dyDescent="0.25">
      <c r="A93" s="35"/>
      <c r="B93" s="35"/>
      <c r="C93" s="35"/>
      <c r="D93" s="35"/>
      <c r="E93" s="35"/>
      <c r="F93" s="35"/>
      <c r="G93" s="35"/>
      <c r="H93" s="35"/>
      <c r="I93" s="35"/>
      <c r="J93" s="35"/>
      <c r="K93" s="35"/>
      <c r="L93" s="35"/>
    </row>
    <row r="94" spans="1:12" x14ac:dyDescent="0.25">
      <c r="A94" s="35"/>
      <c r="B94" s="35"/>
      <c r="C94" s="35"/>
      <c r="D94" s="35"/>
      <c r="E94" s="35"/>
      <c r="F94" s="35"/>
      <c r="G94" s="35"/>
      <c r="H94" s="35"/>
      <c r="I94" s="35"/>
      <c r="J94" s="35"/>
      <c r="K94" s="35"/>
      <c r="L94" s="35"/>
    </row>
    <row r="95" spans="1:12" x14ac:dyDescent="0.25">
      <c r="A95" s="35"/>
      <c r="B95" s="35"/>
      <c r="C95" s="35"/>
      <c r="D95" s="35"/>
      <c r="E95" s="35"/>
      <c r="F95" s="35"/>
      <c r="G95" s="35"/>
      <c r="H95" s="35"/>
      <c r="I95" s="35"/>
      <c r="J95" s="35"/>
      <c r="K95" s="35"/>
      <c r="L95" s="35"/>
    </row>
    <row r="96" spans="1:12" x14ac:dyDescent="0.25">
      <c r="A96" s="35"/>
      <c r="B96" s="35"/>
      <c r="C96" s="35"/>
      <c r="D96" s="35"/>
      <c r="E96" s="35"/>
      <c r="F96" s="35"/>
      <c r="G96" s="35"/>
      <c r="H96" s="35"/>
      <c r="I96" s="35"/>
      <c r="J96" s="35"/>
      <c r="K96" s="35"/>
      <c r="L96" s="35"/>
    </row>
    <row r="97" spans="1:12" x14ac:dyDescent="0.25">
      <c r="A97" s="35"/>
      <c r="B97" s="35"/>
      <c r="C97" s="35"/>
      <c r="D97" s="35"/>
      <c r="E97" s="35"/>
      <c r="F97" s="35"/>
      <c r="G97" s="35"/>
      <c r="H97" s="35"/>
      <c r="I97" s="35"/>
      <c r="J97" s="35"/>
      <c r="K97" s="35"/>
      <c r="L97" s="35"/>
    </row>
    <row r="98" spans="1:12" x14ac:dyDescent="0.25">
      <c r="A98" s="35"/>
      <c r="B98" s="35"/>
      <c r="C98" s="35"/>
      <c r="D98" s="35"/>
      <c r="E98" s="35"/>
      <c r="F98" s="35"/>
      <c r="G98" s="35"/>
      <c r="H98" s="35"/>
      <c r="I98" s="35"/>
      <c r="J98" s="35"/>
      <c r="K98" s="35"/>
      <c r="L98" s="35"/>
    </row>
    <row r="99" spans="1:12" x14ac:dyDescent="0.25">
      <c r="A99" s="35"/>
      <c r="B99" s="35"/>
      <c r="C99" s="35"/>
      <c r="D99" s="35"/>
      <c r="E99" s="35"/>
      <c r="F99" s="35"/>
      <c r="G99" s="35"/>
      <c r="H99" s="35"/>
      <c r="I99" s="35"/>
      <c r="J99" s="35"/>
      <c r="K99" s="35"/>
      <c r="L99" s="35"/>
    </row>
    <row r="100" spans="1:12" x14ac:dyDescent="0.25">
      <c r="A100" s="35"/>
      <c r="B100" s="35"/>
      <c r="C100" s="35"/>
      <c r="D100" s="35"/>
      <c r="E100" s="35"/>
      <c r="F100" s="35"/>
      <c r="G100" s="35"/>
      <c r="H100" s="35"/>
      <c r="I100" s="35"/>
      <c r="J100" s="35"/>
      <c r="K100" s="35"/>
      <c r="L100" s="35"/>
    </row>
    <row r="101" spans="1:12" x14ac:dyDescent="0.25">
      <c r="A101" s="35"/>
      <c r="B101" s="35"/>
      <c r="C101" s="35"/>
      <c r="D101" s="35"/>
      <c r="E101" s="35"/>
      <c r="F101" s="35"/>
      <c r="G101" s="35"/>
      <c r="H101" s="35"/>
      <c r="I101" s="35"/>
      <c r="J101" s="35"/>
      <c r="K101" s="35"/>
      <c r="L101" s="35"/>
    </row>
    <row r="102" spans="1:12" x14ac:dyDescent="0.25">
      <c r="A102" s="35"/>
      <c r="B102" s="35"/>
      <c r="C102" s="35"/>
      <c r="D102" s="35"/>
      <c r="E102" s="35"/>
      <c r="F102" s="35"/>
      <c r="G102" s="35"/>
      <c r="H102" s="35"/>
      <c r="I102" s="35"/>
      <c r="J102" s="35"/>
      <c r="K102" s="35"/>
      <c r="L102" s="35"/>
    </row>
    <row r="103" spans="1:12" x14ac:dyDescent="0.25">
      <c r="A103" s="35"/>
      <c r="B103" s="35"/>
      <c r="C103" s="35"/>
      <c r="D103" s="35"/>
      <c r="E103" s="35"/>
      <c r="F103" s="35"/>
      <c r="G103" s="35"/>
      <c r="H103" s="35"/>
      <c r="I103" s="35"/>
      <c r="J103" s="35"/>
      <c r="K103" s="35"/>
      <c r="L103" s="35"/>
    </row>
    <row r="104" spans="1:12" x14ac:dyDescent="0.25">
      <c r="A104" s="35"/>
      <c r="B104" s="35"/>
      <c r="C104" s="35"/>
      <c r="D104" s="35"/>
      <c r="E104" s="35"/>
      <c r="F104" s="35"/>
      <c r="G104" s="35"/>
      <c r="H104" s="35"/>
      <c r="I104" s="35"/>
      <c r="J104" s="35"/>
      <c r="K104" s="35"/>
      <c r="L104" s="35"/>
    </row>
    <row r="105" spans="1:12" x14ac:dyDescent="0.25">
      <c r="A105" s="35"/>
      <c r="B105" s="35"/>
      <c r="C105" s="35"/>
      <c r="D105" s="35"/>
      <c r="E105" s="35"/>
      <c r="F105" s="35"/>
      <c r="G105" s="35"/>
      <c r="H105" s="35"/>
      <c r="I105" s="35"/>
      <c r="J105" s="35"/>
      <c r="K105" s="35"/>
      <c r="L105" s="35"/>
    </row>
    <row r="106" spans="1:12" x14ac:dyDescent="0.25">
      <c r="A106" s="35"/>
      <c r="B106" s="35"/>
      <c r="C106" s="35"/>
      <c r="D106" s="35"/>
      <c r="E106" s="35"/>
      <c r="F106" s="35"/>
      <c r="G106" s="35"/>
      <c r="H106" s="35"/>
      <c r="I106" s="35"/>
      <c r="J106" s="35"/>
      <c r="K106" s="35"/>
      <c r="L106" s="35"/>
    </row>
    <row r="107" spans="1:12" x14ac:dyDescent="0.25">
      <c r="A107" s="35"/>
      <c r="B107" s="35"/>
      <c r="C107" s="35"/>
      <c r="D107" s="35"/>
      <c r="E107" s="35"/>
      <c r="F107" s="35"/>
      <c r="G107" s="35"/>
      <c r="H107" s="35"/>
      <c r="I107" s="35"/>
      <c r="J107" s="35"/>
      <c r="K107" s="35"/>
      <c r="L107" s="35"/>
    </row>
    <row r="108" spans="1:12" x14ac:dyDescent="0.25">
      <c r="A108" s="35"/>
      <c r="B108" s="35"/>
      <c r="C108" s="35"/>
      <c r="D108" s="35"/>
      <c r="E108" s="35"/>
      <c r="F108" s="35"/>
      <c r="G108" s="35"/>
      <c r="H108" s="35"/>
      <c r="I108" s="35"/>
      <c r="J108" s="35"/>
      <c r="K108" s="35"/>
      <c r="L108" s="35"/>
    </row>
    <row r="109" spans="1:12" x14ac:dyDescent="0.25">
      <c r="A109" s="35"/>
      <c r="B109" s="35"/>
      <c r="C109" s="35"/>
      <c r="D109" s="35"/>
      <c r="E109" s="35"/>
      <c r="F109" s="35"/>
      <c r="G109" s="35"/>
      <c r="H109" s="35"/>
      <c r="I109" s="35"/>
      <c r="J109" s="35"/>
      <c r="K109" s="35"/>
      <c r="L109" s="35"/>
    </row>
    <row r="110" spans="1:12" x14ac:dyDescent="0.25">
      <c r="A110" s="35"/>
      <c r="B110" s="35"/>
      <c r="C110" s="35"/>
      <c r="D110" s="35"/>
      <c r="E110" s="35"/>
      <c r="F110" s="35"/>
      <c r="G110" s="35"/>
      <c r="H110" s="35"/>
      <c r="I110" s="35"/>
      <c r="J110" s="35"/>
      <c r="K110" s="35"/>
      <c r="L110" s="35"/>
    </row>
    <row r="111" spans="1:12" x14ac:dyDescent="0.25">
      <c r="A111" s="35"/>
      <c r="B111" s="35"/>
      <c r="C111" s="35"/>
      <c r="D111" s="35"/>
      <c r="E111" s="35"/>
      <c r="F111" s="35"/>
      <c r="G111" s="35"/>
      <c r="H111" s="35"/>
      <c r="I111" s="35"/>
      <c r="J111" s="35"/>
      <c r="K111" s="35"/>
      <c r="L111" s="35"/>
    </row>
    <row r="112" spans="1:12" x14ac:dyDescent="0.25">
      <c r="A112" s="35"/>
      <c r="B112" s="35"/>
      <c r="C112" s="35"/>
      <c r="D112" s="35"/>
      <c r="E112" s="35"/>
      <c r="F112" s="35"/>
      <c r="G112" s="35"/>
      <c r="H112" s="35"/>
      <c r="I112" s="35"/>
      <c r="J112" s="35"/>
      <c r="K112" s="35"/>
      <c r="L112" s="35"/>
    </row>
    <row r="113" spans="1:12" x14ac:dyDescent="0.25">
      <c r="A113" s="35"/>
      <c r="B113" s="35"/>
      <c r="C113" s="35"/>
      <c r="D113" s="35"/>
      <c r="E113" s="35"/>
      <c r="F113" s="35"/>
      <c r="G113" s="35"/>
      <c r="H113" s="35"/>
      <c r="I113" s="35"/>
      <c r="J113" s="35"/>
      <c r="K113" s="35"/>
      <c r="L113" s="35"/>
    </row>
    <row r="114" spans="1:12" x14ac:dyDescent="0.25">
      <c r="A114" s="35"/>
      <c r="B114" s="35"/>
      <c r="C114" s="35"/>
      <c r="D114" s="35"/>
      <c r="E114" s="35"/>
      <c r="F114" s="35"/>
      <c r="G114" s="35"/>
      <c r="H114" s="35"/>
      <c r="I114" s="35"/>
      <c r="J114" s="35"/>
      <c r="K114" s="35"/>
      <c r="L114" s="35"/>
    </row>
    <row r="115" spans="1:12" x14ac:dyDescent="0.25">
      <c r="A115" s="35"/>
      <c r="B115" s="35"/>
      <c r="C115" s="35"/>
      <c r="D115" s="35"/>
      <c r="E115" s="35"/>
      <c r="F115" s="35"/>
      <c r="G115" s="35"/>
      <c r="H115" s="35"/>
      <c r="I115" s="35"/>
      <c r="J115" s="35"/>
      <c r="K115" s="35"/>
      <c r="L115" s="35"/>
    </row>
    <row r="116" spans="1:12" x14ac:dyDescent="0.25">
      <c r="A116" s="35"/>
      <c r="B116" s="35"/>
      <c r="C116" s="35"/>
      <c r="D116" s="35"/>
      <c r="E116" s="35"/>
      <c r="F116" s="35"/>
      <c r="G116" s="35"/>
      <c r="H116" s="35"/>
      <c r="I116" s="35"/>
      <c r="J116" s="35"/>
      <c r="K116" s="35"/>
      <c r="L116" s="35"/>
    </row>
    <row r="117" spans="1:12" x14ac:dyDescent="0.25">
      <c r="A117" s="35"/>
      <c r="B117" s="35"/>
      <c r="C117" s="35"/>
      <c r="D117" s="35"/>
      <c r="E117" s="35"/>
      <c r="F117" s="35"/>
      <c r="G117" s="35"/>
      <c r="H117" s="35"/>
      <c r="I117" s="35"/>
      <c r="J117" s="35"/>
      <c r="K117" s="35"/>
      <c r="L117" s="35"/>
    </row>
    <row r="118" spans="1:12" x14ac:dyDescent="0.25">
      <c r="A118" s="35"/>
      <c r="B118" s="35"/>
      <c r="C118" s="35"/>
      <c r="D118" s="35"/>
      <c r="E118" s="35"/>
      <c r="F118" s="35"/>
      <c r="G118" s="35"/>
      <c r="H118" s="35"/>
      <c r="I118" s="35"/>
      <c r="J118" s="35"/>
      <c r="K118" s="35"/>
      <c r="L118" s="35"/>
    </row>
  </sheetData>
  <mergeCells count="9">
    <mergeCell ref="A65:K65"/>
    <mergeCell ref="A68:K68"/>
    <mergeCell ref="A78:K78"/>
    <mergeCell ref="A3:J3"/>
    <mergeCell ref="A12:K12"/>
    <mergeCell ref="A13:J13"/>
    <mergeCell ref="C37:K37"/>
    <mergeCell ref="A38:K38"/>
    <mergeCell ref="A60:K60"/>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3"/>
  <sheetViews>
    <sheetView topLeftCell="A41" workbookViewId="0">
      <selection activeCell="E41" sqref="E41"/>
    </sheetView>
  </sheetViews>
  <sheetFormatPr defaultRowHeight="12" x14ac:dyDescent="0.2"/>
  <cols>
    <col min="1" max="1" width="36.140625" style="326" bestFit="1" customWidth="1"/>
    <col min="2" max="9" width="6.140625" style="326" bestFit="1" customWidth="1"/>
    <col min="10" max="10" width="6.28515625" style="326" bestFit="1" customWidth="1"/>
    <col min="11" max="11" width="6.140625" style="326" bestFit="1" customWidth="1"/>
    <col min="12" max="12" width="29.5703125" style="326" customWidth="1"/>
    <col min="13" max="14" width="16.42578125" style="326" bestFit="1" customWidth="1"/>
    <col min="15" max="15" width="17.42578125" style="326" bestFit="1" customWidth="1"/>
    <col min="16" max="17" width="10.28515625" style="326" bestFit="1" customWidth="1"/>
    <col min="18" max="18" width="11" style="326" bestFit="1" customWidth="1"/>
    <col min="19" max="16384" width="9.140625" style="326"/>
  </cols>
  <sheetData>
    <row r="1" spans="1:18" x14ac:dyDescent="0.2">
      <c r="B1" s="327">
        <f>'Data Sheet'!B16</f>
      </c>
      <c r="C1" s="327">
        <f>'Data Sheet'!C16</f>
      </c>
      <c r="D1" s="327">
        <f>'Data Sheet'!D16</f>
      </c>
      <c r="E1" s="327">
        <f>'Data Sheet'!E16</f>
      </c>
      <c r="F1" s="327">
        <f>'Data Sheet'!F16</f>
      </c>
      <c r="G1" s="327">
        <f>'Data Sheet'!G16</f>
      </c>
      <c r="H1" s="327">
        <f>'Data Sheet'!H16</f>
      </c>
      <c r="I1" s="327">
        <f>'Data Sheet'!I16</f>
      </c>
      <c r="J1" s="327">
        <f>'Data Sheet'!J16</f>
      </c>
      <c r="K1" s="327">
        <f>'Data Sheet'!K16</f>
      </c>
      <c r="M1" s="326" t="s">
        <v>695</v>
      </c>
      <c r="N1" s="326" t="s">
        <v>696</v>
      </c>
      <c r="O1" s="326" t="s">
        <v>697</v>
      </c>
      <c r="P1" s="326" t="s">
        <v>641</v>
      </c>
      <c r="Q1" s="326" t="s">
        <v>642</v>
      </c>
      <c r="R1" s="326" t="s">
        <v>643</v>
      </c>
    </row>
    <row r="2" spans="1:18" x14ac:dyDescent="0.2">
      <c r="A2" s="326" t="s">
        <v>548</v>
      </c>
      <c r="B2" s="328">
        <f>'Data Sheet'!B17</f>
      </c>
      <c r="C2" s="328">
        <f>'Data Sheet'!C17</f>
      </c>
      <c r="D2" s="328">
        <f>'Data Sheet'!D17</f>
      </c>
      <c r="E2" s="328">
        <f>'Data Sheet'!E17</f>
      </c>
      <c r="F2" s="328">
        <f>'Data Sheet'!F17</f>
      </c>
      <c r="G2" s="328">
        <f>'Data Sheet'!G17</f>
      </c>
      <c r="H2" s="328">
        <f>'Data Sheet'!H17</f>
      </c>
      <c r="I2" s="328">
        <f>'Data Sheet'!I17</f>
      </c>
      <c r="J2" s="328">
        <f>'Data Sheet'!J17</f>
      </c>
      <c r="K2" s="328">
        <f>'Data Sheet'!K17</f>
      </c>
      <c r="M2" s="328">
        <f t="shared" ref="M2:M7" si="0">SUM(I2:K2)</f>
      </c>
      <c r="N2" s="328">
        <f t="shared" ref="N2:N7" si="1">SUM(G2:K2)</f>
      </c>
      <c r="O2" s="328">
        <f t="shared" ref="O2:O7" si="2">SUM(C2:K2)</f>
      </c>
    </row>
    <row r="3" spans="1:18" x14ac:dyDescent="0.2">
      <c r="A3" s="326" t="s">
        <v>9</v>
      </c>
      <c r="B3" s="329">
        <f>'Data Sheet'!B25</f>
      </c>
      <c r="C3" s="329">
        <f>'Data Sheet'!C25</f>
      </c>
      <c r="D3" s="329">
        <f>'Data Sheet'!D25</f>
      </c>
      <c r="E3" s="329">
        <f>'Data Sheet'!E25</f>
      </c>
      <c r="F3" s="329">
        <f>'Data Sheet'!F25</f>
      </c>
      <c r="G3" s="329">
        <f>'Data Sheet'!G25</f>
      </c>
      <c r="H3" s="329">
        <f>'Data Sheet'!H25</f>
      </c>
      <c r="I3" s="329">
        <f>'Data Sheet'!I25</f>
      </c>
      <c r="J3" s="329">
        <f>'Data Sheet'!J25</f>
      </c>
      <c r="K3" s="329">
        <f>'Data Sheet'!K25</f>
      </c>
      <c r="M3" s="328">
        <f t="shared" si="0"/>
      </c>
      <c r="N3" s="328">
        <f t="shared" si="1"/>
      </c>
      <c r="O3" s="328">
        <f t="shared" si="2"/>
      </c>
    </row>
    <row r="4" spans="1:18" x14ac:dyDescent="0.2">
      <c r="A4" s="326" t="s">
        <v>644</v>
      </c>
      <c r="B4" s="328">
        <f>SUM('Data Sheet'!B18:B24)</f>
      </c>
      <c r="C4" s="328">
        <f>SUM('Data Sheet'!C18:C24)</f>
      </c>
      <c r="D4" s="328">
        <f>SUM('Data Sheet'!D18:D24)</f>
      </c>
      <c r="E4" s="328">
        <f>SUM('Data Sheet'!E18:E24)</f>
      </c>
      <c r="F4" s="328">
        <f>SUM('Data Sheet'!F18:F24)</f>
      </c>
      <c r="G4" s="328">
        <f>SUM('Data Sheet'!G18:G24)</f>
      </c>
      <c r="H4" s="328">
        <f>SUM('Data Sheet'!H18:H24)</f>
      </c>
      <c r="I4" s="328">
        <f>SUM('Data Sheet'!I18:I24)</f>
      </c>
      <c r="J4" s="328">
        <f>SUM('Data Sheet'!J18:J24)</f>
      </c>
      <c r="K4" s="328">
        <f>SUM('Data Sheet'!K18:K24)</f>
      </c>
      <c r="M4" s="328">
        <f t="shared" si="0"/>
      </c>
      <c r="N4" s="328">
        <f t="shared" si="1"/>
      </c>
      <c r="O4" s="328">
        <f t="shared" si="2"/>
      </c>
    </row>
    <row r="5" spans="1:18" x14ac:dyDescent="0.2">
      <c r="A5" s="326" t="s">
        <v>645</v>
      </c>
      <c r="B5" s="329">
        <f>'Data Sheet'!B24</f>
      </c>
      <c r="C5" s="329">
        <f>'Data Sheet'!C24</f>
      </c>
      <c r="D5" s="329">
        <f>'Data Sheet'!D24</f>
      </c>
      <c r="E5" s="329">
        <f>'Data Sheet'!E24</f>
      </c>
      <c r="F5" s="329">
        <f>'Data Sheet'!F24</f>
      </c>
      <c r="G5" s="329">
        <f>'Data Sheet'!G24</f>
      </c>
      <c r="H5" s="329">
        <f>'Data Sheet'!H24</f>
      </c>
      <c r="I5" s="329">
        <f>'Data Sheet'!I24</f>
      </c>
      <c r="J5" s="329">
        <f>'Data Sheet'!J24</f>
      </c>
      <c r="K5" s="329">
        <f>'Data Sheet'!K24</f>
      </c>
      <c r="M5" s="328">
        <f t="shared" si="0"/>
      </c>
      <c r="N5" s="328">
        <f t="shared" si="1"/>
      </c>
      <c r="O5" s="328">
        <f t="shared" si="2"/>
      </c>
    </row>
    <row r="6" spans="1:18" x14ac:dyDescent="0.2">
      <c r="A6" s="326" t="s">
        <v>79</v>
      </c>
      <c r="B6" s="329">
        <f>'Data Sheet'!B67</f>
      </c>
      <c r="C6" s="329">
        <f>'Data Sheet'!C67</f>
      </c>
      <c r="D6" s="329">
        <f>'Data Sheet'!D67</f>
      </c>
      <c r="E6" s="329">
        <f>'Data Sheet'!E67</f>
      </c>
      <c r="F6" s="329">
        <f>'Data Sheet'!F67</f>
      </c>
      <c r="G6" s="329">
        <f>'Data Sheet'!G67</f>
      </c>
      <c r="H6" s="329">
        <f>'Data Sheet'!H67</f>
      </c>
      <c r="I6" s="329">
        <f>'Data Sheet'!I67</f>
      </c>
      <c r="J6" s="329">
        <f>'Data Sheet'!J67</f>
      </c>
      <c r="K6" s="329">
        <f>'Data Sheet'!K67</f>
      </c>
      <c r="M6" s="328">
        <f t="shared" si="0"/>
      </c>
      <c r="N6" s="328">
        <f t="shared" si="1"/>
      </c>
      <c r="O6" s="328">
        <f t="shared" si="2"/>
      </c>
    </row>
    <row r="7" spans="1:18" x14ac:dyDescent="0.2">
      <c r="A7" s="326" t="s">
        <v>45</v>
      </c>
      <c r="B7" s="329">
        <f>'Data Sheet'!B68</f>
      </c>
      <c r="C7" s="329">
        <f>'Data Sheet'!C68</f>
      </c>
      <c r="D7" s="329">
        <f>'Data Sheet'!D68</f>
      </c>
      <c r="E7" s="329">
        <f>'Data Sheet'!E68</f>
      </c>
      <c r="F7" s="329">
        <f>'Data Sheet'!F68</f>
      </c>
      <c r="G7" s="329">
        <f>'Data Sheet'!G68</f>
      </c>
      <c r="H7" s="329">
        <f>'Data Sheet'!H68</f>
      </c>
      <c r="I7" s="329">
        <f>'Data Sheet'!I68</f>
      </c>
      <c r="J7" s="329">
        <f>'Data Sheet'!J68</f>
      </c>
      <c r="K7" s="329">
        <f>'Data Sheet'!K68</f>
      </c>
      <c r="M7" s="328">
        <f t="shared" si="0"/>
      </c>
      <c r="N7" s="328">
        <f t="shared" si="1"/>
      </c>
      <c r="O7" s="328">
        <f t="shared" si="2"/>
      </c>
    </row>
    <row r="8" spans="1:18" x14ac:dyDescent="0.2">
      <c r="A8" s="326" t="s">
        <v>647</v>
      </c>
      <c r="B8" s="329"/>
      <c r="C8" s="329"/>
      <c r="D8" s="329"/>
      <c r="E8" s="329"/>
      <c r="F8" s="329"/>
      <c r="G8" s="329"/>
      <c r="H8" s="329"/>
      <c r="I8" s="329"/>
      <c r="J8" s="329"/>
      <c r="K8" s="329"/>
      <c r="M8" s="328"/>
      <c r="N8" s="328"/>
      <c r="O8" s="328"/>
    </row>
    <row r="9" spans="1:18" x14ac:dyDescent="0.2">
      <c r="A9" s="326" t="s">
        <v>130</v>
      </c>
      <c r="B9" s="328">
        <f>'Data Sheet'!B57+'Data Sheet'!B58+'Data Sheet'!B59</f>
      </c>
      <c r="C9" s="328">
        <f>'Data Sheet'!C57+'Data Sheet'!C58+'Data Sheet'!C59</f>
      </c>
      <c r="D9" s="328">
        <f>'Data Sheet'!D57+'Data Sheet'!D58+'Data Sheet'!D59</f>
      </c>
      <c r="E9" s="328">
        <f>'Data Sheet'!E57+'Data Sheet'!E58+'Data Sheet'!E59</f>
      </c>
      <c r="F9" s="328">
        <f>'Data Sheet'!F57+'Data Sheet'!F58+'Data Sheet'!F59</f>
      </c>
      <c r="G9" s="328">
        <f>'Data Sheet'!G57+'Data Sheet'!G58+'Data Sheet'!G59</f>
      </c>
      <c r="H9" s="328">
        <f>'Data Sheet'!H57+'Data Sheet'!H58+'Data Sheet'!H59</f>
      </c>
      <c r="I9" s="328">
        <f>'Data Sheet'!I57+'Data Sheet'!I58+'Data Sheet'!I59</f>
      </c>
      <c r="J9" s="328">
        <f>'Data Sheet'!J57+'Data Sheet'!J58+'Data Sheet'!J59</f>
      </c>
      <c r="K9" s="328">
        <f>'Data Sheet'!K57+'Data Sheet'!K58+'Data Sheet'!K59</f>
      </c>
      <c r="M9" s="328"/>
      <c r="N9" s="328"/>
      <c r="O9" s="328"/>
    </row>
    <row r="10" spans="1:18" x14ac:dyDescent="0.2">
      <c r="A10" s="326" t="s">
        <v>116</v>
      </c>
      <c r="B10" s="329">
        <f>'Data Sheet'!B30</f>
      </c>
      <c r="C10" s="329">
        <f>'Data Sheet'!C30</f>
      </c>
      <c r="D10" s="329">
        <f>'Data Sheet'!D30</f>
      </c>
      <c r="E10" s="329">
        <f>'Data Sheet'!E30</f>
      </c>
      <c r="F10" s="329">
        <f>'Data Sheet'!F30</f>
      </c>
      <c r="G10" s="329">
        <f>'Data Sheet'!G30</f>
      </c>
      <c r="H10" s="329">
        <f>'Data Sheet'!H30</f>
      </c>
      <c r="I10" s="329">
        <f>'Data Sheet'!I30</f>
      </c>
      <c r="J10" s="329">
        <f>'Data Sheet'!J30</f>
      </c>
      <c r="K10" s="329">
        <f>'Data Sheet'!K30</f>
      </c>
      <c r="M10" s="328">
        <f>SUM(I10:K10)</f>
      </c>
      <c r="N10" s="328">
        <f>SUM(G10:K10)</f>
      </c>
      <c r="O10" s="328">
        <f>SUM(C10:K10)</f>
      </c>
    </row>
    <row r="11" spans="1:18" x14ac:dyDescent="0.2">
      <c r="A11" s="326" t="s">
        <v>304</v>
      </c>
      <c r="B11" s="329">
        <f>'Data Sheet'!B82</f>
      </c>
      <c r="C11" s="329">
        <f>'Data Sheet'!C82</f>
      </c>
      <c r="D11" s="329">
        <f>'Data Sheet'!D82</f>
      </c>
      <c r="E11" s="329">
        <f>'Data Sheet'!E82</f>
      </c>
      <c r="F11" s="329">
        <f>'Data Sheet'!F82</f>
      </c>
      <c r="G11" s="329">
        <f>'Data Sheet'!G82</f>
      </c>
      <c r="H11" s="329">
        <f>'Data Sheet'!H82</f>
      </c>
      <c r="I11" s="329">
        <f>'Data Sheet'!I82</f>
      </c>
      <c r="J11" s="329">
        <f>'Data Sheet'!J82</f>
      </c>
      <c r="K11" s="329">
        <f>'Data Sheet'!K82</f>
      </c>
      <c r="M11" s="328">
        <f>SUM(I11:K11)</f>
      </c>
      <c r="N11" s="328">
        <f>SUM(G11:K11)</f>
      </c>
      <c r="O11" s="328">
        <f>SUM(C11:K11)</f>
      </c>
    </row>
    <row r="12" spans="1:18" x14ac:dyDescent="0.2">
      <c r="A12" s="326" t="s">
        <v>222</v>
      </c>
      <c r="C12" s="329">
        <f>('Data Sheet'!C62-'Data Sheet'!B62)+('Data Sheet'!C63-'Data Sheet'!B63)+'Data Sheet'!C26</f>
      </c>
      <c r="D12" s="329">
        <f>('Data Sheet'!D62-'Data Sheet'!C62)+('Data Sheet'!D63-'Data Sheet'!C63)+'Data Sheet'!D26</f>
      </c>
      <c r="E12" s="329">
        <f>('Data Sheet'!E62-'Data Sheet'!D62)+('Data Sheet'!E63-'Data Sheet'!D63)+'Data Sheet'!E26</f>
      </c>
      <c r="F12" s="329">
        <f>('Data Sheet'!F62-'Data Sheet'!E62)+('Data Sheet'!F63-'Data Sheet'!E63)+'Data Sheet'!F26</f>
      </c>
      <c r="G12" s="329">
        <f>('Data Sheet'!G62-'Data Sheet'!F62)+('Data Sheet'!G63-'Data Sheet'!F63)+'Data Sheet'!G26</f>
      </c>
      <c r="H12" s="329">
        <f>('Data Sheet'!H62-'Data Sheet'!G62)+('Data Sheet'!H63-'Data Sheet'!G63)+'Data Sheet'!H26</f>
      </c>
      <c r="I12" s="329">
        <f>('Data Sheet'!I62-'Data Sheet'!H62)+('Data Sheet'!I63-'Data Sheet'!H63)+'Data Sheet'!I26</f>
      </c>
      <c r="J12" s="329">
        <f>('Data Sheet'!J62-'Data Sheet'!I62)+('Data Sheet'!J63-'Data Sheet'!I63)+'Data Sheet'!J26</f>
      </c>
      <c r="K12" s="329">
        <f>('Data Sheet'!K62-'Data Sheet'!J62)+('Data Sheet'!K63-'Data Sheet'!J63)+'Data Sheet'!K26</f>
      </c>
      <c r="M12" s="328">
        <f>SUM(I12:K12)</f>
      </c>
      <c r="N12" s="328">
        <f>SUM(G12:K12)</f>
      </c>
      <c r="O12" s="328">
        <f>SUM(C12:K12)</f>
      </c>
    </row>
    <row r="13" spans="1:18" x14ac:dyDescent="0.2">
      <c r="A13" s="326" t="s">
        <v>400</v>
      </c>
      <c r="B13" s="329">
        <f>'Data Sheet'!B31</f>
      </c>
      <c r="C13" s="329">
        <f>'Data Sheet'!C31</f>
      </c>
      <c r="D13" s="329">
        <f>'Data Sheet'!D31</f>
      </c>
      <c r="E13" s="329">
        <f>'Data Sheet'!E31</f>
      </c>
      <c r="F13" s="329">
        <f>'Data Sheet'!F31</f>
      </c>
      <c r="G13" s="329">
        <f>'Data Sheet'!G31</f>
      </c>
      <c r="H13" s="329">
        <f>'Data Sheet'!H31</f>
      </c>
      <c r="I13" s="329">
        <f>'Data Sheet'!I31</f>
      </c>
      <c r="J13" s="329">
        <f>'Data Sheet'!J31</f>
      </c>
      <c r="K13" s="329">
        <f>'Data Sheet'!K31</f>
      </c>
      <c r="M13" s="328">
        <f>SUM(I13:K13)</f>
      </c>
      <c r="N13" s="328">
        <f>SUM(G13:K13)</f>
      </c>
      <c r="O13" s="328">
        <f>SUM(C13:K13)</f>
      </c>
    </row>
    <row r="14" spans="1:18" x14ac:dyDescent="0.2">
      <c r="A14" s="326" t="s">
        <v>646</v>
      </c>
      <c r="C14" s="329">
        <f>C11-C12</f>
      </c>
      <c r="D14" s="329">
        <f t="shared" ref="D14:K14" si="3">D11-D12</f>
      </c>
      <c r="E14" s="329">
        <f t="shared" si="3"/>
      </c>
      <c r="F14" s="329">
        <f t="shared" si="3"/>
      </c>
      <c r="G14" s="329">
        <f t="shared" si="3"/>
      </c>
      <c r="H14" s="329">
        <f t="shared" si="3"/>
      </c>
      <c r="I14" s="329">
        <f t="shared" si="3"/>
      </c>
      <c r="J14" s="329">
        <f t="shared" si="3"/>
      </c>
      <c r="K14" s="329">
        <f t="shared" si="3"/>
      </c>
      <c r="M14" s="328">
        <f>SUM(I14:K14)</f>
      </c>
      <c r="N14" s="328">
        <f>SUM(G14:K14)</f>
      </c>
      <c r="O14" s="328">
        <f>SUM(C14:K14)</f>
      </c>
    </row>
    <row r="15" spans="1:18" x14ac:dyDescent="0.2">
      <c r="A15" s="326" t="s">
        <v>147</v>
      </c>
      <c r="B15" s="328">
        <f>Other_input_data!B36+Other_input_data!B44-Other_input_data!B8</f>
      </c>
      <c r="C15" s="328">
        <f>Other_input_data!C36+Other_input_data!C44-Other_input_data!C8</f>
      </c>
      <c r="D15" s="328">
        <f>Other_input_data!D36+Other_input_data!D44-Other_input_data!D8</f>
      </c>
      <c r="E15" s="328">
        <f>Other_input_data!E36+Other_input_data!E44-Other_input_data!E8</f>
      </c>
      <c r="F15" s="328">
        <f>Other_input_data!F36+Other_input_data!F44-Other_input_data!F8</f>
      </c>
      <c r="G15" s="328">
        <f>Other_input_data!G36+Other_input_data!G44-Other_input_data!G8</f>
      </c>
      <c r="H15" s="328">
        <f>Other_input_data!H36+Other_input_data!H44-Other_input_data!H8</f>
      </c>
      <c r="I15" s="328">
        <f>Other_input_data!I36+Other_input_data!I44-Other_input_data!I8</f>
      </c>
      <c r="J15" s="328">
        <f>Other_input_data!J36+Other_input_data!J44-Other_input_data!J8</f>
      </c>
      <c r="K15" s="328">
        <f>Other_input_data!K36+Other_input_data!K44-Other_input_data!K8</f>
      </c>
    </row>
    <row r="16" spans="1:18" x14ac:dyDescent="0.2">
      <c r="C16" s="329"/>
      <c r="D16" s="329"/>
      <c r="E16" s="329"/>
      <c r="F16" s="329"/>
      <c r="G16" s="329"/>
      <c r="H16" s="329"/>
      <c r="I16" s="329"/>
      <c r="J16" s="329"/>
      <c r="K16" s="329"/>
    </row>
    <row r="17" spans="1:18" x14ac:dyDescent="0.2">
      <c r="A17" s="326" t="s">
        <v>607</v>
      </c>
      <c r="C17" s="330">
        <f>IFERROR(('Profit &amp; Loss'!C4-'Profit &amp; Loss'!B4)/'Profit &amp; Loss'!B4,"NA")</f>
      </c>
      <c r="D17" s="330">
        <f>IFERROR(('Profit &amp; Loss'!D4-'Profit &amp; Loss'!C4)/'Profit &amp; Loss'!C4,"NA")</f>
      </c>
      <c r="E17" s="330">
        <f>IFERROR(('Profit &amp; Loss'!E4-'Profit &amp; Loss'!D4)/'Profit &amp; Loss'!D4,"NA")</f>
      </c>
      <c r="F17" s="330">
        <f>IFERROR(('Profit &amp; Loss'!F4-'Profit &amp; Loss'!E4)/'Profit &amp; Loss'!E4,"NA")</f>
      </c>
      <c r="G17" s="330">
        <f>IFERROR(('Profit &amp; Loss'!G4-'Profit &amp; Loss'!F4)/'Profit &amp; Loss'!F4,"NA")</f>
      </c>
      <c r="H17" s="330">
        <f>IFERROR(('Profit &amp; Loss'!H4-'Profit &amp; Loss'!G4)/'Profit &amp; Loss'!G4,"NA")</f>
      </c>
      <c r="I17" s="330">
        <f>IFERROR(('Profit &amp; Loss'!I4-'Profit &amp; Loss'!H4)/'Profit &amp; Loss'!H4,"NA")</f>
      </c>
      <c r="J17" s="331">
        <f>IFERROR(('Profit &amp; Loss'!J4-'Profit &amp; Loss'!I4)/'Profit &amp; Loss'!I4,"NA")</f>
      </c>
      <c r="K17" s="331">
        <f>IFERROR(('Profit &amp; Loss'!K4-'Profit &amp; Loss'!J4)/'Profit &amp; Loss'!J4,"NA")</f>
      </c>
      <c r="N17" s="332"/>
      <c r="P17" s="332">
        <f>('Profit &amp; Loss'!K4/'Profit &amp; Loss'!H4)^(1/(3-1))-1</f>
      </c>
      <c r="Q17" s="332">
        <f>('Profit &amp; Loss'!K4/'Profit &amp; Loss'!F4)^(1/(5-1))-1</f>
      </c>
      <c r="R17" s="332">
        <f>('Profit &amp; Loss'!K4/'Profit &amp; Loss'!B4)^(1/(9-1))-1</f>
      </c>
    </row>
    <row r="18" spans="1:18" x14ac:dyDescent="0.2">
      <c r="A18" s="326" t="s">
        <v>608</v>
      </c>
      <c r="C18" s="330">
        <f>IFERROR(('Profit &amp; Loss'!C12-'Profit &amp; Loss'!B12)/'Profit &amp; Loss'!B12,"NA")</f>
      </c>
      <c r="D18" s="330">
        <f>IFERROR(('Profit &amp; Loss'!D12-'Profit &amp; Loss'!C12)/'Profit &amp; Loss'!C12,"NA")</f>
      </c>
      <c r="E18" s="330">
        <f>IFERROR(('Profit &amp; Loss'!E12-'Profit &amp; Loss'!D12)/'Profit &amp; Loss'!D12,"NA")</f>
      </c>
      <c r="F18" s="330">
        <f>IFERROR(('Profit &amp; Loss'!F12-'Profit &amp; Loss'!E12)/'Profit &amp; Loss'!E12,"NA")</f>
      </c>
      <c r="G18" s="330">
        <f>IFERROR(('Profit &amp; Loss'!G12-'Profit &amp; Loss'!F12)/'Profit &amp; Loss'!F12,"NA")</f>
      </c>
      <c r="H18" s="330">
        <f>IFERROR(('Profit &amp; Loss'!H12-'Profit &amp; Loss'!G12)/'Profit &amp; Loss'!G12,"NA")</f>
      </c>
      <c r="I18" s="330">
        <f>IFERROR(('Profit &amp; Loss'!I12-'Profit &amp; Loss'!H12)/'Profit &amp; Loss'!H12,"NA")</f>
      </c>
      <c r="J18" s="333">
        <f>IFERROR(('Profit &amp; Loss'!J12-'Profit &amp; Loss'!I12)/'Profit &amp; Loss'!I12,"NA")</f>
      </c>
      <c r="K18" s="333">
        <f>IFERROR(('Profit &amp; Loss'!K12-'Profit &amp; Loss'!J12)/'Profit &amp; Loss'!J12,"NA")</f>
      </c>
      <c r="P18" s="332">
        <f>('Profit &amp; Loss'!K12/'Profit &amp; Loss'!H12)^(1/(3-1))-1</f>
      </c>
      <c r="Q18" s="332">
        <f>('Profit &amp; Loss'!K12/'Profit &amp; Loss'!F12)^(1/(5-1))-1</f>
      </c>
      <c r="R18" s="332">
        <f>('Profit &amp; Loss'!K12/'Profit &amp; Loss'!B12)^(1/(9-1))-1</f>
      </c>
    </row>
    <row r="19" spans="1:18" x14ac:dyDescent="0.2">
      <c r="A19" s="326" t="s">
        <v>648</v>
      </c>
      <c r="B19" s="330">
        <f>B6/B2</f>
      </c>
      <c r="C19" s="330">
        <f t="shared" ref="C19:K19" si="4">C6/C2</f>
      </c>
      <c r="D19" s="330">
        <f t="shared" si="4"/>
      </c>
      <c r="E19" s="330">
        <f t="shared" si="4"/>
      </c>
      <c r="F19" s="330">
        <f t="shared" si="4"/>
      </c>
      <c r="G19" s="330">
        <f t="shared" si="4"/>
      </c>
      <c r="H19" s="330">
        <f t="shared" si="4"/>
      </c>
      <c r="I19" s="330">
        <f t="shared" si="4"/>
      </c>
      <c r="J19" s="330">
        <f t="shared" si="4"/>
      </c>
      <c r="K19" s="330">
        <f t="shared" si="4"/>
      </c>
      <c r="M19" s="330">
        <f>SUM(I6:K6)/SUM(I2:K2)</f>
      </c>
      <c r="N19" s="330">
        <f>SUM(F6:I6)/SUM(F2:I2)</f>
      </c>
      <c r="O19" s="330">
        <f>SUM(B6:I6)/SUM(B2:I2)</f>
      </c>
    </row>
    <row r="20" spans="1:18" x14ac:dyDescent="0.2">
      <c r="A20" s="326" t="s">
        <v>267</v>
      </c>
      <c r="B20" s="330">
        <f>B7/B2</f>
      </c>
      <c r="C20" s="330">
        <f t="shared" ref="C20:K20" si="5">C7/C2</f>
      </c>
      <c r="D20" s="330">
        <f t="shared" si="5"/>
      </c>
      <c r="E20" s="330">
        <f t="shared" si="5"/>
      </c>
      <c r="F20" s="330">
        <f t="shared" si="5"/>
      </c>
      <c r="G20" s="330">
        <f t="shared" si="5"/>
      </c>
      <c r="H20" s="330">
        <f t="shared" si="5"/>
      </c>
      <c r="I20" s="334">
        <f t="shared" si="5"/>
      </c>
      <c r="J20" s="334">
        <f t="shared" si="5"/>
      </c>
      <c r="K20" s="334">
        <f t="shared" si="5"/>
      </c>
      <c r="L20" s="335"/>
      <c r="M20" s="330">
        <f>SUM(I7:K7)/SUM(I2:K2)</f>
      </c>
      <c r="N20" s="330">
        <f>SUM(F7:I7)/SUM(F2:I2)</f>
      </c>
      <c r="O20" s="330">
        <f>SUM(B7:I7)/SUM(B2:I2)</f>
      </c>
    </row>
    <row r="21" spans="1:18" x14ac:dyDescent="0.2">
      <c r="A21" s="326" t="s">
        <v>431</v>
      </c>
    </row>
    <row r="22" spans="1:18" x14ac:dyDescent="0.2">
      <c r="A22" s="326" t="s">
        <v>202</v>
      </c>
      <c r="B22" s="336">
        <f>B10/B2</f>
      </c>
      <c r="C22" s="336">
        <f t="shared" ref="C22:K22" si="6">C10/C2</f>
      </c>
      <c r="D22" s="336">
        <f t="shared" si="6"/>
      </c>
      <c r="E22" s="336">
        <f t="shared" si="6"/>
      </c>
      <c r="F22" s="336">
        <f t="shared" si="6"/>
      </c>
      <c r="G22" s="336">
        <f t="shared" si="6"/>
      </c>
      <c r="H22" s="336">
        <f t="shared" si="6"/>
      </c>
      <c r="I22" s="337">
        <f t="shared" si="6"/>
      </c>
      <c r="J22" s="337">
        <f t="shared" si="6"/>
      </c>
      <c r="K22" s="337">
        <f t="shared" si="6"/>
      </c>
      <c r="L22" s="338" t="s">
        <v>683</v>
      </c>
      <c r="M22" s="330">
        <f>SUM(I10:K10)/SUM(I2:K2)</f>
      </c>
      <c r="N22" s="330">
        <f>SUM(F10:I10)/SUM(F2:I2)</f>
      </c>
      <c r="O22" s="330">
        <f>SUM(B10:I10)/SUM(B2:I2)</f>
      </c>
    </row>
    <row r="23" spans="1:18" x14ac:dyDescent="0.2">
      <c r="A23" s="326" t="s">
        <v>135</v>
      </c>
      <c r="B23" s="330">
        <f>'Data Sheet'!B29/'Data Sheet'!B28</f>
      </c>
      <c r="C23" s="330">
        <f>'Data Sheet'!C29/'Data Sheet'!C28</f>
      </c>
      <c r="D23" s="330">
        <f>'Data Sheet'!D29/'Data Sheet'!D28</f>
      </c>
      <c r="E23" s="334">
        <f>'Data Sheet'!E29/'Data Sheet'!E28</f>
      </c>
      <c r="F23" s="334">
        <f>'Data Sheet'!F29/'Data Sheet'!F28</f>
      </c>
      <c r="G23" s="330">
        <f>'Data Sheet'!G29/'Data Sheet'!G28</f>
      </c>
      <c r="H23" s="330">
        <f>'Data Sheet'!H29/'Data Sheet'!H28</f>
      </c>
      <c r="I23" s="330">
        <f>'Data Sheet'!I29/'Data Sheet'!I28</f>
      </c>
      <c r="J23" s="334">
        <f>'Data Sheet'!J29/'Data Sheet'!J28</f>
      </c>
      <c r="K23" s="330">
        <f>'Data Sheet'!K29/'Data Sheet'!K28</f>
      </c>
      <c r="M23" s="330">
        <f>SUM('Data Sheet'!I29:K29)/SUM('Data Sheet'!I30:K30)</f>
      </c>
      <c r="N23" s="330">
        <f>SUM('Data Sheet'!F29:I29)/SUM('Data Sheet'!F30:I30)</f>
      </c>
      <c r="O23" s="330">
        <f>SUM('Data Sheet'!B29:I29)/SUM('Data Sheet'!B30:I30)</f>
      </c>
    </row>
    <row r="24" spans="1:18" x14ac:dyDescent="0.2">
      <c r="A24" s="326" t="s">
        <v>649</v>
      </c>
      <c r="B24" s="329">
        <f>B11-B10</f>
      </c>
      <c r="C24" s="329">
        <f t="shared" ref="C24:K24" si="7">C11-C10</f>
      </c>
      <c r="D24" s="329">
        <f t="shared" si="7"/>
      </c>
      <c r="E24" s="329">
        <f t="shared" si="7"/>
      </c>
      <c r="F24" s="329">
        <f t="shared" si="7"/>
      </c>
      <c r="G24" s="329">
        <f t="shared" si="7"/>
      </c>
      <c r="H24" s="329">
        <f t="shared" si="7"/>
      </c>
      <c r="I24" s="329">
        <f t="shared" si="7"/>
      </c>
      <c r="J24" s="329">
        <f t="shared" si="7"/>
      </c>
      <c r="K24" s="329">
        <f t="shared" si="7"/>
      </c>
      <c r="M24" s="329">
        <f>M11-M10</f>
      </c>
      <c r="N24" s="329">
        <f>N11-N10</f>
      </c>
      <c r="O24" s="329">
        <f>O11-O10</f>
      </c>
    </row>
    <row r="25" spans="1:18" x14ac:dyDescent="0.2">
      <c r="B25" s="329"/>
      <c r="C25" s="329"/>
      <c r="D25" s="329"/>
      <c r="E25" s="329"/>
      <c r="F25" s="329"/>
      <c r="G25" s="329"/>
      <c r="H25" s="329"/>
      <c r="I25" s="329"/>
      <c r="J25" s="329"/>
      <c r="K25" s="329"/>
    </row>
    <row r="26" spans="1:18" x14ac:dyDescent="0.2">
      <c r="A26" s="339" t="s">
        <v>657</v>
      </c>
      <c r="B26" s="329"/>
      <c r="C26" s="329"/>
      <c r="D26" s="329"/>
      <c r="E26" s="329"/>
      <c r="F26" s="329"/>
      <c r="G26" s="329"/>
      <c r="H26" s="329"/>
      <c r="I26" s="329"/>
      <c r="J26" s="329"/>
      <c r="K26" s="329"/>
    </row>
    <row r="27" spans="1:18" x14ac:dyDescent="0.2">
      <c r="A27" s="326" t="s">
        <v>658</v>
      </c>
      <c r="B27" s="330">
        <f>'Data Sheet'!B18/'Data Sheet'!B$17</f>
      </c>
      <c r="C27" s="330">
        <f>'Data Sheet'!C18/'Data Sheet'!C$17</f>
      </c>
      <c r="D27" s="330">
        <f>'Data Sheet'!D18/'Data Sheet'!D$17</f>
      </c>
      <c r="E27" s="330">
        <f>'Data Sheet'!E18/'Data Sheet'!E$17</f>
      </c>
      <c r="F27" s="330">
        <f>'Data Sheet'!F18/'Data Sheet'!F$17</f>
      </c>
      <c r="G27" s="330">
        <f>'Data Sheet'!G18/'Data Sheet'!G$17</f>
      </c>
      <c r="H27" s="330">
        <f>'Data Sheet'!H18/'Data Sheet'!H$17</f>
      </c>
      <c r="I27" s="333">
        <f>'Data Sheet'!I18/'Data Sheet'!I$17</f>
      </c>
      <c r="J27" s="333">
        <f>'Data Sheet'!J18/'Data Sheet'!J$17</f>
      </c>
      <c r="K27" s="333">
        <f>'Data Sheet'!K18/'Data Sheet'!K$17</f>
      </c>
      <c r="M27" s="330">
        <f>SUM('Data Sheet'!I18:K18)/SUM('Data Sheet'!$I$17:$K$17)</f>
      </c>
      <c r="N27" s="330">
        <f>SUM('Data Sheet'!F18:I18)/SUM('Data Sheet'!$F$17:$I$17)</f>
      </c>
      <c r="O27" s="330">
        <f>SUM('Data Sheet'!B18:I18)/SUM('Data Sheet'!$B$17:$I$17)</f>
      </c>
    </row>
    <row r="28" spans="1:18" x14ac:dyDescent="0.2">
      <c r="A28" s="340" t="s">
        <v>661</v>
      </c>
      <c r="B28" s="330">
        <f>'Data Sheet'!B19/'Data Sheet'!B$17</f>
      </c>
      <c r="C28" s="330">
        <f>'Data Sheet'!C19/'Data Sheet'!C$17</f>
      </c>
      <c r="D28" s="330">
        <f>'Data Sheet'!D19/'Data Sheet'!D$17</f>
      </c>
      <c r="E28" s="330">
        <f>'Data Sheet'!E19/'Data Sheet'!E$17</f>
      </c>
      <c r="F28" s="330">
        <f>'Data Sheet'!F19/'Data Sheet'!F$17</f>
      </c>
      <c r="G28" s="330">
        <f>'Data Sheet'!G19/'Data Sheet'!G$17</f>
      </c>
      <c r="H28" s="330">
        <f>'Data Sheet'!H19/'Data Sheet'!H$17</f>
      </c>
      <c r="I28" s="330">
        <f>'Data Sheet'!I19/'Data Sheet'!I$17</f>
      </c>
      <c r="J28" s="330">
        <f>'Data Sheet'!J19/'Data Sheet'!J$17</f>
      </c>
      <c r="K28" s="334">
        <f>'Data Sheet'!K19/'Data Sheet'!K$17</f>
      </c>
      <c r="L28" s="335" t="s">
        <v>678</v>
      </c>
      <c r="M28" s="330">
        <f>SUM('Data Sheet'!I19:K19)/SUM('Data Sheet'!$I$17:$K$17)</f>
      </c>
      <c r="N28" s="330">
        <f>SUM('Data Sheet'!F19:I19)/SUM('Data Sheet'!$F$17:$I$17)</f>
      </c>
      <c r="O28" s="330">
        <f>SUM('Data Sheet'!B19:I19)/SUM('Data Sheet'!$B$17:$I$17)</f>
      </c>
    </row>
    <row r="29" spans="1:18" x14ac:dyDescent="0.2">
      <c r="A29" s="340" t="s">
        <v>662</v>
      </c>
      <c r="B29" s="330">
        <f>'Data Sheet'!B20/'Data Sheet'!B$17</f>
      </c>
      <c r="C29" s="330">
        <f>'Data Sheet'!C20/'Data Sheet'!C$17</f>
      </c>
      <c r="D29" s="330">
        <f>'Data Sheet'!D20/'Data Sheet'!D$17</f>
      </c>
      <c r="E29" s="330">
        <f>'Data Sheet'!E20/'Data Sheet'!E$17</f>
      </c>
      <c r="F29" s="330">
        <f>'Data Sheet'!F20/'Data Sheet'!F$17</f>
      </c>
      <c r="G29" s="330">
        <f>'Data Sheet'!G20/'Data Sheet'!G$17</f>
      </c>
      <c r="H29" s="330">
        <f>'Data Sheet'!H20/'Data Sheet'!H$17</f>
      </c>
      <c r="I29" s="330">
        <f>'Data Sheet'!I20/'Data Sheet'!I$17</f>
      </c>
      <c r="J29" s="330">
        <f>'Data Sheet'!J20/'Data Sheet'!J$17</f>
      </c>
      <c r="K29" s="330">
        <f>'Data Sheet'!K20/'Data Sheet'!K$17</f>
      </c>
      <c r="M29" s="330">
        <f>SUM('Data Sheet'!I20:K20)/SUM('Data Sheet'!$I$17:$K$17)</f>
      </c>
      <c r="N29" s="330">
        <f>SUM('Data Sheet'!F20:I20)/SUM('Data Sheet'!$F$17:$I$17)</f>
      </c>
      <c r="O29" s="330">
        <f>SUM('Data Sheet'!B20:I20)/SUM('Data Sheet'!$B$17:$I$17)</f>
      </c>
    </row>
    <row r="30" spans="1:18" x14ac:dyDescent="0.2">
      <c r="A30" s="340" t="s">
        <v>663</v>
      </c>
      <c r="B30" s="330">
        <f>'Data Sheet'!B21/'Data Sheet'!B$17</f>
      </c>
      <c r="C30" s="330">
        <f>'Data Sheet'!C21/'Data Sheet'!C$17</f>
      </c>
      <c r="D30" s="330">
        <f>'Data Sheet'!D21/'Data Sheet'!D$17</f>
      </c>
      <c r="E30" s="330">
        <f>'Data Sheet'!E21/'Data Sheet'!E$17</f>
      </c>
      <c r="F30" s="330">
        <f>'Data Sheet'!F21/'Data Sheet'!F$17</f>
      </c>
      <c r="G30" s="330">
        <f>'Data Sheet'!G21/'Data Sheet'!G$17</f>
      </c>
      <c r="H30" s="330">
        <f>'Data Sheet'!H21/'Data Sheet'!H$17</f>
      </c>
      <c r="I30" s="330">
        <f>'Data Sheet'!I21/'Data Sheet'!I$17</f>
      </c>
      <c r="J30" s="330">
        <f>'Data Sheet'!J21/'Data Sheet'!J$17</f>
      </c>
      <c r="K30" s="330">
        <f>'Data Sheet'!K21/'Data Sheet'!K$17</f>
      </c>
      <c r="M30" s="330">
        <f>SUM('Data Sheet'!I21:K21)/SUM('Data Sheet'!$I$17:$K$17)</f>
      </c>
      <c r="N30" s="330">
        <f>SUM('Data Sheet'!F21:I21)/SUM('Data Sheet'!$F$17:$I$17)</f>
      </c>
      <c r="O30" s="330">
        <f>SUM('Data Sheet'!B21:I21)/SUM('Data Sheet'!$B$17:$I$17)</f>
      </c>
    </row>
    <row r="31" spans="1:18" ht="24" x14ac:dyDescent="0.2">
      <c r="A31" s="340" t="s">
        <v>664</v>
      </c>
      <c r="B31" s="330">
        <f>'Data Sheet'!B22/'Data Sheet'!B$17</f>
      </c>
      <c r="C31" s="330">
        <f>'Data Sheet'!C22/'Data Sheet'!C$17</f>
      </c>
      <c r="D31" s="330">
        <f>'Data Sheet'!D22/'Data Sheet'!D$17</f>
      </c>
      <c r="E31" s="330">
        <f>'Data Sheet'!E22/'Data Sheet'!E$17</f>
      </c>
      <c r="F31" s="330">
        <f>'Data Sheet'!F22/'Data Sheet'!F$17</f>
      </c>
      <c r="G31" s="330">
        <f>'Data Sheet'!G22/'Data Sheet'!G$17</f>
      </c>
      <c r="H31" s="330">
        <f>'Data Sheet'!H22/'Data Sheet'!H$17</f>
      </c>
      <c r="I31" s="330">
        <f>'Data Sheet'!I22/'Data Sheet'!I$17</f>
      </c>
      <c r="J31" s="330">
        <f>'Data Sheet'!J22/'Data Sheet'!J$17</f>
      </c>
      <c r="K31" s="334">
        <f>'Data Sheet'!K22/'Data Sheet'!K$17</f>
      </c>
      <c r="L31" s="338" t="s">
        <v>677</v>
      </c>
      <c r="M31" s="330">
        <f>SUM('Data Sheet'!I22:K22)/SUM('Data Sheet'!$I$17:$K$17)</f>
      </c>
      <c r="N31" s="330">
        <f>SUM('Data Sheet'!F22:I22)/SUM('Data Sheet'!$F$17:$I$17)</f>
      </c>
      <c r="O31" s="330">
        <f>SUM('Data Sheet'!B22:I22)/SUM('Data Sheet'!$B$17:$I$17)</f>
      </c>
    </row>
    <row r="32" spans="1:18" x14ac:dyDescent="0.2">
      <c r="A32" s="340" t="s">
        <v>665</v>
      </c>
      <c r="B32" s="330">
        <f>'Data Sheet'!B23/'Data Sheet'!B$17</f>
      </c>
      <c r="C32" s="330">
        <f>'Data Sheet'!C23/'Data Sheet'!C$17</f>
      </c>
      <c r="D32" s="330">
        <f>'Data Sheet'!D23/'Data Sheet'!D$17</f>
      </c>
      <c r="E32" s="330">
        <f>'Data Sheet'!E23/'Data Sheet'!E$17</f>
      </c>
      <c r="F32" s="330">
        <f>'Data Sheet'!F23/'Data Sheet'!F$17</f>
      </c>
      <c r="G32" s="330">
        <f>'Data Sheet'!G23/'Data Sheet'!G$17</f>
      </c>
      <c r="H32" s="330">
        <f>'Data Sheet'!H23/'Data Sheet'!H$17</f>
      </c>
      <c r="I32" s="330">
        <f>'Data Sheet'!I23/'Data Sheet'!I$17</f>
      </c>
      <c r="J32" s="330">
        <f>'Data Sheet'!J23/'Data Sheet'!J$17</f>
      </c>
      <c r="K32" s="330">
        <f>'Data Sheet'!K23/'Data Sheet'!K$17</f>
      </c>
      <c r="M32" s="330">
        <f>SUM('Data Sheet'!I23:K23)/SUM('Data Sheet'!$I$17:$K$17)</f>
      </c>
      <c r="N32" s="330">
        <f>SUM('Data Sheet'!F23:I23)/SUM('Data Sheet'!$F$17:$I$17)</f>
      </c>
      <c r="O32" s="330">
        <f>SUM('Data Sheet'!B23:I23)/SUM('Data Sheet'!$B$17:$I$17)</f>
      </c>
    </row>
    <row r="33" spans="1:15" x14ac:dyDescent="0.2">
      <c r="A33" s="340" t="s">
        <v>666</v>
      </c>
      <c r="B33" s="330">
        <f>'Data Sheet'!B24/'Data Sheet'!B$17</f>
      </c>
      <c r="C33" s="330">
        <f>'Data Sheet'!C24/'Data Sheet'!C$17</f>
      </c>
      <c r="D33" s="330">
        <f>'Data Sheet'!D24/'Data Sheet'!D$17</f>
      </c>
      <c r="E33" s="330">
        <f>'Data Sheet'!E24/'Data Sheet'!E$17</f>
      </c>
      <c r="F33" s="330">
        <f>'Data Sheet'!F24/'Data Sheet'!F$17</f>
      </c>
      <c r="G33" s="330">
        <f>'Data Sheet'!G24/'Data Sheet'!G$17</f>
      </c>
      <c r="H33" s="330">
        <f>'Data Sheet'!H24/'Data Sheet'!H$17</f>
      </c>
      <c r="I33" s="330">
        <f>'Data Sheet'!I24/'Data Sheet'!I$17</f>
      </c>
      <c r="J33" s="330">
        <f>'Data Sheet'!J24/'Data Sheet'!J$17</f>
      </c>
      <c r="K33" s="330">
        <f>'Data Sheet'!K24/'Data Sheet'!K$17</f>
      </c>
      <c r="M33" s="330">
        <f>SUM('Data Sheet'!I24:K24)/SUM('Data Sheet'!$I$17:$K$17)</f>
      </c>
      <c r="N33" s="330">
        <f>SUM('Data Sheet'!F24:I24)/SUM('Data Sheet'!$F$17:$I$17)</f>
      </c>
      <c r="O33" s="330">
        <f>SUM('Data Sheet'!B24:I24)/SUM('Data Sheet'!$B$17:$I$17)</f>
      </c>
    </row>
    <row r="34" spans="1:15" x14ac:dyDescent="0.2">
      <c r="A34" s="326" t="s">
        <v>660</v>
      </c>
      <c r="B34" s="330">
        <f>'Data Sheet'!B25/'Data Sheet'!B$17</f>
      </c>
      <c r="C34" s="330">
        <f>'Data Sheet'!C25/'Data Sheet'!C$17</f>
      </c>
      <c r="D34" s="330">
        <f>'Data Sheet'!D25/'Data Sheet'!D$17</f>
      </c>
      <c r="E34" s="330">
        <f>'Data Sheet'!E25/'Data Sheet'!E$17</f>
      </c>
      <c r="F34" s="330">
        <f>'Data Sheet'!F25/'Data Sheet'!F$17</f>
      </c>
      <c r="G34" s="330">
        <f>'Data Sheet'!G25/'Data Sheet'!G$17</f>
      </c>
      <c r="H34" s="330">
        <f>'Data Sheet'!H25/'Data Sheet'!H$17</f>
      </c>
      <c r="I34" s="330">
        <f>'Data Sheet'!I25/'Data Sheet'!I$17</f>
      </c>
      <c r="J34" s="330">
        <f>'Data Sheet'!J25/'Data Sheet'!J$17</f>
      </c>
      <c r="K34" s="330">
        <f>'Data Sheet'!K25/'Data Sheet'!K$17</f>
      </c>
      <c r="M34" s="330">
        <f>SUM('Data Sheet'!I25:K25)/SUM('Data Sheet'!$I$17:$K$17)</f>
      </c>
      <c r="N34" s="330">
        <f>SUM('Data Sheet'!F25:I25)/SUM('Data Sheet'!$F$17:$I$17)</f>
      </c>
      <c r="O34" s="330">
        <f>SUM('Data Sheet'!B25:I25)/SUM('Data Sheet'!$B$17:$I$17)</f>
      </c>
    </row>
    <row r="35" spans="1:15" x14ac:dyDescent="0.2">
      <c r="A35" s="340" t="s">
        <v>667</v>
      </c>
      <c r="B35" s="336">
        <f>'Data Sheet'!B26/'Data Sheet'!B$17</f>
      </c>
      <c r="C35" s="336">
        <f>'Data Sheet'!C26/'Data Sheet'!C$17</f>
      </c>
      <c r="D35" s="336">
        <f>'Data Sheet'!D26/'Data Sheet'!D$17</f>
      </c>
      <c r="E35" s="336">
        <f>'Data Sheet'!E26/'Data Sheet'!E$17</f>
      </c>
      <c r="F35" s="336">
        <f>'Data Sheet'!F26/'Data Sheet'!F$17</f>
      </c>
      <c r="G35" s="336">
        <f>'Data Sheet'!G26/'Data Sheet'!G$17</f>
      </c>
      <c r="H35" s="336">
        <f>'Data Sheet'!H26/'Data Sheet'!H$17</f>
      </c>
      <c r="I35" s="336">
        <f>'Data Sheet'!I26/'Data Sheet'!I$17</f>
      </c>
      <c r="J35" s="336">
        <f>'Data Sheet'!J26/'Data Sheet'!J$17</f>
      </c>
      <c r="K35" s="341">
        <f>'Data Sheet'!K26/'Data Sheet'!K$17</f>
      </c>
      <c r="L35" s="335"/>
      <c r="M35" s="330">
        <f>SUM('Data Sheet'!I26:K26)/SUM('Data Sheet'!$I$17:$K$17)</f>
      </c>
      <c r="N35" s="330">
        <f>SUM('Data Sheet'!F26:I26)/SUM('Data Sheet'!$F$17:$I$17)</f>
      </c>
      <c r="O35" s="330">
        <f>SUM('Data Sheet'!B26:I26)/SUM('Data Sheet'!$B$17:$I$17)</f>
      </c>
    </row>
    <row r="36" spans="1:15" x14ac:dyDescent="0.2">
      <c r="A36" s="326" t="s">
        <v>431</v>
      </c>
      <c r="B36" s="330">
        <f>1-B27</f>
      </c>
      <c r="C36" s="330">
        <f t="shared" ref="C36:O36" si="8">1-C27</f>
      </c>
      <c r="D36" s="330">
        <f t="shared" si="8"/>
      </c>
      <c r="E36" s="330">
        <f t="shared" si="8"/>
      </c>
      <c r="F36" s="330">
        <f t="shared" si="8"/>
      </c>
      <c r="G36" s="330">
        <f t="shared" si="8"/>
      </c>
      <c r="H36" s="333">
        <f t="shared" si="8"/>
      </c>
      <c r="I36" s="333">
        <f t="shared" si="8"/>
      </c>
      <c r="J36" s="333">
        <f t="shared" si="8"/>
      </c>
      <c r="K36" s="333">
        <f t="shared" si="8"/>
      </c>
      <c r="L36" s="338" t="s">
        <v>683</v>
      </c>
      <c r="M36" s="333">
        <f t="shared" si="8"/>
      </c>
      <c r="N36" s="333">
        <f t="shared" si="8"/>
      </c>
      <c r="O36" s="333">
        <f t="shared" si="8"/>
      </c>
    </row>
    <row r="37" spans="1:15" x14ac:dyDescent="0.2">
      <c r="A37" s="326" t="s">
        <v>659</v>
      </c>
      <c r="B37" s="330">
        <f>('Data Sheet'!B28+'Data Sheet'!B27)/'Data Sheet'!B17</f>
      </c>
      <c r="C37" s="330">
        <f>('Data Sheet'!C28+'Data Sheet'!C27)/'Data Sheet'!C17</f>
      </c>
      <c r="D37" s="330">
        <f>('Data Sheet'!D28+'Data Sheet'!D27)/'Data Sheet'!D17</f>
      </c>
      <c r="E37" s="330">
        <f>('Data Sheet'!E28+'Data Sheet'!E27)/'Data Sheet'!E17</f>
      </c>
      <c r="F37" s="330">
        <f>('Data Sheet'!F28+'Data Sheet'!F27)/'Data Sheet'!F17</f>
      </c>
      <c r="G37" s="330">
        <f>('Data Sheet'!G28+'Data Sheet'!G27)/'Data Sheet'!G17</f>
      </c>
      <c r="H37" s="330">
        <f>('Data Sheet'!H28+'Data Sheet'!H27)/'Data Sheet'!H17</f>
      </c>
      <c r="I37" s="330">
        <f>('Data Sheet'!I28+'Data Sheet'!I27)/'Data Sheet'!I17</f>
      </c>
      <c r="J37" s="330">
        <f>('Data Sheet'!J28+'Data Sheet'!J27)/'Data Sheet'!J17</f>
      </c>
      <c r="K37" s="330">
        <f>('Data Sheet'!K28+'Data Sheet'!K27)/'Data Sheet'!K17</f>
      </c>
      <c r="M37" s="330">
        <f>(SUM('Data Sheet'!I28:K28)+SUM('Data Sheet'!I27:K27))/SUM('Data Sheet'!$I$17:$K$17)</f>
      </c>
      <c r="N37" s="330">
        <f>(SUM('Data Sheet'!F28:I28)+SUM('Data Sheet'!F27:I27))/SUM('Data Sheet'!$F$17:$I$17)</f>
      </c>
      <c r="O37" s="330">
        <f>(SUM('Data Sheet'!B28:I28)+SUM('Data Sheet'!B27:I27))/SUM('Data Sheet'!$B$17:$I$17)</f>
      </c>
    </row>
    <row r="38" spans="1:15" x14ac:dyDescent="0.2">
      <c r="A38" s="326" t="s">
        <v>202</v>
      </c>
      <c r="B38" s="336">
        <f>'Data Sheet'!B30/'Data Sheet'!B17</f>
      </c>
      <c r="C38" s="336">
        <f>'Data Sheet'!C30/'Data Sheet'!C17</f>
      </c>
      <c r="D38" s="336">
        <f>'Data Sheet'!D30/'Data Sheet'!D17</f>
      </c>
      <c r="E38" s="336">
        <f>'Data Sheet'!E30/'Data Sheet'!E17</f>
      </c>
      <c r="F38" s="336">
        <f>'Data Sheet'!F30/'Data Sheet'!F17</f>
      </c>
      <c r="G38" s="336">
        <f>'Data Sheet'!G30/'Data Sheet'!G17</f>
      </c>
      <c r="H38" s="336">
        <f>'Data Sheet'!H30/'Data Sheet'!H17</f>
      </c>
      <c r="I38" s="336">
        <f>'Data Sheet'!I30/'Data Sheet'!I17</f>
      </c>
      <c r="J38" s="336">
        <f>'Data Sheet'!J30/'Data Sheet'!J17</f>
      </c>
      <c r="K38" s="336">
        <f>'Data Sheet'!K30/'Data Sheet'!K17</f>
      </c>
      <c r="M38" s="330">
        <f>SUM('Data Sheet'!I30:K30)/SUM('Data Sheet'!$I$17:$K$17)</f>
      </c>
      <c r="N38" s="330">
        <f>SUM('Data Sheet'!F30:I30)/SUM('Data Sheet'!$F$17:$I$17)</f>
      </c>
      <c r="O38" s="330">
        <f>SUM('Data Sheet'!B30:I30)/SUM('Data Sheet'!$B$17:$I$17)</f>
      </c>
    </row>
    <row r="39" spans="1:15" x14ac:dyDescent="0.2">
      <c r="A39" s="326" t="s">
        <v>135</v>
      </c>
      <c r="B39" s="330">
        <f>'Data Sheet'!B29/'Data Sheet'!B28</f>
      </c>
      <c r="C39" s="330">
        <f>'Data Sheet'!C29/'Data Sheet'!C28</f>
      </c>
      <c r="D39" s="330">
        <f>'Data Sheet'!D29/'Data Sheet'!D28</f>
      </c>
      <c r="E39" s="334">
        <f>'Data Sheet'!E29/'Data Sheet'!E28</f>
      </c>
      <c r="F39" s="334">
        <f>'Data Sheet'!F29/'Data Sheet'!F28</f>
      </c>
      <c r="G39" s="330">
        <f>'Data Sheet'!G29/'Data Sheet'!G28</f>
      </c>
      <c r="H39" s="330">
        <f>'Data Sheet'!H29/'Data Sheet'!H28</f>
      </c>
      <c r="I39" s="330">
        <f>'Data Sheet'!I29/'Data Sheet'!I28</f>
      </c>
      <c r="J39" s="334">
        <f>'Data Sheet'!J29/'Data Sheet'!J28</f>
      </c>
      <c r="K39" s="330">
        <f>'Data Sheet'!K29/'Data Sheet'!K28</f>
      </c>
      <c r="M39" s="330">
        <f>SUM('Data Sheet'!I29:K29)/SUM('Data Sheet'!$I$28:$K$28)</f>
      </c>
      <c r="N39" s="330">
        <f>SUM('Data Sheet'!F29:I29)/SUM('Data Sheet'!$F$28:$I$28)</f>
      </c>
      <c r="O39" s="330">
        <f>SUM('Data Sheet'!B29:I29)/SUM('Data Sheet'!$B$28:$I$28)</f>
      </c>
    </row>
    <row r="40" spans="1:15" x14ac:dyDescent="0.2">
      <c r="C40" s="342"/>
      <c r="D40" s="342"/>
      <c r="E40" s="342"/>
      <c r="F40" s="342"/>
      <c r="G40" s="342"/>
      <c r="I40" s="342"/>
      <c r="J40" s="342"/>
      <c r="K40" s="342"/>
    </row>
    <row r="41" spans="1:15" ht="21" customHeight="1" x14ac:dyDescent="0.2">
      <c r="A41" s="339" t="s">
        <v>623</v>
      </c>
    </row>
    <row r="42" spans="1:15" x14ac:dyDescent="0.2">
      <c r="A42" s="326" t="s">
        <v>614</v>
      </c>
      <c r="B42" s="330">
        <f>('Data Sheet'!B62+'Data Sheet'!B45)/'Data Sheet'!B61</f>
      </c>
      <c r="C42" s="330">
        <f>('Data Sheet'!C62+'Data Sheet'!C45)/'Data Sheet'!C61</f>
      </c>
      <c r="D42" s="330">
        <f>('Data Sheet'!D62+'Data Sheet'!D45)/'Data Sheet'!D61</f>
      </c>
      <c r="E42" s="330">
        <f>('Data Sheet'!E62+'Data Sheet'!E45)/'Data Sheet'!E61</f>
      </c>
      <c r="F42" s="330">
        <f>('Data Sheet'!F62+'Data Sheet'!F45)/'Data Sheet'!F61</f>
      </c>
      <c r="G42" s="330">
        <f>('Data Sheet'!G62+'Data Sheet'!G45)/'Data Sheet'!G61</f>
      </c>
      <c r="H42" s="330">
        <f>('Data Sheet'!H62+'Data Sheet'!H45)/'Data Sheet'!H61</f>
      </c>
      <c r="I42" s="330">
        <f>('Data Sheet'!I62+'Data Sheet'!I45)/'Data Sheet'!I61</f>
      </c>
      <c r="J42" s="330">
        <f>('Data Sheet'!J62+'Data Sheet'!J45)/'Data Sheet'!J61</f>
      </c>
      <c r="K42" s="330">
        <f>('Data Sheet'!K62+'Data Sheet'!K45)/'Data Sheet'!K61</f>
      </c>
      <c r="M42" s="356">
        <f>AVERAGE(I42:K42)</f>
      </c>
      <c r="N42" s="356">
        <f>AVERAGE(G42:K42)</f>
      </c>
      <c r="O42" s="356">
        <f>AVERAGE(B42:K42)</f>
      </c>
    </row>
    <row r="43" spans="1:15" x14ac:dyDescent="0.2">
      <c r="A43" s="326" t="s">
        <v>615</v>
      </c>
      <c r="B43" s="330">
        <f>'Data Sheet'!B62/'Data Sheet'!B61</f>
      </c>
      <c r="C43" s="330">
        <f>'Data Sheet'!C62/'Data Sheet'!C61</f>
      </c>
      <c r="D43" s="330">
        <f>'Data Sheet'!D62/'Data Sheet'!D61</f>
      </c>
      <c r="E43" s="330">
        <f>'Data Sheet'!E62/'Data Sheet'!E61</f>
      </c>
      <c r="F43" s="330">
        <f>'Data Sheet'!F62/'Data Sheet'!F61</f>
      </c>
      <c r="G43" s="330">
        <f>'Data Sheet'!G62/'Data Sheet'!G61</f>
      </c>
      <c r="H43" s="330">
        <f>'Data Sheet'!H62/'Data Sheet'!H61</f>
      </c>
      <c r="I43" s="330">
        <f>'Data Sheet'!I62/'Data Sheet'!I61</f>
      </c>
      <c r="J43" s="330">
        <f>'Data Sheet'!J62/'Data Sheet'!J61</f>
      </c>
      <c r="K43" s="330">
        <f>'Data Sheet'!K62/'Data Sheet'!K61</f>
      </c>
      <c r="M43" s="356">
        <f t="shared" ref="M43:M55" si="9">AVERAGE(I43:K43)</f>
      </c>
      <c r="N43" s="356">
        <f t="shared" ref="N43:N55" si="10">AVERAGE(G43:K43)</f>
      </c>
      <c r="O43" s="356">
        <f t="shared" ref="O43:O55" si="11">AVERAGE(B43:K43)</f>
      </c>
    </row>
    <row r="44" spans="1:15" x14ac:dyDescent="0.2">
      <c r="A44" s="326" t="s">
        <v>610</v>
      </c>
      <c r="B44" s="330">
        <f>('Data Sheet'!B62+'Data Sheet'!B45)/'Data Sheet'!B17</f>
      </c>
      <c r="C44" s="330">
        <f>('Data Sheet'!C62+'Data Sheet'!C45)/'Data Sheet'!C17</f>
      </c>
      <c r="D44" s="330">
        <f>('Data Sheet'!D62+'Data Sheet'!D45)/'Data Sheet'!D17</f>
      </c>
      <c r="E44" s="330">
        <f>('Data Sheet'!E62+'Data Sheet'!E45)/'Data Sheet'!E17</f>
      </c>
      <c r="F44" s="330">
        <f>('Data Sheet'!F62+'Data Sheet'!F45)/'Data Sheet'!F17</f>
      </c>
      <c r="G44" s="330">
        <f>('Data Sheet'!G62+'Data Sheet'!G45)/'Data Sheet'!G17</f>
      </c>
      <c r="H44" s="330">
        <f>('Data Sheet'!H62+'Data Sheet'!H45)/'Data Sheet'!H17</f>
      </c>
      <c r="I44" s="330">
        <f>('Data Sheet'!I62+'Data Sheet'!I45)/'Data Sheet'!I17</f>
      </c>
      <c r="J44" s="330">
        <f>('Data Sheet'!J62+'Data Sheet'!J45)/'Data Sheet'!J17</f>
      </c>
      <c r="K44" s="330">
        <f>('Data Sheet'!K62+'Data Sheet'!K45)/'Data Sheet'!K17</f>
      </c>
      <c r="M44" s="356">
        <f t="shared" si="9"/>
      </c>
      <c r="N44" s="356">
        <f t="shared" si="10"/>
      </c>
      <c r="O44" s="356">
        <f t="shared" si="11"/>
      </c>
    </row>
    <row r="45" spans="1:15" x14ac:dyDescent="0.2">
      <c r="A45" s="326" t="s">
        <v>611</v>
      </c>
      <c r="B45" s="330">
        <f>('Data Sheet'!B62)/'Data Sheet'!B17</f>
      </c>
      <c r="C45" s="330">
        <f>('Data Sheet'!C62)/'Data Sheet'!C17</f>
      </c>
      <c r="D45" s="330">
        <f>('Data Sheet'!D62)/'Data Sheet'!D17</f>
      </c>
      <c r="E45" s="330">
        <f>('Data Sheet'!E62)/'Data Sheet'!E17</f>
      </c>
      <c r="F45" s="330">
        <f>('Data Sheet'!F62)/'Data Sheet'!F17</f>
      </c>
      <c r="G45" s="330">
        <f>('Data Sheet'!G62)/'Data Sheet'!G17</f>
      </c>
      <c r="H45" s="330">
        <f>('Data Sheet'!H62)/'Data Sheet'!H17</f>
      </c>
      <c r="I45" s="330">
        <f>('Data Sheet'!I62)/'Data Sheet'!I17</f>
      </c>
      <c r="J45" s="330">
        <f>('Data Sheet'!J62)/'Data Sheet'!J17</f>
      </c>
      <c r="K45" s="330">
        <f>('Data Sheet'!K62)/'Data Sheet'!K17</f>
      </c>
      <c r="M45" s="356">
        <f t="shared" si="9"/>
      </c>
      <c r="N45" s="356">
        <f t="shared" si="10"/>
      </c>
      <c r="O45" s="356">
        <f t="shared" si="11"/>
      </c>
    </row>
    <row r="46" spans="1:15" x14ac:dyDescent="0.2">
      <c r="A46" s="326" t="s">
        <v>609</v>
      </c>
      <c r="C46" s="330">
        <f>C12/'Data Sheet'!C61</f>
      </c>
      <c r="D46" s="330">
        <f>D12/'Data Sheet'!D61</f>
      </c>
      <c r="E46" s="330">
        <f>E12/'Data Sheet'!E61</f>
      </c>
      <c r="F46" s="330">
        <f>F12/'Data Sheet'!F61</f>
      </c>
      <c r="G46" s="330">
        <f>G12/'Data Sheet'!G61</f>
      </c>
      <c r="H46" s="330">
        <f>H12/'Data Sheet'!H61</f>
      </c>
      <c r="I46" s="330">
        <f>I12/'Data Sheet'!I61</f>
      </c>
      <c r="J46" s="330">
        <f>J12/'Data Sheet'!J61</f>
      </c>
      <c r="K46" s="330">
        <f>K12/'Data Sheet'!K61</f>
      </c>
      <c r="M46" s="356">
        <f t="shared" si="9"/>
      </c>
      <c r="N46" s="356">
        <f t="shared" si="10"/>
      </c>
      <c r="O46" s="356">
        <f t="shared" si="11"/>
      </c>
    </row>
    <row r="47" spans="1:15" x14ac:dyDescent="0.2">
      <c r="A47" s="326" t="s">
        <v>621</v>
      </c>
      <c r="C47" s="330">
        <f>C12/('Data Sheet'!C62+'Data Sheet'!C45)</f>
      </c>
      <c r="D47" s="330">
        <f>D12/('Data Sheet'!D62+'Data Sheet'!D45)</f>
      </c>
      <c r="E47" s="330">
        <f>E12/('Data Sheet'!E62+'Data Sheet'!E45)</f>
      </c>
      <c r="F47" s="330">
        <f>F12/('Data Sheet'!F62+'Data Sheet'!F45)</f>
      </c>
      <c r="G47" s="330">
        <f>G12/('Data Sheet'!G62+'Data Sheet'!G45)</f>
      </c>
      <c r="H47" s="330">
        <f>H12/('Data Sheet'!H62+'Data Sheet'!H45)</f>
      </c>
      <c r="I47" s="330">
        <f>I12/('Data Sheet'!I62+'Data Sheet'!I45)</f>
      </c>
      <c r="J47" s="330">
        <f>J12/('Data Sheet'!J62+'Data Sheet'!J45)</f>
      </c>
      <c r="K47" s="330">
        <f>K12/('Data Sheet'!K62+'Data Sheet'!K45)</f>
      </c>
      <c r="M47" s="356">
        <f t="shared" si="9"/>
      </c>
      <c r="N47" s="356">
        <f t="shared" si="10"/>
      </c>
      <c r="O47" s="356">
        <f t="shared" si="11"/>
      </c>
    </row>
    <row r="48" spans="1:15" ht="24" x14ac:dyDescent="0.2">
      <c r="A48" s="326" t="s">
        <v>622</v>
      </c>
      <c r="C48" s="334">
        <f>C12/'Data Sheet'!C62</f>
      </c>
      <c r="D48" s="330">
        <f>D12/'Data Sheet'!D62</f>
      </c>
      <c r="E48" s="330">
        <f>E12/'Data Sheet'!E62</f>
      </c>
      <c r="F48" s="330">
        <f>F12/'Data Sheet'!F62</f>
      </c>
      <c r="G48" s="334">
        <f>G12/'Data Sheet'!G62</f>
      </c>
      <c r="H48" s="334">
        <f>H12/'Data Sheet'!H62</f>
      </c>
      <c r="I48" s="334">
        <f>I12/'Data Sheet'!I62</f>
      </c>
      <c r="J48" s="334">
        <f>J12/'Data Sheet'!J62</f>
      </c>
      <c r="K48" s="334">
        <f>K12/'Data Sheet'!K62</f>
      </c>
      <c r="L48" s="338" t="s">
        <v>682</v>
      </c>
      <c r="M48" s="356">
        <f t="shared" si="9"/>
      </c>
      <c r="N48" s="356">
        <f t="shared" si="10"/>
      </c>
      <c r="O48" s="356">
        <f t="shared" si="11"/>
      </c>
    </row>
    <row r="49" spans="1:15" x14ac:dyDescent="0.2">
      <c r="A49" s="326" t="s">
        <v>612</v>
      </c>
      <c r="B49" s="330">
        <f>('Data Sheet'!B62+'Data Sheet'!B45)/'Data Sheet'!B66</f>
      </c>
      <c r="C49" s="330">
        <f>('Data Sheet'!C62+'Data Sheet'!C45)/'Data Sheet'!C66</f>
      </c>
      <c r="D49" s="330">
        <f>('Data Sheet'!D62+'Data Sheet'!D45)/'Data Sheet'!D66</f>
      </c>
      <c r="E49" s="330">
        <f>('Data Sheet'!E62+'Data Sheet'!E45)/'Data Sheet'!E66</f>
      </c>
      <c r="F49" s="330">
        <f>('Data Sheet'!F62+'Data Sheet'!F45)/'Data Sheet'!F66</f>
      </c>
      <c r="G49" s="330">
        <f>('Data Sheet'!G62+'Data Sheet'!G45)/'Data Sheet'!G66</f>
      </c>
      <c r="H49" s="330">
        <f>('Data Sheet'!H62+'Data Sheet'!H45)/'Data Sheet'!H66</f>
      </c>
      <c r="I49" s="330">
        <f>('Data Sheet'!I62+'Data Sheet'!I45)/'Data Sheet'!I66</f>
      </c>
      <c r="J49" s="330">
        <f>('Data Sheet'!J62+'Data Sheet'!J45)/'Data Sheet'!J66</f>
      </c>
      <c r="K49" s="330">
        <f>('Data Sheet'!K62+'Data Sheet'!K45)/'Data Sheet'!K66</f>
      </c>
      <c r="M49" s="356">
        <f t="shared" si="9"/>
      </c>
      <c r="N49" s="356">
        <f t="shared" si="10"/>
      </c>
      <c r="O49" s="356">
        <f t="shared" si="11"/>
      </c>
    </row>
    <row r="50" spans="1:15" x14ac:dyDescent="0.2">
      <c r="A50" s="326" t="s">
        <v>613</v>
      </c>
      <c r="B50" s="330">
        <f>'Data Sheet'!B62/'Data Sheet'!B66</f>
      </c>
      <c r="C50" s="330">
        <f>'Data Sheet'!C62/'Data Sheet'!C66</f>
      </c>
      <c r="D50" s="330">
        <f>'Data Sheet'!D62/'Data Sheet'!D66</f>
      </c>
      <c r="E50" s="330">
        <f>'Data Sheet'!E62/'Data Sheet'!E66</f>
      </c>
      <c r="F50" s="330">
        <f>'Data Sheet'!F62/'Data Sheet'!F66</f>
      </c>
      <c r="G50" s="330">
        <f>'Data Sheet'!G62/'Data Sheet'!G66</f>
      </c>
      <c r="H50" s="330">
        <f>'Data Sheet'!H62/'Data Sheet'!H66</f>
      </c>
      <c r="I50" s="330">
        <f>'Data Sheet'!I62/'Data Sheet'!I66</f>
      </c>
      <c r="J50" s="330">
        <f>'Data Sheet'!J62/'Data Sheet'!J66</f>
      </c>
      <c r="K50" s="330">
        <f>'Data Sheet'!K62/'Data Sheet'!K66</f>
      </c>
      <c r="M50" s="356">
        <f t="shared" si="9"/>
      </c>
      <c r="N50" s="356">
        <f t="shared" si="10"/>
      </c>
      <c r="O50" s="356">
        <f t="shared" si="11"/>
      </c>
    </row>
    <row r="51" spans="1:15" x14ac:dyDescent="0.2">
      <c r="A51" s="326" t="s">
        <v>616</v>
      </c>
      <c r="B51" s="330">
        <f>'Data Sheet'!B64/'Data Sheet'!B61</f>
      </c>
      <c r="C51" s="330">
        <f>'Data Sheet'!C64/'Data Sheet'!C61</f>
      </c>
      <c r="D51" s="330">
        <f>'Data Sheet'!D64/'Data Sheet'!D61</f>
      </c>
      <c r="E51" s="330">
        <f>'Data Sheet'!E64/'Data Sheet'!E61</f>
      </c>
      <c r="F51" s="330">
        <f>'Data Sheet'!F64/'Data Sheet'!F61</f>
      </c>
      <c r="G51" s="330">
        <f>'Data Sheet'!G64/'Data Sheet'!G61</f>
      </c>
      <c r="H51" s="330">
        <f>'Data Sheet'!H64/'Data Sheet'!H61</f>
      </c>
      <c r="I51" s="330">
        <f>'Data Sheet'!I64/'Data Sheet'!I61</f>
      </c>
      <c r="J51" s="330">
        <f>'Data Sheet'!J64/'Data Sheet'!J61</f>
      </c>
      <c r="K51" s="330">
        <f>'Data Sheet'!K64/'Data Sheet'!K61</f>
      </c>
      <c r="M51" s="356">
        <f t="shared" si="9"/>
      </c>
      <c r="N51" s="356">
        <f t="shared" si="10"/>
      </c>
      <c r="O51" s="356">
        <f t="shared" si="11"/>
      </c>
    </row>
    <row r="52" spans="1:15" x14ac:dyDescent="0.2">
      <c r="A52" s="326" t="s">
        <v>617</v>
      </c>
      <c r="B52" s="330">
        <f>'Data Sheet'!B65/'Data Sheet'!B61</f>
      </c>
      <c r="C52" s="330">
        <f>'Data Sheet'!C65/'Data Sheet'!C61</f>
      </c>
      <c r="D52" s="330">
        <f>'Data Sheet'!D65/'Data Sheet'!D61</f>
      </c>
      <c r="E52" s="330">
        <f>'Data Sheet'!E65/'Data Sheet'!E61</f>
      </c>
      <c r="F52" s="330">
        <f>'Data Sheet'!F65/'Data Sheet'!F61</f>
      </c>
      <c r="G52" s="330">
        <f>'Data Sheet'!G65/'Data Sheet'!G61</f>
      </c>
      <c r="H52" s="330">
        <f>'Data Sheet'!H65/'Data Sheet'!H61</f>
      </c>
      <c r="I52" s="330">
        <f>'Data Sheet'!I65/'Data Sheet'!I61</f>
      </c>
      <c r="J52" s="330">
        <f>'Data Sheet'!J65/'Data Sheet'!J61</f>
      </c>
      <c r="K52" s="330">
        <f>'Data Sheet'!K65/'Data Sheet'!K61</f>
      </c>
      <c r="L52" s="335" t="s">
        <v>681</v>
      </c>
      <c r="M52" s="356">
        <f t="shared" si="9"/>
      </c>
      <c r="N52" s="356">
        <f t="shared" si="10"/>
      </c>
      <c r="O52" s="356">
        <f t="shared" si="11"/>
      </c>
    </row>
    <row r="53" spans="1:15" x14ac:dyDescent="0.2">
      <c r="A53" s="326" t="s">
        <v>618</v>
      </c>
      <c r="B53" s="330">
        <f>'Data Sheet'!B63/'Data Sheet'!B61</f>
      </c>
      <c r="C53" s="330">
        <f>'Data Sheet'!C63/'Data Sheet'!C61</f>
      </c>
      <c r="D53" s="330">
        <f>'Data Sheet'!D63/'Data Sheet'!D61</f>
      </c>
      <c r="E53" s="330">
        <f>'Data Sheet'!E63/'Data Sheet'!E61</f>
      </c>
      <c r="F53" s="330">
        <f>'Data Sheet'!F63/'Data Sheet'!F61</f>
      </c>
      <c r="G53" s="330">
        <f>'Data Sheet'!G63/'Data Sheet'!G61</f>
      </c>
      <c r="H53" s="330">
        <f>'Data Sheet'!H63/'Data Sheet'!H61</f>
      </c>
      <c r="I53" s="330">
        <f>'Data Sheet'!I63/'Data Sheet'!I61</f>
      </c>
      <c r="J53" s="330">
        <f>'Data Sheet'!J63/'Data Sheet'!J61</f>
      </c>
      <c r="K53" s="330">
        <f>'Data Sheet'!K63/'Data Sheet'!K61</f>
      </c>
      <c r="M53" s="356">
        <f t="shared" si="9"/>
      </c>
      <c r="N53" s="356">
        <f t="shared" si="10"/>
      </c>
      <c r="O53" s="356">
        <f t="shared" si="11"/>
      </c>
    </row>
    <row r="54" spans="1:15" x14ac:dyDescent="0.2">
      <c r="A54" s="326" t="s">
        <v>619</v>
      </c>
      <c r="B54" s="330">
        <f>'Data Sheet'!B63/('Data Sheet'!B62+'Data Sheet'!B45)</f>
      </c>
      <c r="C54" s="330">
        <f>'Data Sheet'!C63/('Data Sheet'!C62+'Data Sheet'!C45)</f>
      </c>
      <c r="D54" s="330">
        <f>'Data Sheet'!D63/('Data Sheet'!D62+'Data Sheet'!D45)</f>
      </c>
      <c r="E54" s="330">
        <f>'Data Sheet'!E63/('Data Sheet'!E62+'Data Sheet'!E45)</f>
      </c>
      <c r="F54" s="330">
        <f>'Data Sheet'!F63/('Data Sheet'!F62+'Data Sheet'!F45)</f>
      </c>
      <c r="G54" s="330">
        <f>'Data Sheet'!G63/('Data Sheet'!G62+'Data Sheet'!G45)</f>
      </c>
      <c r="H54" s="330">
        <f>'Data Sheet'!H63/('Data Sheet'!H62+'Data Sheet'!H45)</f>
      </c>
      <c r="I54" s="330">
        <f>'Data Sheet'!I63/('Data Sheet'!I62+'Data Sheet'!I45)</f>
      </c>
      <c r="J54" s="330">
        <f>'Data Sheet'!J63/('Data Sheet'!J62+'Data Sheet'!J45)</f>
      </c>
      <c r="K54" s="330">
        <f>'Data Sheet'!K63/('Data Sheet'!K62+'Data Sheet'!K45)</f>
      </c>
      <c r="M54" s="356">
        <f t="shared" si="9"/>
      </c>
      <c r="N54" s="356">
        <f t="shared" si="10"/>
      </c>
      <c r="O54" s="356">
        <f t="shared" si="11"/>
      </c>
    </row>
    <row r="55" spans="1:15" x14ac:dyDescent="0.2">
      <c r="A55" s="326" t="s">
        <v>620</v>
      </c>
      <c r="B55" s="334">
        <f>'Data Sheet'!B63/'Data Sheet'!B62</f>
      </c>
      <c r="C55" s="334">
        <f>'Data Sheet'!C63/'Data Sheet'!C62</f>
      </c>
      <c r="D55" s="330">
        <f>'Data Sheet'!D63/'Data Sheet'!D62</f>
      </c>
      <c r="E55" s="330">
        <f>'Data Sheet'!E63/'Data Sheet'!E62</f>
      </c>
      <c r="F55" s="330">
        <f>'Data Sheet'!F63/'Data Sheet'!F62</f>
      </c>
      <c r="G55" s="330">
        <f>'Data Sheet'!G63/'Data Sheet'!G62</f>
      </c>
      <c r="H55" s="334">
        <f>'Data Sheet'!H63/'Data Sheet'!H62</f>
      </c>
      <c r="I55" s="334">
        <f>'Data Sheet'!I63/'Data Sheet'!I62</f>
      </c>
      <c r="J55" s="330">
        <f>'Data Sheet'!J63/'Data Sheet'!J62</f>
      </c>
      <c r="K55" s="330">
        <f>'Data Sheet'!K63/'Data Sheet'!K62</f>
      </c>
      <c r="M55" s="356">
        <f t="shared" si="9"/>
      </c>
      <c r="N55" s="356">
        <f t="shared" si="10"/>
      </c>
      <c r="O55" s="356">
        <f t="shared" si="11"/>
      </c>
    </row>
    <row r="57" spans="1:15" x14ac:dyDescent="0.2">
      <c r="A57" s="343" t="s">
        <v>624</v>
      </c>
    </row>
    <row r="58" spans="1:15" x14ac:dyDescent="0.2">
      <c r="A58" s="326" t="s">
        <v>625</v>
      </c>
      <c r="B58" s="329">
        <f>'Data Sheet'!B59/('Data Sheet'!B57+'Data Sheet'!B58)</f>
      </c>
      <c r="C58" s="329">
        <f>'Data Sheet'!C59/('Data Sheet'!C57+'Data Sheet'!C58)</f>
      </c>
      <c r="D58" s="329">
        <f>'Data Sheet'!D59/('Data Sheet'!D57+'Data Sheet'!D58)</f>
      </c>
      <c r="E58" s="329">
        <f>'Data Sheet'!E59/('Data Sheet'!E57+'Data Sheet'!E58)</f>
      </c>
      <c r="F58" s="329">
        <f>'Data Sheet'!F59/('Data Sheet'!F57+'Data Sheet'!F58)</f>
      </c>
      <c r="G58" s="329">
        <f>'Data Sheet'!G59/('Data Sheet'!G57+'Data Sheet'!G58)</f>
      </c>
      <c r="H58" s="329">
        <f>'Data Sheet'!H59/('Data Sheet'!H57+'Data Sheet'!H58)</f>
      </c>
      <c r="I58" s="329">
        <f>'Data Sheet'!I59/('Data Sheet'!I57+'Data Sheet'!I58)</f>
      </c>
      <c r="J58" s="329">
        <f>'Data Sheet'!J59/('Data Sheet'!J57+'Data Sheet'!J58)</f>
      </c>
      <c r="K58" s="344">
        <f>'Data Sheet'!K59/('Data Sheet'!K57+'Data Sheet'!K58)</f>
      </c>
      <c r="L58" s="338" t="s">
        <v>684</v>
      </c>
      <c r="M58" s="329">
        <f t="shared" ref="M58" si="12">AVERAGE(I58:K58)</f>
      </c>
      <c r="N58" s="329">
        <f t="shared" ref="N58" si="13">AVERAGE(G58:K58)</f>
      </c>
      <c r="O58" s="329">
        <f t="shared" ref="O58" si="14">AVERAGE(B58:K58)</f>
      </c>
    </row>
    <row r="59" spans="1:15" x14ac:dyDescent="0.2">
      <c r="A59" s="326" t="s">
        <v>314</v>
      </c>
      <c r="B59" s="329">
        <f>'Data Sheet'!B65/'Data Sheet'!B60</f>
      </c>
      <c r="C59" s="329">
        <f>'Data Sheet'!C65/'Data Sheet'!C60</f>
      </c>
      <c r="D59" s="329">
        <f>'Data Sheet'!D65/'Data Sheet'!D60</f>
      </c>
      <c r="E59" s="329">
        <f>'Data Sheet'!E65/'Data Sheet'!E60</f>
      </c>
      <c r="F59" s="329">
        <f>'Data Sheet'!F65/'Data Sheet'!F60</f>
      </c>
      <c r="G59" s="329">
        <f>'Data Sheet'!G65/'Data Sheet'!G60</f>
      </c>
      <c r="H59" s="329">
        <f>'Data Sheet'!H65/'Data Sheet'!H60</f>
      </c>
      <c r="I59" s="329">
        <f>'Data Sheet'!I65/'Data Sheet'!I60</f>
      </c>
      <c r="J59" s="329">
        <f>'Data Sheet'!J65/'Data Sheet'!J60</f>
      </c>
      <c r="K59" s="344">
        <f>'Data Sheet'!K65/'Data Sheet'!K60</f>
      </c>
      <c r="M59" s="329">
        <f t="shared" ref="M59:M69" si="15">AVERAGE(I59:K59)</f>
      </c>
      <c r="N59" s="329">
        <f t="shared" ref="N59:N69" si="16">AVERAGE(G59:K59)</f>
      </c>
      <c r="O59" s="329">
        <f t="shared" ref="O59:O69" si="17">AVERAGE(B59:K59)</f>
      </c>
    </row>
    <row r="60" spans="1:15" x14ac:dyDescent="0.2">
      <c r="A60" s="326" t="s">
        <v>310</v>
      </c>
      <c r="B60" s="329">
        <f>('Data Sheet'!B27+'Data Sheet'!B28)/'Data Sheet'!B27</f>
      </c>
      <c r="C60" s="329">
        <f>('Data Sheet'!C27+'Data Sheet'!C28)/'Data Sheet'!C27</f>
      </c>
      <c r="D60" s="329">
        <f>('Data Sheet'!D27+'Data Sheet'!D28)/'Data Sheet'!D27</f>
      </c>
      <c r="E60" s="329">
        <f>('Data Sheet'!E27+'Data Sheet'!E28)/'Data Sheet'!E27</f>
      </c>
      <c r="F60" s="329">
        <f>('Data Sheet'!F27+'Data Sheet'!F28)/'Data Sheet'!F27</f>
      </c>
      <c r="G60" s="329">
        <f>('Data Sheet'!G27+'Data Sheet'!G28)/'Data Sheet'!G27</f>
      </c>
      <c r="H60" s="329">
        <f>('Data Sheet'!H27+'Data Sheet'!H28)/'Data Sheet'!H27</f>
      </c>
      <c r="I60" s="329">
        <f>('Data Sheet'!I27+'Data Sheet'!I28)/'Data Sheet'!I27</f>
      </c>
      <c r="J60" s="329">
        <f>('Data Sheet'!J27+'Data Sheet'!J28)/'Data Sheet'!J27</f>
      </c>
      <c r="K60" s="344">
        <f>('Data Sheet'!K27+'Data Sheet'!K28)/'Data Sheet'!K27</f>
      </c>
      <c r="M60" s="329">
        <f t="shared" si="15"/>
      </c>
      <c r="N60" s="329">
        <f t="shared" si="16"/>
      </c>
      <c r="O60" s="329">
        <f t="shared" si="17"/>
      </c>
    </row>
    <row r="61" spans="1:15" x14ac:dyDescent="0.2">
      <c r="A61" s="326" t="s">
        <v>626</v>
      </c>
      <c r="B61" s="329">
        <f>'Data Sheet'!B61/('Data Sheet'!B57+'Data Sheet'!B58)</f>
      </c>
      <c r="C61" s="329">
        <f>'Data Sheet'!C61/('Data Sheet'!C57+'Data Sheet'!C58)</f>
      </c>
      <c r="D61" s="329">
        <f>'Data Sheet'!D61/('Data Sheet'!D57+'Data Sheet'!D58)</f>
      </c>
      <c r="E61" s="329">
        <f>'Data Sheet'!E61/('Data Sheet'!E57+'Data Sheet'!E58)</f>
      </c>
      <c r="F61" s="329">
        <f>'Data Sheet'!F61/('Data Sheet'!F57+'Data Sheet'!F58)</f>
      </c>
      <c r="G61" s="329">
        <f>'Data Sheet'!G61/('Data Sheet'!G57+'Data Sheet'!G58)</f>
      </c>
      <c r="H61" s="329">
        <f>'Data Sheet'!H61/('Data Sheet'!H57+'Data Sheet'!H58)</f>
      </c>
      <c r="I61" s="329">
        <f>'Data Sheet'!I61/('Data Sheet'!I57+'Data Sheet'!I58)</f>
      </c>
      <c r="J61" s="329">
        <f>'Data Sheet'!J61/('Data Sheet'!J57+'Data Sheet'!J58)</f>
      </c>
      <c r="K61" s="344">
        <f>'Data Sheet'!K61/('Data Sheet'!K57+'Data Sheet'!K58)</f>
      </c>
      <c r="M61" s="329">
        <f t="shared" si="15"/>
      </c>
      <c r="N61" s="329">
        <f t="shared" si="16"/>
      </c>
      <c r="O61" s="329">
        <f t="shared" si="17"/>
      </c>
    </row>
    <row r="62" spans="1:15" x14ac:dyDescent="0.2">
      <c r="A62" s="326" t="s">
        <v>315</v>
      </c>
      <c r="B62" s="329">
        <f>('Data Sheet'!B65-'Data Sheet'!B68)/'Data Sheet'!B60</f>
      </c>
      <c r="C62" s="329">
        <f>('Data Sheet'!C65-'Data Sheet'!C68)/'Data Sheet'!C60</f>
      </c>
      <c r="D62" s="329">
        <f>('Data Sheet'!D65-'Data Sheet'!D68)/'Data Sheet'!D60</f>
      </c>
      <c r="E62" s="329">
        <f>('Data Sheet'!E65-'Data Sheet'!E68)/'Data Sheet'!E60</f>
      </c>
      <c r="F62" s="329">
        <f>('Data Sheet'!F65-'Data Sheet'!F68)/'Data Sheet'!F60</f>
      </c>
      <c r="G62" s="329">
        <f>('Data Sheet'!G65-'Data Sheet'!G68)/'Data Sheet'!G60</f>
      </c>
      <c r="H62" s="329">
        <f>('Data Sheet'!H65-'Data Sheet'!H68)/'Data Sheet'!H60</f>
      </c>
      <c r="I62" s="329">
        <f>('Data Sheet'!I65-'Data Sheet'!I68)/'Data Sheet'!I60</f>
      </c>
      <c r="J62" s="329">
        <f>('Data Sheet'!J65-'Data Sheet'!J68)/'Data Sheet'!J60</f>
      </c>
      <c r="K62" s="344">
        <f>('Data Sheet'!K65-'Data Sheet'!K68)/'Data Sheet'!K60</f>
      </c>
      <c r="M62" s="329">
        <f t="shared" si="15"/>
      </c>
      <c r="N62" s="329">
        <f t="shared" si="16"/>
      </c>
      <c r="O62" s="329">
        <f t="shared" si="17"/>
      </c>
    </row>
    <row r="63" spans="1:15" x14ac:dyDescent="0.2">
      <c r="A63" s="326" t="s">
        <v>640</v>
      </c>
      <c r="B63" s="329">
        <f>'Data Sheet'!B82/'Data Sheet'!B60</f>
      </c>
      <c r="C63" s="329">
        <f>'Data Sheet'!C82/'Data Sheet'!C60</f>
      </c>
      <c r="D63" s="329">
        <f>'Data Sheet'!D82/'Data Sheet'!D60</f>
      </c>
      <c r="E63" s="329">
        <f>'Data Sheet'!E82/'Data Sheet'!E60</f>
      </c>
      <c r="F63" s="329">
        <f>'Data Sheet'!F82/'Data Sheet'!F60</f>
      </c>
      <c r="G63" s="329">
        <f>'Data Sheet'!G82/'Data Sheet'!G60</f>
      </c>
      <c r="H63" s="329">
        <f>'Data Sheet'!H82/'Data Sheet'!H60</f>
      </c>
      <c r="I63" s="329">
        <f>'Data Sheet'!I82/'Data Sheet'!I60</f>
      </c>
      <c r="J63" s="329">
        <f>'Data Sheet'!J82/'Data Sheet'!J60</f>
      </c>
      <c r="K63" s="344">
        <f>'Data Sheet'!K82/'Data Sheet'!K60</f>
      </c>
      <c r="M63" s="329">
        <f t="shared" si="15"/>
      </c>
      <c r="N63" s="329">
        <f t="shared" si="16"/>
      </c>
      <c r="O63" s="329">
        <f t="shared" si="17"/>
      </c>
    </row>
    <row r="64" spans="1:15" x14ac:dyDescent="0.2">
      <c r="A64" s="326" t="s">
        <v>654</v>
      </c>
      <c r="C64" s="330">
        <f>'Data Sheet'!B69/'Data Sheet'!B61</f>
      </c>
      <c r="D64" s="330">
        <f>'Data Sheet'!C69/'Data Sheet'!C61</f>
      </c>
      <c r="E64" s="330">
        <f>'Data Sheet'!D69/'Data Sheet'!D61</f>
      </c>
      <c r="F64" s="330">
        <f>'Data Sheet'!E69/'Data Sheet'!E61</f>
      </c>
      <c r="G64" s="330">
        <f>'Data Sheet'!F69/'Data Sheet'!F61</f>
      </c>
      <c r="H64" s="330">
        <f>'Data Sheet'!G69/'Data Sheet'!G61</f>
      </c>
      <c r="I64" s="330">
        <f>'Data Sheet'!H69/'Data Sheet'!H61</f>
      </c>
      <c r="J64" s="330">
        <f>'Data Sheet'!I69/'Data Sheet'!I61</f>
      </c>
      <c r="K64" s="330">
        <f>'Data Sheet'!J69/'Data Sheet'!J61</f>
      </c>
      <c r="M64" s="330">
        <f t="shared" si="15"/>
      </c>
      <c r="N64" s="330">
        <f t="shared" si="16"/>
      </c>
      <c r="O64" s="330">
        <f t="shared" si="17"/>
      </c>
    </row>
    <row r="65" spans="1:15" x14ac:dyDescent="0.2">
      <c r="A65" s="326" t="s">
        <v>652</v>
      </c>
      <c r="B65" s="330">
        <f>'Data Sheet'!B69/'Data Sheet'!B59</f>
      </c>
      <c r="C65" s="330">
        <f>'Data Sheet'!C69/'Data Sheet'!C59</f>
      </c>
      <c r="D65" s="330">
        <f>'Data Sheet'!D69/'Data Sheet'!D59</f>
      </c>
      <c r="E65" s="330">
        <f>'Data Sheet'!E69/'Data Sheet'!E59</f>
      </c>
      <c r="F65" s="330">
        <f>'Data Sheet'!F69/'Data Sheet'!F59</f>
      </c>
      <c r="G65" s="330">
        <f>'Data Sheet'!G69/'Data Sheet'!G59</f>
      </c>
      <c r="H65" s="330">
        <f>'Data Sheet'!H69/'Data Sheet'!H59</f>
      </c>
      <c r="I65" s="330">
        <f>'Data Sheet'!I69/'Data Sheet'!I59</f>
      </c>
      <c r="J65" s="334">
        <f>'Data Sheet'!J69/'Data Sheet'!J59</f>
      </c>
      <c r="K65" s="334">
        <f>'Data Sheet'!K69/'Data Sheet'!K59</f>
      </c>
      <c r="L65" s="338"/>
      <c r="M65" s="330">
        <f t="shared" si="15"/>
      </c>
      <c r="N65" s="330">
        <f t="shared" si="16"/>
      </c>
      <c r="O65" s="330">
        <f t="shared" si="17"/>
      </c>
    </row>
    <row r="66" spans="1:15" x14ac:dyDescent="0.2">
      <c r="A66" s="326" t="s">
        <v>653</v>
      </c>
      <c r="B66" s="330">
        <f>'Data Sheet'!B69/'Data Sheet'!B60</f>
      </c>
      <c r="C66" s="330">
        <f>'Data Sheet'!C69/'Data Sheet'!C60</f>
      </c>
      <c r="D66" s="330">
        <f>'Data Sheet'!D69/'Data Sheet'!D60</f>
      </c>
      <c r="E66" s="330">
        <f>'Data Sheet'!E69/'Data Sheet'!E60</f>
      </c>
      <c r="F66" s="330">
        <f>'Data Sheet'!F69/'Data Sheet'!F60</f>
      </c>
      <c r="G66" s="330">
        <f>'Data Sheet'!G69/'Data Sheet'!G60</f>
      </c>
      <c r="H66" s="330">
        <f>'Data Sheet'!H69/'Data Sheet'!H60</f>
      </c>
      <c r="I66" s="330">
        <f>'Data Sheet'!I69/'Data Sheet'!I60</f>
      </c>
      <c r="J66" s="330">
        <f>'Data Sheet'!J69/'Data Sheet'!J60</f>
      </c>
      <c r="K66" s="330">
        <f>'Data Sheet'!K69/'Data Sheet'!K60</f>
      </c>
      <c r="M66" s="330">
        <f t="shared" si="15"/>
      </c>
      <c r="N66" s="330">
        <f t="shared" si="16"/>
      </c>
      <c r="O66" s="330">
        <f t="shared" si="17"/>
      </c>
    </row>
    <row r="67" spans="1:15" x14ac:dyDescent="0.2">
      <c r="A67" s="326" t="s">
        <v>655</v>
      </c>
      <c r="B67" s="330">
        <f>'Data Sheet'!B60/'Data Sheet'!B59</f>
      </c>
      <c r="C67" s="330">
        <f>'Data Sheet'!C60/'Data Sheet'!C59</f>
      </c>
      <c r="D67" s="330">
        <f>'Data Sheet'!D60/'Data Sheet'!D59</f>
      </c>
      <c r="E67" s="330">
        <f>'Data Sheet'!E60/'Data Sheet'!E59</f>
      </c>
      <c r="F67" s="330">
        <f>'Data Sheet'!F60/'Data Sheet'!F59</f>
      </c>
      <c r="G67" s="330">
        <f>'Data Sheet'!G60/'Data Sheet'!G59</f>
      </c>
      <c r="H67" s="330">
        <f>'Data Sheet'!H60/'Data Sheet'!H59</f>
      </c>
      <c r="I67" s="330">
        <f>'Data Sheet'!I60/'Data Sheet'!I59</f>
      </c>
      <c r="J67" s="330">
        <f>'Data Sheet'!J60/'Data Sheet'!J59</f>
      </c>
      <c r="K67" s="334">
        <f>'Data Sheet'!K60/'Data Sheet'!K59</f>
      </c>
      <c r="L67" s="335"/>
      <c r="M67" s="330">
        <f t="shared" si="15"/>
      </c>
      <c r="N67" s="330">
        <f t="shared" si="16"/>
      </c>
      <c r="O67" s="330">
        <f t="shared" si="17"/>
      </c>
    </row>
    <row r="68" spans="1:15" x14ac:dyDescent="0.2">
      <c r="A68" s="326" t="s">
        <v>650</v>
      </c>
      <c r="B68" s="330">
        <f>'Data Sheet'!B26/('Data Sheet'!B62+'Data Sheet'!B26)</f>
      </c>
      <c r="C68" s="330">
        <f>'Data Sheet'!C26/('Data Sheet'!C62+'Data Sheet'!C26)</f>
      </c>
      <c r="D68" s="330">
        <f>'Data Sheet'!D26/('Data Sheet'!D62+'Data Sheet'!D26)</f>
      </c>
      <c r="E68" s="330">
        <f>'Data Sheet'!E26/('Data Sheet'!E62+'Data Sheet'!E26)</f>
      </c>
      <c r="F68" s="330">
        <f>'Data Sheet'!F26/('Data Sheet'!F62+'Data Sheet'!F26)</f>
      </c>
      <c r="G68" s="330">
        <f>'Data Sheet'!G26/('Data Sheet'!G62+'Data Sheet'!G26)</f>
      </c>
      <c r="H68" s="330">
        <f>'Data Sheet'!H26/('Data Sheet'!H62+'Data Sheet'!H26)</f>
      </c>
      <c r="I68" s="330">
        <f>'Data Sheet'!I26/('Data Sheet'!I62+'Data Sheet'!I26)</f>
      </c>
      <c r="J68" s="330">
        <f>'Data Sheet'!J26/('Data Sheet'!J62+'Data Sheet'!J26)</f>
      </c>
      <c r="K68" s="330">
        <f>'Data Sheet'!K26/('Data Sheet'!K62+'Data Sheet'!K26)</f>
      </c>
      <c r="L68" s="335" t="s">
        <v>685</v>
      </c>
      <c r="M68" s="330">
        <f t="shared" si="15"/>
      </c>
      <c r="N68" s="330">
        <f t="shared" si="16"/>
      </c>
      <c r="O68" s="330">
        <f t="shared" si="17"/>
      </c>
    </row>
    <row r="69" spans="1:15" x14ac:dyDescent="0.2">
      <c r="A69" s="326" t="s">
        <v>651</v>
      </c>
      <c r="B69" s="330">
        <f>'Data Sheet'!B26/'Data Sheet'!B62</f>
      </c>
      <c r="C69" s="330">
        <f>'Data Sheet'!C26/'Data Sheet'!C62</f>
      </c>
      <c r="D69" s="330">
        <f>'Data Sheet'!D26/'Data Sheet'!D62</f>
      </c>
      <c r="E69" s="330">
        <f>'Data Sheet'!E26/'Data Sheet'!E62</f>
      </c>
      <c r="F69" s="330">
        <f>'Data Sheet'!F26/'Data Sheet'!F62</f>
      </c>
      <c r="G69" s="330">
        <f>'Data Sheet'!G26/'Data Sheet'!G62</f>
      </c>
      <c r="H69" s="330">
        <f>'Data Sheet'!H26/'Data Sheet'!H62</f>
      </c>
      <c r="I69" s="330">
        <f>'Data Sheet'!I26/'Data Sheet'!I62</f>
      </c>
      <c r="J69" s="334">
        <f>'Data Sheet'!J26/'Data Sheet'!J62</f>
      </c>
      <c r="K69" s="334">
        <f>'Data Sheet'!K26/'Data Sheet'!K62</f>
      </c>
      <c r="M69" s="330">
        <f t="shared" si="15"/>
      </c>
      <c r="N69" s="330">
        <f t="shared" si="16"/>
      </c>
      <c r="O69" s="330">
        <f t="shared" si="17"/>
      </c>
    </row>
    <row r="71" spans="1:15" x14ac:dyDescent="0.2">
      <c r="A71" s="343" t="s">
        <v>627</v>
      </c>
    </row>
    <row r="72" spans="1:15" x14ac:dyDescent="0.2">
      <c r="A72" s="326" t="s">
        <v>656</v>
      </c>
      <c r="B72" s="330">
        <f>('Data Sheet'!B65-'Data Sheet'!B60)/'Data Sheet'!B17</f>
      </c>
      <c r="C72" s="330">
        <f>('Data Sheet'!C65-'Data Sheet'!C60)/'Data Sheet'!C17</f>
      </c>
      <c r="D72" s="330">
        <f>('Data Sheet'!D65-'Data Sheet'!D60)/'Data Sheet'!D17</f>
      </c>
      <c r="E72" s="330">
        <f>('Data Sheet'!E65-'Data Sheet'!E60)/'Data Sheet'!E17</f>
      </c>
      <c r="F72" s="330">
        <f>('Data Sheet'!F65-'Data Sheet'!F60)/'Data Sheet'!F17</f>
      </c>
      <c r="G72" s="330">
        <f>('Data Sheet'!G65-'Data Sheet'!G60)/'Data Sheet'!G17</f>
      </c>
      <c r="H72" s="330">
        <f>('Data Sheet'!H65-'Data Sheet'!H60)/'Data Sheet'!H17</f>
      </c>
      <c r="I72" s="330">
        <f>('Data Sheet'!I65-'Data Sheet'!I60)/'Data Sheet'!I17</f>
      </c>
      <c r="J72" s="330">
        <f>('Data Sheet'!J65-'Data Sheet'!J60)/'Data Sheet'!J17</f>
      </c>
      <c r="K72" s="330">
        <f>('Data Sheet'!K65-'Data Sheet'!K60)/'Data Sheet'!K17</f>
      </c>
      <c r="M72" s="330">
        <f t="shared" ref="M72" si="18">AVERAGE(I72:K72)</f>
      </c>
      <c r="N72" s="330">
        <f t="shared" ref="N72" si="19">AVERAGE(G72:K72)</f>
      </c>
      <c r="O72" s="330">
        <f t="shared" ref="O72" si="20">AVERAGE(B72:K72)</f>
      </c>
    </row>
    <row r="73" spans="1:15" x14ac:dyDescent="0.2">
      <c r="A73" s="326" t="s">
        <v>46</v>
      </c>
      <c r="B73" s="328">
        <f>IFERROR(('Data Sheet'!B67/'Data Sheet'!B17)*365,"NA")</f>
      </c>
      <c r="C73" s="328">
        <f>IFERROR(('Data Sheet'!C67/'Data Sheet'!C17)*365,"NA")</f>
      </c>
      <c r="D73" s="328">
        <f>IFERROR(('Data Sheet'!D67/'Data Sheet'!D17)*365,"NA")</f>
      </c>
      <c r="E73" s="328">
        <f>IFERROR(('Data Sheet'!E67/'Data Sheet'!E17)*365,"NA")</f>
      </c>
      <c r="F73" s="328">
        <f>IFERROR(('Data Sheet'!F67/'Data Sheet'!F17)*365,"NA")</f>
      </c>
      <c r="G73" s="328">
        <f>IFERROR(('Data Sheet'!G67/'Data Sheet'!G17)*365,"NA")</f>
      </c>
      <c r="H73" s="328">
        <f>IFERROR(('Data Sheet'!H67/'Data Sheet'!H17)*365,"NA")</f>
      </c>
      <c r="I73" s="328">
        <f>IFERROR(('Data Sheet'!I67/'Data Sheet'!I17)*365,"NA")</f>
      </c>
      <c r="J73" s="346">
        <f>IFERROR(('Data Sheet'!J67/'Data Sheet'!J17)*365,"NA")</f>
      </c>
      <c r="K73" s="346">
        <f>IFERROR(('Data Sheet'!K67/'Data Sheet'!K17)*365,"NA")</f>
      </c>
      <c r="L73" s="335" t="s">
        <v>686</v>
      </c>
      <c r="M73" s="329">
        <f t="shared" ref="M73:M76" si="21">AVERAGE(I73:K73)</f>
      </c>
      <c r="N73" s="329">
        <f t="shared" ref="N73:N76" si="22">AVERAGE(G73:K73)</f>
      </c>
      <c r="O73" s="329">
        <f t="shared" ref="O73:O76" si="23">AVERAGE(B73:K73)</f>
      </c>
    </row>
    <row r="74" spans="1:15" x14ac:dyDescent="0.2">
      <c r="A74" s="326" t="s">
        <v>628</v>
      </c>
      <c r="B74" s="329">
        <f>365/B73</f>
      </c>
      <c r="C74" s="329">
        <f t="shared" ref="C74:K74" si="24">365/C73</f>
      </c>
      <c r="D74" s="329">
        <f t="shared" si="24"/>
      </c>
      <c r="E74" s="329">
        <f t="shared" si="24"/>
      </c>
      <c r="F74" s="329">
        <f t="shared" si="24"/>
      </c>
      <c r="G74" s="329">
        <f t="shared" si="24"/>
      </c>
      <c r="H74" s="329">
        <f t="shared" si="24"/>
      </c>
      <c r="I74" s="329">
        <f t="shared" si="24"/>
      </c>
      <c r="J74" s="329">
        <f t="shared" si="24"/>
      </c>
      <c r="K74" s="329">
        <f t="shared" si="24"/>
      </c>
      <c r="M74" s="329">
        <f t="shared" si="21"/>
      </c>
      <c r="N74" s="329">
        <f t="shared" si="22"/>
      </c>
      <c r="O74" s="329">
        <f t="shared" si="23"/>
      </c>
    </row>
    <row r="75" spans="1:15" x14ac:dyDescent="0.2">
      <c r="A75" s="326" t="s">
        <v>477</v>
      </c>
      <c r="B75" s="328">
        <f>IFERROR(('Data Sheet'!B68/'Data Sheet'!B17)*365,"NA")</f>
      </c>
      <c r="C75" s="328">
        <f>IFERROR(('Data Sheet'!C68/'Data Sheet'!C17)*365,"NA")</f>
      </c>
      <c r="D75" s="328">
        <f>IFERROR(('Data Sheet'!D68/'Data Sheet'!D17)*365,"NA")</f>
      </c>
      <c r="E75" s="328">
        <f>IFERROR(('Data Sheet'!E68/'Data Sheet'!E17)*365,"NA")</f>
      </c>
      <c r="F75" s="328">
        <f>IFERROR(('Data Sheet'!F68/'Data Sheet'!F17)*365,"NA")</f>
      </c>
      <c r="G75" s="328">
        <f>IFERROR(('Data Sheet'!G68/'Data Sheet'!G17)*365,"NA")</f>
      </c>
      <c r="H75" s="328">
        <f>IFERROR(('Data Sheet'!H68/'Data Sheet'!H17)*365,"NA")</f>
      </c>
      <c r="I75" s="347">
        <f>IFERROR(('Data Sheet'!I68/'Data Sheet'!I17)*365,"NA")</f>
      </c>
      <c r="J75" s="347">
        <f>IFERROR(('Data Sheet'!J68/'Data Sheet'!J17)*365,"NA")</f>
      </c>
      <c r="K75" s="347">
        <f>IFERROR(('Data Sheet'!K68/'Data Sheet'!K17)*365,"NA")</f>
      </c>
      <c r="L75" s="335"/>
      <c r="M75" s="329">
        <f t="shared" si="21"/>
      </c>
      <c r="N75" s="329">
        <f t="shared" si="22"/>
      </c>
      <c r="O75" s="329">
        <f t="shared" si="23"/>
      </c>
    </row>
    <row r="76" spans="1:15" x14ac:dyDescent="0.2">
      <c r="A76" s="326" t="s">
        <v>47</v>
      </c>
      <c r="B76" s="329">
        <f>365/B75</f>
      </c>
      <c r="C76" s="329">
        <f t="shared" ref="C76:K76" si="25">365/C75</f>
      </c>
      <c r="D76" s="329">
        <f t="shared" si="25"/>
      </c>
      <c r="E76" s="329">
        <f t="shared" si="25"/>
      </c>
      <c r="F76" s="329">
        <f t="shared" si="25"/>
      </c>
      <c r="G76" s="329">
        <f t="shared" si="25"/>
      </c>
      <c r="H76" s="329">
        <f t="shared" si="25"/>
      </c>
      <c r="I76" s="329">
        <f t="shared" si="25"/>
      </c>
      <c r="J76" s="329">
        <f t="shared" si="25"/>
      </c>
      <c r="K76" s="329">
        <f t="shared" si="25"/>
      </c>
      <c r="M76" s="329">
        <f t="shared" si="21"/>
      </c>
      <c r="N76" s="329">
        <f t="shared" si="22"/>
      </c>
      <c r="O76" s="329">
        <f t="shared" si="23"/>
      </c>
    </row>
    <row r="77" spans="1:15" x14ac:dyDescent="0.2">
      <c r="A77" s="326" t="s">
        <v>629</v>
      </c>
    </row>
    <row r="78" spans="1:15" x14ac:dyDescent="0.2">
      <c r="A78" s="326" t="s">
        <v>630</v>
      </c>
    </row>
    <row r="79" spans="1:15" x14ac:dyDescent="0.2">
      <c r="A79" s="326" t="s">
        <v>676</v>
      </c>
      <c r="B79" s="336">
        <f>'Data Sheet'!B82/'Data Sheet'!B66</f>
      </c>
      <c r="C79" s="336">
        <f>'Data Sheet'!C82/'Data Sheet'!C66</f>
      </c>
      <c r="D79" s="336">
        <f>'Data Sheet'!D82/'Data Sheet'!D66</f>
      </c>
      <c r="E79" s="336">
        <f>'Data Sheet'!E82/'Data Sheet'!E66</f>
      </c>
      <c r="F79" s="336">
        <f>'Data Sheet'!F82/'Data Sheet'!F66</f>
      </c>
      <c r="G79" s="336">
        <f>'Data Sheet'!G82/'Data Sheet'!G66</f>
      </c>
      <c r="H79" s="341">
        <f>'Data Sheet'!H82/'Data Sheet'!H66</f>
      </c>
      <c r="I79" s="341">
        <f>'Data Sheet'!I82/'Data Sheet'!I66</f>
      </c>
      <c r="J79" s="341">
        <f>'Data Sheet'!J82/'Data Sheet'!J66</f>
      </c>
      <c r="K79" s="341">
        <f>'Data Sheet'!K82/'Data Sheet'!K66</f>
      </c>
      <c r="L79" s="338" t="s">
        <v>689</v>
      </c>
      <c r="M79" s="330">
        <f t="shared" ref="M79:M82" si="26">AVERAGE(I79:K79)</f>
      </c>
      <c r="N79" s="330">
        <f t="shared" ref="N79:N82" si="27">AVERAGE(G79:K79)</f>
      </c>
      <c r="O79" s="330">
        <f t="shared" ref="O79:O82" si="28">AVERAGE(B79:K79)</f>
      </c>
    </row>
    <row r="80" spans="1:15" x14ac:dyDescent="0.2">
      <c r="A80" s="326" t="s">
        <v>636</v>
      </c>
      <c r="B80" s="336">
        <f>'Data Sheet'!B30/'Data Sheet'!B66</f>
      </c>
      <c r="C80" s="336">
        <f>'Data Sheet'!C30/'Data Sheet'!C66</f>
      </c>
      <c r="D80" s="336">
        <f>'Data Sheet'!D30/'Data Sheet'!D66</f>
      </c>
      <c r="E80" s="336">
        <f>'Data Sheet'!E30/'Data Sheet'!E66</f>
      </c>
      <c r="F80" s="336">
        <f>'Data Sheet'!F30/'Data Sheet'!F66</f>
      </c>
      <c r="G80" s="336">
        <f>'Data Sheet'!G30/'Data Sheet'!G66</f>
      </c>
      <c r="H80" s="336">
        <f>'Data Sheet'!H30/'Data Sheet'!H66</f>
      </c>
      <c r="I80" s="348">
        <f>'Data Sheet'!I30/'Data Sheet'!I66</f>
      </c>
      <c r="J80" s="348">
        <f>'Data Sheet'!J30/'Data Sheet'!J66</f>
      </c>
      <c r="K80" s="348">
        <f>'Data Sheet'!K30/'Data Sheet'!K66</f>
      </c>
      <c r="L80" s="335" t="s">
        <v>687</v>
      </c>
      <c r="M80" s="330">
        <f t="shared" si="26"/>
      </c>
      <c r="N80" s="330">
        <f t="shared" si="27"/>
      </c>
      <c r="O80" s="330">
        <f t="shared" si="28"/>
      </c>
    </row>
    <row r="81" spans="1:15" x14ac:dyDescent="0.2">
      <c r="A81" s="326" t="s">
        <v>637</v>
      </c>
      <c r="B81" s="329">
        <f>'Data Sheet'!B17/'Data Sheet'!B66</f>
      </c>
      <c r="C81" s="329">
        <f>'Data Sheet'!C17/'Data Sheet'!C66</f>
      </c>
      <c r="D81" s="329">
        <f>'Data Sheet'!D17/'Data Sheet'!D66</f>
      </c>
      <c r="E81" s="329">
        <f>'Data Sheet'!E17/'Data Sheet'!E66</f>
      </c>
      <c r="F81" s="329">
        <f>'Data Sheet'!F17/'Data Sheet'!F66</f>
      </c>
      <c r="G81" s="329">
        <f>'Data Sheet'!G17/'Data Sheet'!G66</f>
      </c>
      <c r="H81" s="349">
        <f>'Data Sheet'!H17/'Data Sheet'!H66</f>
      </c>
      <c r="I81" s="349">
        <f>'Data Sheet'!I17/'Data Sheet'!I66</f>
      </c>
      <c r="J81" s="349">
        <f>'Data Sheet'!J17/'Data Sheet'!J66</f>
      </c>
      <c r="K81" s="349">
        <f>'Data Sheet'!K17/'Data Sheet'!K66</f>
      </c>
      <c r="L81" s="335" t="s">
        <v>688</v>
      </c>
      <c r="M81" s="329">
        <f t="shared" si="26"/>
      </c>
      <c r="N81" s="329">
        <f t="shared" si="27"/>
      </c>
      <c r="O81" s="329">
        <f t="shared" si="28"/>
      </c>
    </row>
    <row r="82" spans="1:15" x14ac:dyDescent="0.2">
      <c r="A82" s="326" t="s">
        <v>291</v>
      </c>
      <c r="B82" s="329">
        <f>'Data Sheet'!B17/'Data Sheet'!B62</f>
      </c>
      <c r="C82" s="329">
        <f>'Data Sheet'!C17/'Data Sheet'!C62</f>
      </c>
      <c r="D82" s="329">
        <f>'Data Sheet'!D17/'Data Sheet'!D62</f>
      </c>
      <c r="E82" s="329">
        <f>'Data Sheet'!E17/'Data Sheet'!E62</f>
      </c>
      <c r="F82" s="329">
        <f>'Data Sheet'!F17/'Data Sheet'!F62</f>
      </c>
      <c r="G82" s="329">
        <f>'Data Sheet'!G17/'Data Sheet'!G62</f>
      </c>
      <c r="H82" s="349">
        <f>'Data Sheet'!H17/'Data Sheet'!H62</f>
      </c>
      <c r="I82" s="349">
        <f>'Data Sheet'!I17/'Data Sheet'!I62</f>
      </c>
      <c r="J82" s="349">
        <f>'Data Sheet'!J17/'Data Sheet'!J62</f>
      </c>
      <c r="K82" s="349">
        <f>'Data Sheet'!K17/'Data Sheet'!K62</f>
      </c>
      <c r="L82" s="335" t="s">
        <v>680</v>
      </c>
      <c r="M82" s="329">
        <f t="shared" si="26"/>
      </c>
      <c r="N82" s="329">
        <f t="shared" si="27"/>
      </c>
      <c r="O82" s="329">
        <f t="shared" si="28"/>
      </c>
    </row>
    <row r="83" spans="1:15" x14ac:dyDescent="0.2">
      <c r="A83" s="326" t="s">
        <v>486</v>
      </c>
    </row>
    <row r="84" spans="1:15" x14ac:dyDescent="0.2">
      <c r="A84" s="326" t="s">
        <v>638</v>
      </c>
    </row>
    <row r="85" spans="1:15" x14ac:dyDescent="0.2">
      <c r="A85" s="326" t="s">
        <v>301</v>
      </c>
    </row>
    <row r="89" spans="1:15" x14ac:dyDescent="0.2">
      <c r="A89" s="326" t="s">
        <v>631</v>
      </c>
    </row>
    <row r="90" spans="1:15" x14ac:dyDescent="0.2">
      <c r="A90" s="326" t="s">
        <v>399</v>
      </c>
      <c r="B90" s="345">
        <f t="shared" ref="B90:K90" si="29">B11/B10</f>
      </c>
      <c r="C90" s="345">
        <f t="shared" si="29"/>
      </c>
      <c r="D90" s="345">
        <f t="shared" si="29"/>
      </c>
      <c r="E90" s="345">
        <f t="shared" si="29"/>
      </c>
      <c r="F90" s="345">
        <f t="shared" si="29"/>
      </c>
      <c r="G90" s="345">
        <f t="shared" si="29"/>
      </c>
      <c r="H90" s="345">
        <f t="shared" si="29"/>
      </c>
      <c r="I90" s="345">
        <f t="shared" si="29"/>
      </c>
      <c r="J90" s="345">
        <f t="shared" si="29"/>
      </c>
      <c r="K90" s="350">
        <f t="shared" si="29"/>
      </c>
      <c r="L90" s="335" t="s">
        <v>690</v>
      </c>
      <c r="M90" s="329">
        <f t="shared" ref="M90:M113" si="30">AVERAGE(I90:K90)</f>
      </c>
      <c r="N90" s="329">
        <f t="shared" ref="N90:N113" si="31">AVERAGE(G90:K90)</f>
      </c>
      <c r="O90" s="329">
        <f t="shared" ref="O90:O113" si="32">AVERAGE(B90:K90)</f>
      </c>
    </row>
    <row r="91" spans="1:15" x14ac:dyDescent="0.2">
      <c r="A91" s="326" t="s">
        <v>632</v>
      </c>
      <c r="B91" s="330">
        <f t="shared" ref="B91:K91" si="33">B11/B2</f>
      </c>
      <c r="C91" s="330">
        <f t="shared" si="33"/>
      </c>
      <c r="D91" s="330">
        <f t="shared" si="33"/>
      </c>
      <c r="E91" s="330">
        <f t="shared" si="33"/>
      </c>
      <c r="F91" s="330">
        <f t="shared" si="33"/>
      </c>
      <c r="G91" s="330">
        <f t="shared" si="33"/>
      </c>
      <c r="H91" s="330">
        <f t="shared" si="33"/>
      </c>
      <c r="I91" s="330">
        <f t="shared" si="33"/>
      </c>
      <c r="J91" s="330">
        <f t="shared" si="33"/>
      </c>
      <c r="K91" s="330">
        <f t="shared" si="33"/>
      </c>
      <c r="M91" s="330">
        <f t="shared" si="30"/>
      </c>
      <c r="N91" s="330">
        <f t="shared" si="31"/>
      </c>
      <c r="O91" s="330">
        <f t="shared" si="32"/>
      </c>
    </row>
    <row r="92" spans="1:15" ht="24" x14ac:dyDescent="0.2">
      <c r="A92" s="326" t="s">
        <v>633</v>
      </c>
      <c r="B92" s="345">
        <f t="shared" ref="B92:K92" si="34">B12/B10</f>
      </c>
      <c r="C92" s="345">
        <f t="shared" si="34"/>
      </c>
      <c r="D92" s="345">
        <f t="shared" si="34"/>
      </c>
      <c r="E92" s="345">
        <f t="shared" si="34"/>
      </c>
      <c r="F92" s="345">
        <f t="shared" si="34"/>
      </c>
      <c r="G92" s="345">
        <f t="shared" si="34"/>
      </c>
      <c r="H92" s="350">
        <f t="shared" si="34"/>
      </c>
      <c r="I92" s="350">
        <f t="shared" si="34"/>
      </c>
      <c r="J92" s="350">
        <f t="shared" si="34"/>
      </c>
      <c r="K92" s="350">
        <f t="shared" si="34"/>
      </c>
      <c r="L92" s="338" t="s">
        <v>691</v>
      </c>
      <c r="M92" s="329">
        <f t="shared" si="30"/>
      </c>
      <c r="N92" s="329">
        <f t="shared" si="31"/>
      </c>
      <c r="O92" s="329">
        <f t="shared" si="32"/>
      </c>
    </row>
    <row r="93" spans="1:15" x14ac:dyDescent="0.2">
      <c r="A93" s="326" t="s">
        <v>634</v>
      </c>
      <c r="B93" s="330">
        <f t="shared" ref="B93:K93" si="35">B13/B10</f>
      </c>
      <c r="C93" s="330">
        <f t="shared" si="35"/>
      </c>
      <c r="D93" s="330">
        <f t="shared" si="35"/>
      </c>
      <c r="E93" s="330">
        <f t="shared" si="35"/>
      </c>
      <c r="F93" s="330">
        <f t="shared" si="35"/>
      </c>
      <c r="G93" s="330">
        <f t="shared" si="35"/>
      </c>
      <c r="H93" s="330">
        <f t="shared" si="35"/>
      </c>
      <c r="I93" s="330">
        <f t="shared" si="35"/>
      </c>
      <c r="J93" s="330">
        <f t="shared" si="35"/>
      </c>
      <c r="K93" s="330">
        <f t="shared" si="35"/>
      </c>
      <c r="M93" s="330">
        <f t="shared" si="30"/>
      </c>
      <c r="N93" s="330">
        <f t="shared" si="31"/>
      </c>
      <c r="O93" s="330">
        <f t="shared" si="32"/>
      </c>
    </row>
    <row r="94" spans="1:15" x14ac:dyDescent="0.2">
      <c r="A94" s="326" t="s">
        <v>481</v>
      </c>
      <c r="B94" s="345">
        <f t="shared" ref="B94:K94" si="36">B14/B10</f>
      </c>
      <c r="C94" s="345">
        <f t="shared" si="36"/>
      </c>
      <c r="D94" s="345">
        <f t="shared" si="36"/>
      </c>
      <c r="E94" s="345">
        <f t="shared" si="36"/>
      </c>
      <c r="F94" s="345">
        <f t="shared" si="36"/>
      </c>
      <c r="G94" s="345">
        <f t="shared" si="36"/>
      </c>
      <c r="H94" s="345">
        <f t="shared" si="36"/>
      </c>
      <c r="I94" s="345">
        <f t="shared" si="36"/>
      </c>
      <c r="J94" s="345">
        <f t="shared" si="36"/>
      </c>
      <c r="K94" s="345">
        <f t="shared" si="36"/>
      </c>
      <c r="M94" s="329">
        <f t="shared" si="30"/>
      </c>
      <c r="N94" s="329">
        <f t="shared" si="31"/>
      </c>
      <c r="O94" s="329">
        <f t="shared" si="32"/>
      </c>
    </row>
    <row r="95" spans="1:15" x14ac:dyDescent="0.2">
      <c r="A95" s="326" t="s">
        <v>402</v>
      </c>
      <c r="B95" s="345">
        <f t="shared" ref="B95:K95" si="37">B14/B11</f>
      </c>
      <c r="C95" s="345">
        <f t="shared" si="37"/>
      </c>
      <c r="D95" s="345">
        <f t="shared" si="37"/>
      </c>
      <c r="E95" s="345">
        <f t="shared" si="37"/>
      </c>
      <c r="F95" s="345">
        <f t="shared" si="37"/>
      </c>
      <c r="G95" s="345">
        <f t="shared" si="37"/>
      </c>
      <c r="H95" s="345">
        <f t="shared" si="37"/>
      </c>
      <c r="I95" s="345">
        <f t="shared" si="37"/>
      </c>
      <c r="J95" s="345">
        <f t="shared" si="37"/>
      </c>
      <c r="K95" s="345">
        <f t="shared" si="37"/>
      </c>
      <c r="M95" s="329">
        <f t="shared" si="30"/>
      </c>
      <c r="N95" s="329">
        <f t="shared" si="31"/>
      </c>
      <c r="O95" s="329">
        <f t="shared" si="32"/>
      </c>
    </row>
    <row r="96" spans="1:15" x14ac:dyDescent="0.2">
      <c r="A96" s="326" t="s">
        <v>635</v>
      </c>
      <c r="B96" s="330">
        <f t="shared" ref="B96:K96" si="38">B14/B2</f>
      </c>
      <c r="C96" s="330">
        <f t="shared" si="38"/>
      </c>
      <c r="D96" s="330">
        <f t="shared" si="38"/>
      </c>
      <c r="E96" s="330">
        <f t="shared" si="38"/>
      </c>
      <c r="F96" s="330">
        <f t="shared" si="38"/>
      </c>
      <c r="G96" s="334">
        <f t="shared" si="38"/>
      </c>
      <c r="H96" s="334">
        <f t="shared" si="38"/>
      </c>
      <c r="I96" s="334">
        <f t="shared" si="38"/>
      </c>
      <c r="J96" s="334">
        <f t="shared" si="38"/>
      </c>
      <c r="K96" s="334">
        <f t="shared" si="38"/>
      </c>
      <c r="M96" s="330">
        <f t="shared" si="30"/>
      </c>
      <c r="N96" s="330">
        <f t="shared" si="31"/>
      </c>
      <c r="O96" s="330">
        <f t="shared" si="32"/>
      </c>
    </row>
    <row r="97" spans="1:15" x14ac:dyDescent="0.2">
      <c r="A97" s="351" t="s">
        <v>253</v>
      </c>
      <c r="B97" s="330">
        <f t="shared" ref="B97:K97" si="39">B22</f>
      </c>
      <c r="C97" s="330">
        <f t="shared" si="39"/>
      </c>
      <c r="D97" s="330">
        <f t="shared" si="39"/>
      </c>
      <c r="E97" s="330">
        <f t="shared" si="39"/>
      </c>
      <c r="F97" s="330">
        <f t="shared" si="39"/>
      </c>
      <c r="G97" s="330">
        <f t="shared" si="39"/>
      </c>
      <c r="H97" s="330">
        <f t="shared" si="39"/>
      </c>
      <c r="I97" s="333">
        <f t="shared" si="39"/>
      </c>
      <c r="J97" s="333">
        <f t="shared" si="39"/>
      </c>
      <c r="K97" s="333">
        <f t="shared" si="39"/>
      </c>
      <c r="M97" s="330">
        <f t="shared" si="30"/>
      </c>
      <c r="N97" s="330">
        <f t="shared" si="31"/>
      </c>
      <c r="O97" s="330">
        <f t="shared" si="32"/>
      </c>
    </row>
    <row r="98" spans="1:15" x14ac:dyDescent="0.2">
      <c r="A98" s="351" t="s">
        <v>255</v>
      </c>
      <c r="B98" s="352">
        <f>B81</f>
      </c>
      <c r="C98" s="352">
        <f t="shared" ref="C98:K98" si="40">C81</f>
      </c>
      <c r="D98" s="352">
        <f t="shared" si="40"/>
      </c>
      <c r="E98" s="352">
        <f t="shared" si="40"/>
      </c>
      <c r="F98" s="352">
        <f t="shared" si="40"/>
      </c>
      <c r="G98" s="353">
        <f t="shared" si="40"/>
      </c>
      <c r="H98" s="353">
        <f t="shared" si="40"/>
      </c>
      <c r="I98" s="353">
        <f t="shared" si="40"/>
      </c>
      <c r="J98" s="353">
        <f t="shared" si="40"/>
      </c>
      <c r="K98" s="353">
        <f t="shared" si="40"/>
      </c>
      <c r="L98" s="335" t="s">
        <v>679</v>
      </c>
      <c r="M98" s="329">
        <f t="shared" si="30"/>
      </c>
      <c r="N98" s="329">
        <f t="shared" si="31"/>
      </c>
      <c r="O98" s="329">
        <f t="shared" si="32"/>
      </c>
    </row>
    <row r="99" spans="1:15" x14ac:dyDescent="0.2">
      <c r="A99" s="351" t="s">
        <v>257</v>
      </c>
      <c r="B99" s="345">
        <f>B61</f>
      </c>
      <c r="C99" s="345">
        <f t="shared" ref="C99:K99" si="41">C61</f>
      </c>
      <c r="D99" s="345">
        <f t="shared" si="41"/>
      </c>
      <c r="E99" s="345">
        <f t="shared" si="41"/>
      </c>
      <c r="F99" s="345">
        <f t="shared" si="41"/>
      </c>
      <c r="G99" s="345">
        <f t="shared" si="41"/>
      </c>
      <c r="H99" s="345">
        <f t="shared" si="41"/>
      </c>
      <c r="I99" s="354">
        <f t="shared" si="41"/>
      </c>
      <c r="J99" s="354">
        <f t="shared" si="41"/>
      </c>
      <c r="K99" s="354">
        <f t="shared" si="41"/>
      </c>
      <c r="M99" s="329">
        <f t="shared" si="30"/>
      </c>
      <c r="N99" s="329">
        <f t="shared" si="31"/>
      </c>
      <c r="O99" s="329">
        <f t="shared" si="32"/>
      </c>
    </row>
    <row r="100" spans="1:15" x14ac:dyDescent="0.2">
      <c r="A100" s="326" t="s">
        <v>60</v>
      </c>
      <c r="B100" s="330">
        <f>B97*B98*B99</f>
      </c>
      <c r="C100" s="330">
        <f t="shared" ref="C100:K100" si="42">C97*C98*C99</f>
      </c>
      <c r="D100" s="330">
        <f t="shared" si="42"/>
      </c>
      <c r="E100" s="330">
        <f t="shared" si="42"/>
      </c>
      <c r="F100" s="330">
        <f t="shared" si="42"/>
      </c>
      <c r="G100" s="330">
        <f t="shared" si="42"/>
      </c>
      <c r="H100" s="330">
        <f t="shared" si="42"/>
      </c>
      <c r="I100" s="330">
        <f t="shared" si="42"/>
      </c>
      <c r="J100" s="330">
        <f t="shared" si="42"/>
      </c>
      <c r="K100" s="330">
        <f t="shared" si="42"/>
      </c>
      <c r="M100" s="330">
        <f t="shared" si="30"/>
      </c>
      <c r="N100" s="330">
        <f t="shared" si="31"/>
      </c>
      <c r="O100" s="330">
        <f t="shared" si="32"/>
      </c>
    </row>
    <row r="101" spans="1:15" x14ac:dyDescent="0.2">
      <c r="A101" s="326" t="s">
        <v>639</v>
      </c>
      <c r="B101" s="336">
        <f>('Data Sheet'!B27+'Data Sheet'!B28)/B9</f>
      </c>
      <c r="C101" s="336">
        <f>('Data Sheet'!C27+'Data Sheet'!C28)/C9</f>
      </c>
      <c r="D101" s="336">
        <f>('Data Sheet'!D27+'Data Sheet'!D28)/D9</f>
      </c>
      <c r="E101" s="336">
        <f>('Data Sheet'!E27+'Data Sheet'!E28)/E9</f>
      </c>
      <c r="F101" s="336">
        <f>('Data Sheet'!F27+'Data Sheet'!F28)/F9</f>
      </c>
      <c r="G101" s="336">
        <f>('Data Sheet'!G27+'Data Sheet'!G28)/G9</f>
      </c>
      <c r="H101" s="337">
        <f>('Data Sheet'!H27+'Data Sheet'!H28)/H9</f>
      </c>
      <c r="I101" s="337">
        <f>('Data Sheet'!I27+'Data Sheet'!I28)/I9</f>
      </c>
      <c r="J101" s="337">
        <f>('Data Sheet'!J27+'Data Sheet'!J28)/J9</f>
      </c>
      <c r="K101" s="337">
        <f>('Data Sheet'!K27+'Data Sheet'!K28)/K9</f>
      </c>
      <c r="M101" s="330">
        <f t="shared" si="30"/>
      </c>
      <c r="N101" s="330">
        <f t="shared" si="31"/>
      </c>
      <c r="O101" s="330">
        <f t="shared" si="32"/>
      </c>
    </row>
    <row r="102" spans="1:15" x14ac:dyDescent="0.2">
      <c r="A102" s="351" t="s">
        <v>668</v>
      </c>
      <c r="B102" s="345">
        <f>B2/B9</f>
      </c>
      <c r="C102" s="345">
        <f t="shared" ref="C102:K102" si="43">C2/C9</f>
      </c>
      <c r="D102" s="345">
        <f t="shared" si="43"/>
      </c>
      <c r="E102" s="345">
        <f t="shared" si="43"/>
      </c>
      <c r="F102" s="345">
        <f t="shared" si="43"/>
      </c>
      <c r="G102" s="350">
        <f t="shared" si="43"/>
      </c>
      <c r="H102" s="350">
        <f t="shared" si="43"/>
      </c>
      <c r="I102" s="350">
        <f t="shared" si="43"/>
      </c>
      <c r="J102" s="350">
        <f t="shared" si="43"/>
      </c>
      <c r="K102" s="350">
        <f t="shared" si="43"/>
      </c>
      <c r="L102" s="338" t="s">
        <v>692</v>
      </c>
      <c r="M102" s="329">
        <f t="shared" si="30"/>
      </c>
      <c r="N102" s="329">
        <f t="shared" si="31"/>
      </c>
      <c r="O102" s="329">
        <f t="shared" si="32"/>
      </c>
    </row>
    <row r="103" spans="1:15" x14ac:dyDescent="0.2">
      <c r="A103" s="351" t="s">
        <v>669</v>
      </c>
      <c r="B103" s="330">
        <f>B10/B9</f>
      </c>
      <c r="C103" s="330">
        <f t="shared" ref="C103:K103" si="44">C10/C9</f>
      </c>
      <c r="D103" s="330">
        <f t="shared" si="44"/>
      </c>
      <c r="E103" s="330">
        <f t="shared" si="44"/>
      </c>
      <c r="F103" s="330">
        <f t="shared" si="44"/>
      </c>
      <c r="G103" s="330">
        <f t="shared" si="44"/>
      </c>
      <c r="H103" s="330">
        <f t="shared" si="44"/>
      </c>
      <c r="I103" s="333">
        <f t="shared" si="44"/>
      </c>
      <c r="J103" s="333">
        <f t="shared" si="44"/>
      </c>
      <c r="K103" s="333">
        <f t="shared" si="44"/>
      </c>
      <c r="L103" s="326" t="s">
        <v>692</v>
      </c>
      <c r="M103" s="330">
        <f t="shared" si="30"/>
      </c>
      <c r="N103" s="330">
        <f t="shared" si="31"/>
      </c>
      <c r="O103" s="330">
        <f t="shared" si="32"/>
      </c>
    </row>
    <row r="104" spans="1:15" x14ac:dyDescent="0.2">
      <c r="A104" s="351" t="s">
        <v>670</v>
      </c>
      <c r="B104" s="330">
        <f>B11/B9</f>
      </c>
      <c r="C104" s="330">
        <f t="shared" ref="C104:K104" si="45">C11/C9</f>
      </c>
      <c r="D104" s="330">
        <f t="shared" si="45"/>
      </c>
      <c r="E104" s="330">
        <f t="shared" si="45"/>
      </c>
      <c r="F104" s="330">
        <f t="shared" si="45"/>
      </c>
      <c r="G104" s="330">
        <f t="shared" si="45"/>
      </c>
      <c r="H104" s="334">
        <f t="shared" si="45"/>
      </c>
      <c r="I104" s="334">
        <f t="shared" si="45"/>
      </c>
      <c r="J104" s="334">
        <f t="shared" si="45"/>
      </c>
      <c r="K104" s="334">
        <f t="shared" si="45"/>
      </c>
      <c r="L104" s="335" t="s">
        <v>693</v>
      </c>
      <c r="M104" s="330">
        <f t="shared" si="30"/>
      </c>
      <c r="N104" s="330">
        <f t="shared" si="31"/>
      </c>
      <c r="O104" s="330">
        <f t="shared" si="32"/>
      </c>
    </row>
    <row r="105" spans="1:15" x14ac:dyDescent="0.2">
      <c r="A105" s="351" t="s">
        <v>671</v>
      </c>
      <c r="B105" s="330">
        <f>B14/B9</f>
      </c>
      <c r="C105" s="330">
        <f t="shared" ref="C105:K105" si="46">C14/C9</f>
      </c>
      <c r="D105" s="330">
        <f t="shared" si="46"/>
      </c>
      <c r="E105" s="330">
        <f t="shared" si="46"/>
      </c>
      <c r="F105" s="330">
        <f t="shared" si="46"/>
      </c>
      <c r="G105" s="330">
        <f t="shared" si="46"/>
      </c>
      <c r="H105" s="330">
        <f t="shared" si="46"/>
      </c>
      <c r="I105" s="334">
        <f t="shared" si="46"/>
      </c>
      <c r="J105" s="334">
        <f t="shared" si="46"/>
      </c>
      <c r="K105" s="334">
        <f t="shared" si="46"/>
      </c>
      <c r="M105" s="330">
        <f t="shared" si="30"/>
      </c>
      <c r="N105" s="330">
        <f t="shared" si="31"/>
      </c>
      <c r="O105" s="330">
        <f t="shared" si="32"/>
      </c>
    </row>
    <row r="106" spans="1:15" x14ac:dyDescent="0.2">
      <c r="A106" s="351" t="s">
        <v>672</v>
      </c>
      <c r="C106" s="329">
        <f>(C2-$B$2)/(C9-$B$9)</f>
      </c>
      <c r="D106" s="329">
        <f t="shared" ref="D106:K106" si="47">(D2-$B$2)/(D9-$B$9)</f>
      </c>
      <c r="E106" s="329">
        <f t="shared" si="47"/>
      </c>
      <c r="F106" s="329">
        <f t="shared" si="47"/>
      </c>
      <c r="G106" s="329">
        <f t="shared" si="47"/>
      </c>
      <c r="H106" s="329">
        <f t="shared" si="47"/>
      </c>
      <c r="I106" s="349">
        <f t="shared" si="47"/>
      </c>
      <c r="J106" s="349">
        <f t="shared" si="47"/>
      </c>
      <c r="K106" s="349">
        <f t="shared" si="47"/>
      </c>
      <c r="L106" s="338" t="s">
        <v>692</v>
      </c>
      <c r="M106" s="329">
        <f t="shared" si="30"/>
      </c>
      <c r="N106" s="329">
        <f t="shared" si="31"/>
      </c>
      <c r="O106" s="329">
        <f t="shared" si="32"/>
      </c>
    </row>
    <row r="107" spans="1:15" x14ac:dyDescent="0.2">
      <c r="A107" s="351" t="s">
        <v>673</v>
      </c>
      <c r="C107" s="330">
        <f>(C10-$B$10)/(C9-$B$9)</f>
      </c>
      <c r="D107" s="330">
        <f t="shared" ref="D107:K107" si="48">(D10-$B$10)/(D9-$B$9)</f>
      </c>
      <c r="E107" s="330">
        <f t="shared" si="48"/>
      </c>
      <c r="F107" s="330">
        <f t="shared" si="48"/>
      </c>
      <c r="G107" s="330">
        <f t="shared" si="48"/>
      </c>
      <c r="H107" s="333">
        <f t="shared" si="48"/>
      </c>
      <c r="I107" s="333">
        <f t="shared" si="48"/>
      </c>
      <c r="J107" s="333">
        <f t="shared" si="48"/>
      </c>
      <c r="K107" s="333">
        <f t="shared" si="48"/>
      </c>
      <c r="M107" s="330">
        <f t="shared" si="30"/>
      </c>
      <c r="N107" s="330">
        <f t="shared" si="31"/>
      </c>
      <c r="O107" s="330">
        <f t="shared" si="32"/>
      </c>
    </row>
    <row r="108" spans="1:15" x14ac:dyDescent="0.2">
      <c r="A108" s="351" t="s">
        <v>674</v>
      </c>
      <c r="C108" s="330">
        <f>(C11-$B$11)/(C9-$B$9)</f>
      </c>
      <c r="D108" s="330">
        <f t="shared" ref="D108:K108" si="49">(D11-$B$11)/(D9-$B$9)</f>
      </c>
      <c r="E108" s="330">
        <f t="shared" si="49"/>
      </c>
      <c r="F108" s="330">
        <f t="shared" si="49"/>
      </c>
      <c r="G108" s="330">
        <f t="shared" si="49"/>
      </c>
      <c r="H108" s="334">
        <f t="shared" si="49"/>
      </c>
      <c r="I108" s="334">
        <f t="shared" si="49"/>
      </c>
      <c r="J108" s="334">
        <f t="shared" si="49"/>
      </c>
      <c r="K108" s="334">
        <f t="shared" si="49"/>
      </c>
      <c r="M108" s="330">
        <f t="shared" si="30"/>
      </c>
      <c r="N108" s="330">
        <f t="shared" si="31"/>
      </c>
      <c r="O108" s="330">
        <f t="shared" si="32"/>
      </c>
    </row>
    <row r="109" spans="1:15" x14ac:dyDescent="0.2">
      <c r="A109" s="351" t="s">
        <v>675</v>
      </c>
      <c r="C109" s="330">
        <f>(C14-$B$14)/(C9-$B$9)</f>
      </c>
      <c r="D109" s="330">
        <f t="shared" ref="D109:K109" si="50">(D14-$B$14)/(D9-$B$9)</f>
      </c>
      <c r="E109" s="330">
        <f t="shared" si="50"/>
      </c>
      <c r="F109" s="330">
        <f t="shared" si="50"/>
      </c>
      <c r="G109" s="330">
        <f t="shared" si="50"/>
      </c>
      <c r="H109" s="330">
        <f t="shared" si="50"/>
      </c>
      <c r="I109" s="330">
        <f t="shared" si="50"/>
      </c>
      <c r="J109" s="330">
        <f t="shared" si="50"/>
      </c>
      <c r="K109" s="330">
        <f t="shared" si="50"/>
      </c>
      <c r="M109" s="330">
        <f t="shared" si="30"/>
      </c>
      <c r="N109" s="330">
        <f t="shared" si="31"/>
      </c>
      <c r="O109" s="330">
        <f t="shared" si="32"/>
      </c>
    </row>
    <row r="110" spans="1:15" x14ac:dyDescent="0.2">
      <c r="A110" s="355" t="s">
        <v>418</v>
      </c>
      <c r="M110" s="329"/>
      <c r="N110" s="329"/>
      <c r="O110" s="329"/>
    </row>
    <row r="111" spans="1:15" x14ac:dyDescent="0.2">
      <c r="A111" s="355" t="s">
        <v>694</v>
      </c>
      <c r="B111" s="330">
        <f>B11/B15</f>
      </c>
      <c r="C111" s="330">
        <f t="shared" ref="C111:K111" si="51">C11/C15</f>
      </c>
      <c r="D111" s="330">
        <f t="shared" si="51"/>
      </c>
      <c r="E111" s="330">
        <f t="shared" si="51"/>
      </c>
      <c r="F111" s="330">
        <f t="shared" si="51"/>
      </c>
      <c r="G111" s="330">
        <f t="shared" si="51"/>
      </c>
      <c r="H111" s="330">
        <f t="shared" si="51"/>
      </c>
      <c r="I111" s="330">
        <f t="shared" si="51"/>
      </c>
      <c r="J111" s="330">
        <f t="shared" si="51"/>
      </c>
      <c r="K111" s="330">
        <f t="shared" si="51"/>
      </c>
      <c r="M111" s="330">
        <f t="shared" si="30"/>
      </c>
      <c r="N111" s="330">
        <f t="shared" si="31"/>
      </c>
      <c r="O111" s="330">
        <f t="shared" si="32"/>
      </c>
    </row>
    <row r="112" spans="1:15" x14ac:dyDescent="0.2">
      <c r="A112" s="326" t="s">
        <v>146</v>
      </c>
      <c r="B112" s="336">
        <f>('Data Sheet'!B31*10000000/'Data Sheet'!B70)/'Data Sheet'!B90</f>
      </c>
      <c r="C112" s="336">
        <f>('Data Sheet'!C31*10000000/'Data Sheet'!C70)/'Data Sheet'!C90</f>
      </c>
      <c r="D112" s="336">
        <f>('Data Sheet'!D31*10000000/'Data Sheet'!D70)/'Data Sheet'!D90</f>
      </c>
      <c r="E112" s="336">
        <f>('Data Sheet'!E31*10000000/'Data Sheet'!E70)/'Data Sheet'!E90</f>
      </c>
      <c r="F112" s="336">
        <f>('Data Sheet'!F31*10000000/'Data Sheet'!F70)/'Data Sheet'!F90</f>
      </c>
      <c r="G112" s="336">
        <f>('Data Sheet'!G31*10000000/'Data Sheet'!G70)/'Data Sheet'!G90</f>
      </c>
      <c r="H112" s="336">
        <f>('Data Sheet'!H31*10000000/'Data Sheet'!H70)/'Data Sheet'!H90</f>
      </c>
      <c r="I112" s="336">
        <f>('Data Sheet'!I31*10000000/'Data Sheet'!I70)/'Data Sheet'!I90</f>
      </c>
      <c r="J112" s="336">
        <f>('Data Sheet'!J31*10000000/'Data Sheet'!J70)/'Data Sheet'!J90</f>
      </c>
      <c r="K112" s="336">
        <f>('Data Sheet'!K31*10000000/'Data Sheet'!K70)/'Data Sheet'!K90</f>
      </c>
      <c r="M112" s="330">
        <f t="shared" si="30"/>
      </c>
      <c r="N112" s="330">
        <f t="shared" si="31"/>
      </c>
      <c r="O112" s="330">
        <f t="shared" si="32"/>
      </c>
    </row>
    <row r="113" spans="1:15" x14ac:dyDescent="0.2">
      <c r="A113" s="326" t="s">
        <v>17</v>
      </c>
      <c r="B113" s="330">
        <f>'Data Sheet'!B31/'Data Sheet'!B30</f>
      </c>
      <c r="C113" s="330">
        <f>'Data Sheet'!C31/'Data Sheet'!C30</f>
      </c>
      <c r="D113" s="330">
        <f>'Data Sheet'!D31/'Data Sheet'!D30</f>
      </c>
      <c r="E113" s="330">
        <f>'Data Sheet'!E31/'Data Sheet'!E30</f>
      </c>
      <c r="F113" s="330">
        <f>'Data Sheet'!F31/'Data Sheet'!F30</f>
      </c>
      <c r="G113" s="330">
        <f>'Data Sheet'!G31/'Data Sheet'!G30</f>
      </c>
      <c r="H113" s="330">
        <f>'Data Sheet'!H31/'Data Sheet'!H30</f>
      </c>
      <c r="I113" s="330">
        <f>'Data Sheet'!I31/'Data Sheet'!I30</f>
      </c>
      <c r="J113" s="330">
        <f>'Data Sheet'!J31/'Data Sheet'!J30</f>
      </c>
      <c r="K113" s="330">
        <f>'Data Sheet'!K31/'Data Sheet'!K30</f>
      </c>
      <c r="M113" s="330">
        <f t="shared" si="30"/>
      </c>
      <c r="N113" s="330">
        <f t="shared" si="31"/>
      </c>
      <c r="O113" s="330">
        <f t="shared" si="32"/>
      </c>
    </row>
  </sheetData>
  <pageMargins left="0.7" right="0.7" top="0.75" bottom="0.75" header="0.3" footer="0.3"/>
  <ignoredErrors>
    <ignoredError sqref="B4:K4 M23:O23 M27:O32 N35:O35 M36:O37 M35 M33:O34 N38:O38 M39:O39 M38" formulaRange="1"/>
    <ignoredError sqref="B75:K7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Profit &amp; Loss</vt:lpstr>
      <vt:lpstr>Quarters</vt:lpstr>
      <vt:lpstr>Balance Sheet</vt:lpstr>
      <vt:lpstr>Cash Flow</vt:lpstr>
      <vt:lpstr>Customization</vt:lpstr>
      <vt:lpstr>Financial Analysis</vt:lpstr>
      <vt:lpstr>Data Sheet</vt:lpstr>
      <vt:lpstr>Other_input_data</vt:lpstr>
      <vt:lpstr>Trend</vt:lpstr>
      <vt:lpstr>Comparative1</vt:lpstr>
      <vt:lpstr>Comparative</vt:lpstr>
      <vt:lpstr>Analysis2</vt:lpstr>
      <vt:lpstr>Valuation</vt:lpstr>
      <vt:lpstr>PE Forecast</vt:lpstr>
      <vt:lpstr>UPDATE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Kumar Saurabh</cp:lastModifiedBy>
  <cp:lastPrinted>2012-12-06T18:14:13Z</cp:lastPrinted>
  <dcterms:created xsi:type="dcterms:W3CDTF">2012-08-17T09:55:37Z</dcterms:created>
  <dcterms:modified xsi:type="dcterms:W3CDTF">2017-01-09T15:42:33Z</dcterms:modified>
</cp:coreProperties>
</file>