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codeName="ThisWorkbook" autoCompressPictures="0"/>
  <bookViews>
    <workbookView xWindow="240" yWindow="80" windowWidth="23660" windowHeight="12900" activeTab="4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</sheets>
  <definedNames>
    <definedName name="BS">'Balance Sheet'!$A$3:$K$17</definedName>
    <definedName name="PL">'Profit &amp; Loss'!$A$3:$N$21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5" l="1"/>
  <c r="I13" i="5"/>
  <c r="G13" i="5"/>
  <c r="F13" i="5"/>
  <c r="E13" i="5"/>
  <c r="D13" i="5"/>
  <c r="C13" i="5"/>
  <c r="G12" i="5"/>
  <c r="F12" i="5"/>
  <c r="E12" i="5"/>
  <c r="D12" i="5"/>
  <c r="C12" i="5"/>
  <c r="J2" i="5"/>
  <c r="I2" i="5"/>
  <c r="G11" i="5"/>
  <c r="F11" i="5"/>
  <c r="E11" i="5"/>
  <c r="D11" i="5"/>
  <c r="C11" i="5"/>
  <c r="F10" i="5"/>
  <c r="G10" i="5"/>
  <c r="E10" i="5"/>
  <c r="D10" i="5"/>
  <c r="C10" i="5"/>
  <c r="G9" i="5"/>
  <c r="F9" i="5"/>
  <c r="E9" i="5"/>
  <c r="D9" i="5"/>
  <c r="C9" i="5"/>
  <c r="F6" i="5"/>
  <c r="G5" i="5"/>
  <c r="F5" i="5"/>
  <c r="G4" i="5"/>
  <c r="G3" i="5"/>
  <c r="G2" i="5"/>
  <c r="F7" i="5"/>
  <c r="E7" i="5"/>
  <c r="D7" i="5"/>
  <c r="C7" i="5"/>
  <c r="E6" i="5"/>
  <c r="D6" i="5"/>
  <c r="C6" i="5"/>
  <c r="F2" i="5"/>
  <c r="E2" i="5"/>
  <c r="D2" i="5"/>
  <c r="C2" i="5"/>
  <c r="E5" i="5"/>
  <c r="D5" i="5"/>
  <c r="C5" i="5"/>
  <c r="F4" i="5"/>
  <c r="E4" i="5"/>
  <c r="D4" i="5"/>
  <c r="C4" i="5"/>
  <c r="F3" i="5"/>
  <c r="E3" i="5"/>
  <c r="D3" i="5"/>
  <c r="C3" i="5"/>
  <c r="C16" i="6"/>
  <c r="D16" i="6"/>
  <c r="E16" i="6"/>
  <c r="F16" i="6"/>
  <c r="G16" i="6"/>
  <c r="H16" i="6"/>
  <c r="I16" i="6"/>
  <c r="J16" i="6"/>
  <c r="K16" i="6"/>
  <c r="B16" i="6"/>
  <c r="G1" i="2"/>
  <c r="G1" i="4"/>
  <c r="G1" i="3"/>
  <c r="J1" i="1"/>
  <c r="C3" i="4"/>
  <c r="D3" i="4"/>
  <c r="E3" i="4"/>
  <c r="F3" i="4"/>
  <c r="G3" i="4"/>
  <c r="H3" i="4"/>
  <c r="I3" i="4"/>
  <c r="J3" i="4"/>
  <c r="K3" i="4"/>
  <c r="C3" i="2"/>
  <c r="D3" i="2"/>
  <c r="E3" i="2"/>
  <c r="F3" i="2"/>
  <c r="G3" i="2"/>
  <c r="H3" i="2"/>
  <c r="I3" i="2"/>
  <c r="J3" i="2"/>
  <c r="K3" i="2"/>
  <c r="C3" i="3"/>
  <c r="D3" i="3"/>
  <c r="E3" i="3"/>
  <c r="F3" i="3"/>
  <c r="G3" i="3"/>
  <c r="H3" i="3"/>
  <c r="I3" i="3"/>
  <c r="J3" i="3"/>
  <c r="K3" i="3"/>
  <c r="C3" i="1"/>
  <c r="D3" i="1"/>
  <c r="E3" i="1"/>
  <c r="F3" i="1"/>
  <c r="G3" i="1"/>
  <c r="H3" i="1"/>
  <c r="I3" i="1"/>
  <c r="J3" i="1"/>
  <c r="K3" i="1"/>
  <c r="K14" i="3"/>
  <c r="K20" i="1"/>
  <c r="J20" i="1"/>
  <c r="I20" i="1"/>
  <c r="H20" i="1"/>
  <c r="G20" i="1"/>
  <c r="F20" i="1"/>
  <c r="E20" i="1"/>
  <c r="D20" i="1"/>
  <c r="C20" i="1"/>
  <c r="B20" i="1"/>
  <c r="K69" i="6"/>
  <c r="K16" i="1"/>
  <c r="J69" i="6"/>
  <c r="J16" i="1"/>
  <c r="G69" i="6"/>
  <c r="G16" i="1"/>
  <c r="F69" i="6"/>
  <c r="F16" i="1"/>
  <c r="C69" i="6"/>
  <c r="C16" i="1"/>
  <c r="B69" i="6"/>
  <c r="B16" i="1"/>
  <c r="I69" i="6"/>
  <c r="I16" i="1"/>
  <c r="H69" i="6"/>
  <c r="H16" i="1"/>
  <c r="E69" i="6"/>
  <c r="E16" i="1"/>
  <c r="D69" i="6"/>
  <c r="D16" i="1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5" i="4"/>
  <c r="J5" i="4"/>
  <c r="I5" i="4"/>
  <c r="H5" i="4"/>
  <c r="G5" i="4"/>
  <c r="F5" i="4"/>
  <c r="E5" i="4"/>
  <c r="D5" i="4"/>
  <c r="C5" i="4"/>
  <c r="K4" i="4"/>
  <c r="J4" i="4"/>
  <c r="I4" i="4"/>
  <c r="H4" i="4"/>
  <c r="G4" i="4"/>
  <c r="F4" i="4"/>
  <c r="E4" i="4"/>
  <c r="D4" i="4"/>
  <c r="C4" i="4"/>
  <c r="B8" i="4"/>
  <c r="B7" i="4"/>
  <c r="B6" i="4"/>
  <c r="B5" i="4"/>
  <c r="B4" i="4"/>
  <c r="B3" i="4"/>
  <c r="K17" i="2"/>
  <c r="K4" i="1"/>
  <c r="K20" i="2"/>
  <c r="J17" i="2"/>
  <c r="J4" i="1"/>
  <c r="J20" i="2"/>
  <c r="I17" i="2"/>
  <c r="I4" i="1"/>
  <c r="I20" i="2"/>
  <c r="H17" i="2"/>
  <c r="H4" i="1"/>
  <c r="H20" i="2"/>
  <c r="G17" i="2"/>
  <c r="G4" i="1"/>
  <c r="G20" i="2"/>
  <c r="F17" i="2"/>
  <c r="F20" i="2"/>
  <c r="E17" i="2"/>
  <c r="E20" i="2"/>
  <c r="D17" i="2"/>
  <c r="D20" i="2"/>
  <c r="C17" i="2"/>
  <c r="C20" i="2"/>
  <c r="K16" i="2"/>
  <c r="J16" i="2"/>
  <c r="I16" i="2"/>
  <c r="H16" i="2"/>
  <c r="G16" i="2"/>
  <c r="F16" i="2"/>
  <c r="E16" i="2"/>
  <c r="D16" i="2"/>
  <c r="C16" i="2"/>
  <c r="B17" i="2"/>
  <c r="B20" i="2"/>
  <c r="B16" i="2"/>
  <c r="K13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K11" i="2"/>
  <c r="J11" i="2"/>
  <c r="I11" i="2"/>
  <c r="H11" i="2"/>
  <c r="G11" i="2"/>
  <c r="F11" i="2"/>
  <c r="E11" i="2"/>
  <c r="D11" i="2"/>
  <c r="C11" i="2"/>
  <c r="K10" i="2"/>
  <c r="J10" i="2"/>
  <c r="I10" i="2"/>
  <c r="H10" i="2"/>
  <c r="G10" i="2"/>
  <c r="F10" i="2"/>
  <c r="E10" i="2"/>
  <c r="D10" i="2"/>
  <c r="C10" i="2"/>
  <c r="K9" i="2"/>
  <c r="K10" i="1"/>
  <c r="K13" i="1"/>
  <c r="K23" i="2"/>
  <c r="J9" i="2"/>
  <c r="I9" i="2"/>
  <c r="H9" i="2"/>
  <c r="G9" i="2"/>
  <c r="G10" i="1"/>
  <c r="G13" i="1"/>
  <c r="G23" i="2"/>
  <c r="F9" i="2"/>
  <c r="E9" i="2"/>
  <c r="D9" i="2"/>
  <c r="C9" i="2"/>
  <c r="C10" i="1"/>
  <c r="C13" i="1"/>
  <c r="C23" i="2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K5" i="2"/>
  <c r="J5" i="2"/>
  <c r="I5" i="2"/>
  <c r="H5" i="2"/>
  <c r="G5" i="2"/>
  <c r="F5" i="2"/>
  <c r="E5" i="2"/>
  <c r="D5" i="2"/>
  <c r="C5" i="2"/>
  <c r="K4" i="2"/>
  <c r="J4" i="2"/>
  <c r="J14" i="1"/>
  <c r="J22" i="2"/>
  <c r="I4" i="2"/>
  <c r="I14" i="1"/>
  <c r="I22" i="2"/>
  <c r="H4" i="2"/>
  <c r="H14" i="1"/>
  <c r="H22" i="2"/>
  <c r="G4" i="2"/>
  <c r="F4" i="2"/>
  <c r="F14" i="1"/>
  <c r="F22" i="2"/>
  <c r="E4" i="2"/>
  <c r="E14" i="1"/>
  <c r="E22" i="2"/>
  <c r="D4" i="2"/>
  <c r="D14" i="1"/>
  <c r="D22" i="2"/>
  <c r="C4" i="2"/>
  <c r="B13" i="2"/>
  <c r="B12" i="2"/>
  <c r="B11" i="2"/>
  <c r="B10" i="2"/>
  <c r="B9" i="2"/>
  <c r="B8" i="2"/>
  <c r="B7" i="2"/>
  <c r="B6" i="2"/>
  <c r="B5" i="2"/>
  <c r="B4" i="2"/>
  <c r="B14" i="1"/>
  <c r="B22" i="2"/>
  <c r="B3" i="2"/>
  <c r="J14" i="3"/>
  <c r="I14" i="3"/>
  <c r="H14" i="3"/>
  <c r="G14" i="3"/>
  <c r="F14" i="3"/>
  <c r="E14" i="3"/>
  <c r="D14" i="3"/>
  <c r="C14" i="3"/>
  <c r="K13" i="3"/>
  <c r="J13" i="3"/>
  <c r="I13" i="3"/>
  <c r="H13" i="3"/>
  <c r="G13" i="3"/>
  <c r="F13" i="3"/>
  <c r="E13" i="3"/>
  <c r="D13" i="3"/>
  <c r="C13" i="3"/>
  <c r="K12" i="3"/>
  <c r="J12" i="3"/>
  <c r="I12" i="3"/>
  <c r="H12" i="3"/>
  <c r="G12" i="3"/>
  <c r="F12" i="3"/>
  <c r="E12" i="3"/>
  <c r="D12" i="3"/>
  <c r="C12" i="3"/>
  <c r="K11" i="3"/>
  <c r="J11" i="3"/>
  <c r="I11" i="3"/>
  <c r="H11" i="3"/>
  <c r="G11" i="3"/>
  <c r="F11" i="3"/>
  <c r="E11" i="3"/>
  <c r="D11" i="3"/>
  <c r="C11" i="3"/>
  <c r="K10" i="3"/>
  <c r="J10" i="3"/>
  <c r="I10" i="3"/>
  <c r="H10" i="3"/>
  <c r="G10" i="3"/>
  <c r="F10" i="3"/>
  <c r="E10" i="3"/>
  <c r="D10" i="3"/>
  <c r="C10" i="3"/>
  <c r="K9" i="3"/>
  <c r="J9" i="3"/>
  <c r="I9" i="3"/>
  <c r="H9" i="3"/>
  <c r="G9" i="3"/>
  <c r="F9" i="3"/>
  <c r="E9" i="3"/>
  <c r="D9" i="3"/>
  <c r="C9" i="3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4" i="3"/>
  <c r="J4" i="3"/>
  <c r="J16" i="3"/>
  <c r="I4" i="3"/>
  <c r="H4" i="3"/>
  <c r="H16" i="3"/>
  <c r="G4" i="3"/>
  <c r="F4" i="3"/>
  <c r="F16" i="3"/>
  <c r="E4" i="3"/>
  <c r="D4" i="3"/>
  <c r="D16" i="3"/>
  <c r="C4" i="3"/>
  <c r="B14" i="3"/>
  <c r="B13" i="3"/>
  <c r="B12" i="3"/>
  <c r="B11" i="3"/>
  <c r="B10" i="3"/>
  <c r="B9" i="3"/>
  <c r="B8" i="3"/>
  <c r="B7" i="3"/>
  <c r="B6" i="3"/>
  <c r="B4" i="3"/>
  <c r="B16" i="3"/>
  <c r="B3" i="3"/>
  <c r="B4" i="1"/>
  <c r="H24" i="1"/>
  <c r="D4" i="1"/>
  <c r="I24" i="1"/>
  <c r="F4" i="1"/>
  <c r="J24" i="1"/>
  <c r="K24" i="1"/>
  <c r="L4" i="1"/>
  <c r="L24" i="1"/>
  <c r="N24" i="1"/>
  <c r="N4" i="1"/>
  <c r="C4" i="1"/>
  <c r="E4" i="1"/>
  <c r="M24" i="1"/>
  <c r="M4" i="1"/>
  <c r="L14" i="1"/>
  <c r="L15" i="1"/>
  <c r="L17" i="1"/>
  <c r="K14" i="1"/>
  <c r="G14" i="1"/>
  <c r="C14" i="1"/>
  <c r="J13" i="1"/>
  <c r="I13" i="1"/>
  <c r="H13" i="1"/>
  <c r="F13" i="1"/>
  <c r="E13" i="1"/>
  <c r="D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J10" i="1"/>
  <c r="I10" i="1"/>
  <c r="H10" i="1"/>
  <c r="F10" i="1"/>
  <c r="E10" i="1"/>
  <c r="D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B13" i="1"/>
  <c r="B12" i="1"/>
  <c r="B11" i="1"/>
  <c r="B10" i="1"/>
  <c r="B9" i="1"/>
  <c r="B8" i="1"/>
  <c r="B7" i="1"/>
  <c r="B6" i="1"/>
  <c r="K5" i="1"/>
  <c r="J5" i="1"/>
  <c r="G5" i="1"/>
  <c r="F5" i="1"/>
  <c r="C5" i="1"/>
  <c r="B19" i="2"/>
  <c r="B3" i="1"/>
  <c r="E5" i="3"/>
  <c r="E16" i="3"/>
  <c r="I5" i="3"/>
  <c r="I16" i="3"/>
  <c r="D23" i="2"/>
  <c r="H23" i="2"/>
  <c r="D5" i="1"/>
  <c r="H5" i="1"/>
  <c r="B23" i="2"/>
  <c r="E23" i="2"/>
  <c r="I23" i="2"/>
  <c r="E5" i="1"/>
  <c r="I5" i="1"/>
  <c r="C5" i="3"/>
  <c r="C16" i="3"/>
  <c r="G5" i="3"/>
  <c r="G16" i="3"/>
  <c r="K5" i="3"/>
  <c r="K16" i="3"/>
  <c r="C22" i="2"/>
  <c r="G22" i="2"/>
  <c r="K22" i="2"/>
  <c r="F23" i="2"/>
  <c r="J23" i="2"/>
  <c r="D5" i="3"/>
  <c r="F5" i="3"/>
  <c r="H5" i="3"/>
  <c r="J5" i="3"/>
  <c r="L5" i="1"/>
  <c r="B5" i="3"/>
  <c r="G19" i="2"/>
  <c r="I19" i="2"/>
  <c r="K19" i="2"/>
  <c r="D19" i="2"/>
  <c r="F19" i="2"/>
  <c r="L16" i="1"/>
  <c r="L26" i="1"/>
  <c r="H19" i="2"/>
  <c r="J19" i="2"/>
  <c r="C19" i="2"/>
  <c r="E19" i="2"/>
  <c r="L13" i="1"/>
  <c r="L12" i="1"/>
  <c r="L11" i="1"/>
  <c r="M11" i="1"/>
  <c r="L10" i="1"/>
  <c r="L9" i="1"/>
  <c r="M9" i="1"/>
  <c r="L8" i="1"/>
  <c r="L7" i="1"/>
  <c r="L6" i="1"/>
  <c r="L21" i="1"/>
  <c r="L25" i="1"/>
  <c r="A1" i="3"/>
  <c r="A1" i="2"/>
  <c r="A1" i="4"/>
  <c r="C21" i="1"/>
  <c r="D21" i="1"/>
  <c r="E21" i="1"/>
  <c r="F21" i="1"/>
  <c r="G21" i="1"/>
  <c r="H21" i="1"/>
  <c r="I21" i="1"/>
  <c r="J21" i="1"/>
  <c r="K21" i="1"/>
  <c r="B5" i="1"/>
  <c r="B21" i="1"/>
  <c r="N13" i="1"/>
  <c r="M13" i="1"/>
  <c r="H26" i="1"/>
  <c r="J26" i="1"/>
  <c r="K26" i="1"/>
  <c r="M26" i="1"/>
  <c r="I26" i="1"/>
  <c r="N11" i="1"/>
  <c r="N9" i="1"/>
  <c r="N26" i="1"/>
  <c r="M16" i="1"/>
  <c r="N16" i="1"/>
  <c r="H25" i="1"/>
  <c r="I25" i="1"/>
  <c r="J25" i="1"/>
  <c r="K25" i="1"/>
  <c r="N25" i="1"/>
  <c r="N6" i="1"/>
  <c r="N8" i="1"/>
  <c r="N10" i="1"/>
  <c r="N12" i="1"/>
  <c r="N14" i="1"/>
  <c r="N15" i="1"/>
  <c r="N17" i="1"/>
  <c r="M25" i="1"/>
  <c r="M6" i="1"/>
  <c r="M8" i="1"/>
  <c r="M10" i="1"/>
  <c r="M12" i="1"/>
  <c r="M14" i="1"/>
  <c r="M15" i="1"/>
  <c r="M17" i="1"/>
  <c r="M5" i="1"/>
  <c r="N5" i="1"/>
</calcChain>
</file>

<file path=xl/sharedStrings.xml><?xml version="1.0" encoding="utf-8"?>
<sst xmlns="http://schemas.openxmlformats.org/spreadsheetml/2006/main" count="147" uniqueCount="79">
  <si>
    <t>KRBL LTD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</si>
  <si>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</si>
  <si>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</si>
  <si>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</si>
  <si>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</si>
  <si>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</si>
  <si>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</si>
  <si>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</si>
  <si>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</si>
  <si>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</si>
  <si>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EBIDT</t>
  </si>
  <si>
    <t>Depreciation</t>
  </si>
  <si>
    <t>EBIT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</si>
  <si>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</si>
  <si>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</si>
  <si>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</si>
  <si>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</si>
  <si>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</si>
  <si>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</si>
  <si>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</si>
  <si>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</si>
  <si>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</si>
  <si>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Recent</t>
  </si>
  <si>
    <t>3Years</t>
  </si>
  <si>
    <t>5Years</t>
  </si>
  <si>
    <t>7Years</t>
  </si>
  <si>
    <t>10Years</t>
  </si>
  <si>
    <t>BEST</t>
  </si>
  <si>
    <t>WORST</t>
  </si>
  <si>
    <t>Sales Growth</t>
  </si>
  <si>
    <t>Price to Earning</t>
  </si>
  <si>
    <t>Equity Share Capital</t>
  </si>
  <si>
    <t>Reserves</t>
  </si>
  <si>
    <t>Secured Loans</t>
  </si>
  <si>
    <t>Unsecured Loans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</si>
  <si>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</si>
  <si>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</si>
  <si>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</si>
  <si>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</si>
  <si>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</si>
  <si>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</si>
  <si>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</si>
  <si>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</si>
  <si>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</si>
  <si>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</si>
  <si>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Cash &amp; Eq. at the end of year</t>
  </si>
  <si>
    <t>PLEASE DO NOT MAKE ANY CHANGES TO THIS SHEET</t>
  </si>
  <si>
    <t>PROFIT &amp; LOSS</t>
  </si>
  <si>
    <t>Report Date</t>
  </si>
  <si>
    <t>Period</t>
  </si>
  <si>
    <t>Quarters</t>
  </si>
  <si>
    <t>BALANCE SHEET</t>
  </si>
  <si>
    <t>CASH FLOW:</t>
  </si>
  <si>
    <t>OTHER:</t>
  </si>
  <si>
    <t>Number of shares</t>
  </si>
  <si>
    <t>Current Price</t>
  </si>
  <si>
    <t>Industry PE</t>
  </si>
  <si>
    <t>Debtors</t>
  </si>
  <si>
    <t>Inventory</t>
  </si>
  <si>
    <t>Debtor Days</t>
  </si>
  <si>
    <t>Inventory Turnover</t>
  </si>
  <si>
    <t>Unadjusted No. of Shares (lacs)</t>
  </si>
  <si>
    <t>Market Cap</t>
  </si>
  <si>
    <t>PE</t>
  </si>
  <si>
    <t>EPS</t>
  </si>
  <si>
    <t>Price</t>
  </si>
  <si>
    <t>Return on Equity</t>
  </si>
  <si>
    <t>Return on Capital Emp</t>
  </si>
  <si>
    <t>Cash</t>
  </si>
  <si>
    <t>Dividend Paid</t>
  </si>
  <si>
    <t>Invested Capital</t>
  </si>
  <si>
    <t>PAT</t>
  </si>
  <si>
    <t>RoIC</t>
  </si>
  <si>
    <t>RoIIC</t>
  </si>
  <si>
    <t>Incremental Returns</t>
  </si>
  <si>
    <t>WACC</t>
  </si>
  <si>
    <t>EPA</t>
  </si>
  <si>
    <t>EPA/Sales</t>
  </si>
  <si>
    <t>Capital Turnover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</si>
</sst>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F800]dddd\,\ mmmm\ dd\,\ yyyy"/>
    <numFmt numFmtId="166" formatCode="[$-409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0" fillId="0" borderId="4" xfId="0" applyFont="1" applyBorder="1"/>
    <xf numFmtId="10" fontId="0" fillId="0" borderId="5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1" xfId="0" applyBorder="1"/>
    <xf numFmtId="164" fontId="1" fillId="0" borderId="2" xfId="1" applyFont="1" applyBorder="1"/>
    <xf numFmtId="0" fontId="2" fillId="2" borderId="3" xfId="0" applyFont="1" applyFill="1" applyBorder="1" applyAlignment="1">
      <alignment horizontal="center"/>
    </xf>
    <xf numFmtId="10" fontId="0" fillId="0" borderId="2" xfId="0" applyNumberFormat="1" applyFont="1" applyBorder="1"/>
    <xf numFmtId="164" fontId="1" fillId="0" borderId="3" xfId="1" applyFont="1" applyBorder="1"/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0" xfId="1" applyFont="1"/>
    <xf numFmtId="0" fontId="1" fillId="0" borderId="0" xfId="0" applyFont="1" applyAlignment="1">
      <alignment horizontal="center"/>
    </xf>
    <xf numFmtId="164" fontId="3" fillId="0" borderId="2" xfId="1" applyFont="1" applyBorder="1"/>
    <xf numFmtId="14" fontId="2" fillId="2" borderId="2" xfId="0" applyNumberFormat="1" applyFont="1" applyFill="1" applyBorder="1" applyAlignment="1">
      <alignment horizontal="center"/>
    </xf>
    <xf numFmtId="164" fontId="1" fillId="0" borderId="0" xfId="1" applyFont="1"/>
    <xf numFmtId="164" fontId="0" fillId="0" borderId="1" xfId="1" applyFont="1" applyBorder="1"/>
    <xf numFmtId="164" fontId="1" fillId="0" borderId="1" xfId="1" applyFont="1" applyBorder="1"/>
    <xf numFmtId="165" fontId="2" fillId="2" borderId="1" xfId="1" applyNumberFormat="1" applyFont="1" applyFill="1" applyBorder="1"/>
    <xf numFmtId="165" fontId="0" fillId="0" borderId="0" xfId="1" applyNumberFormat="1" applyFont="1"/>
    <xf numFmtId="164" fontId="1" fillId="0" borderId="0" xfId="1" applyFont="1" applyBorder="1"/>
    <xf numFmtId="164" fontId="1" fillId="0" borderId="2" xfId="1" applyNumberFormat="1" applyFont="1" applyBorder="1" applyAlignment="1">
      <alignment horizontal="center"/>
    </xf>
    <xf numFmtId="164" fontId="3" fillId="0" borderId="3" xfId="1" applyFont="1" applyBorder="1"/>
    <xf numFmtId="9" fontId="3" fillId="0" borderId="2" xfId="1" applyNumberFormat="1" applyFont="1" applyBorder="1"/>
    <xf numFmtId="10" fontId="0" fillId="0" borderId="0" xfId="0" applyNumberFormat="1" applyFont="1"/>
    <xf numFmtId="164" fontId="3" fillId="0" borderId="0" xfId="1" applyFont="1"/>
    <xf numFmtId="0" fontId="1" fillId="0" borderId="3" xfId="0" applyFont="1" applyBorder="1"/>
    <xf numFmtId="10" fontId="1" fillId="0" borderId="0" xfId="0" applyNumberFormat="1" applyFont="1"/>
    <xf numFmtId="0" fontId="0" fillId="0" borderId="7" xfId="0" applyFont="1" applyFill="1" applyBorder="1"/>
    <xf numFmtId="164" fontId="3" fillId="0" borderId="1" xfId="1" applyFont="1" applyBorder="1"/>
    <xf numFmtId="0" fontId="6" fillId="0" borderId="0" xfId="2" applyFont="1" applyAlignment="1" applyProtection="1"/>
    <xf numFmtId="0" fontId="1" fillId="0" borderId="0" xfId="0" applyFont="1" applyFill="1" applyBorder="1"/>
    <xf numFmtId="9" fontId="1" fillId="0" borderId="0" xfId="6" applyFont="1"/>
    <xf numFmtId="166" fontId="2" fillId="2" borderId="2" xfId="0" applyNumberFormat="1" applyFont="1" applyFill="1" applyBorder="1" applyAlignment="1">
      <alignment horizontal="center"/>
    </xf>
    <xf numFmtId="164" fontId="2" fillId="3" borderId="2" xfId="3" applyNumberFormat="1" applyFont="1" applyBorder="1"/>
    <xf numFmtId="164" fontId="2" fillId="4" borderId="2" xfId="4" applyNumberFormat="1" applyFont="1" applyBorder="1"/>
    <xf numFmtId="0" fontId="0" fillId="0" borderId="0" xfId="0" applyAlignment="1">
      <alignment horizontal="left"/>
    </xf>
    <xf numFmtId="15" fontId="0" fillId="0" borderId="0" xfId="0" applyNumberFormat="1"/>
    <xf numFmtId="16" fontId="0" fillId="0" borderId="0" xfId="0" applyNumberFormat="1"/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164" fontId="2" fillId="5" borderId="0" xfId="5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9" fontId="0" fillId="0" borderId="0" xfId="6" applyFont="1" applyAlignment="1">
      <alignment horizontal="left" vertical="center"/>
    </xf>
    <xf numFmtId="9" fontId="10" fillId="0" borderId="0" xfId="2" applyNumberFormat="1" applyFont="1" applyAlignment="1" applyProtection="1">
      <alignment horizontal="left" vertical="center"/>
    </xf>
  </cellXfs>
  <cellStyles count="18">
    <cellStyle name="60% - Accent1" xfId="3" builtinId="32"/>
    <cellStyle name="60% - Accent3" xfId="4" builtinId="40"/>
    <cellStyle name="Accent6" xfId="5" builtinId="49"/>
    <cellStyle name="Comma" xfId="1" builtinId="3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N26"/>
  <sheetViews>
    <sheetView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7" sqref="M17"/>
    </sheetView>
  </sheetViews>
  <sheetFormatPr baseColWidth="10" defaultColWidth="8.83203125" defaultRowHeight="14" x14ac:dyDescent="0"/>
  <cols>
    <col min="1" max="1" width="20.6640625" style="2" customWidth="1"/>
    <col min="2" max="6" width="13.5" style="2" hidden="1" customWidth="1"/>
    <col min="7" max="7" width="14.83203125" style="2" bestFit="1" customWidth="1"/>
    <col min="8" max="11" width="13.5" style="2" customWidth="1"/>
    <col min="12" max="12" width="13.33203125" style="2" customWidth="1"/>
    <col min="13" max="13" width="11.6640625" style="2" customWidth="1"/>
    <col min="14" max="14" width="11" style="2" bestFit="1" customWidth="1"/>
    <col min="15" max="16384" width="8.83203125" style="2"/>
  </cols>
  <sheetData>
    <row r="1" spans="1:14" s="1" customFormat="1">
      <c r="A1" s="1" t="s">
        <v>0</v>
      </c>
      <c r="J1" s="49" t="str">
        <f>IF(Customization!A30&lt;&gt;Customization!C25,"New updates in Data Sheet","")</f>
        <v/>
      </c>
      <c r="K1" s="49"/>
      <c r="M1" s="1" t="s">
        <v>1</v>
      </c>
    </row>
    <row r="3" spans="1:14" s="1" customFormat="1">
      <c r="A3" s="3" t="s">
        <v>2</v>
      </c>
      <c r="B3" s="43">
        <f>'Data Sheet'!B4</f>
        <v>38442</v>
      </c>
      <c r="C3" s="43">
        <f>'Data Sheet'!C4</f>
        <v>38807</v>
      </c>
      <c r="D3" s="43">
        <f>'Data Sheet'!D4</f>
        <v>39172</v>
      </c>
      <c r="E3" s="43">
        <f>'Data Sheet'!E4</f>
        <v>39538</v>
      </c>
      <c r="F3" s="43">
        <f>'Data Sheet'!F4</f>
        <v>39903</v>
      </c>
      <c r="G3" s="43">
        <f>'Data Sheet'!G4</f>
        <v>40268</v>
      </c>
      <c r="H3" s="43">
        <f>'Data Sheet'!H4</f>
        <v>40633</v>
      </c>
      <c r="I3" s="43">
        <f>'Data Sheet'!I4</f>
        <v>40999</v>
      </c>
      <c r="J3" s="43">
        <f>'Data Sheet'!J4</f>
        <v>41364</v>
      </c>
      <c r="K3" s="43">
        <f>'Data Sheet'!K4</f>
        <v>41729</v>
      </c>
      <c r="L3" s="4" t="s">
        <v>3</v>
      </c>
      <c r="M3" s="4" t="s">
        <v>4</v>
      </c>
      <c r="N3" s="16" t="s">
        <v>5</v>
      </c>
    </row>
    <row r="4" spans="1:14" s="1" customFormat="1">
      <c r="A4" s="8" t="s">
        <v>6</v>
      </c>
      <c r="B4" s="15">
        <f>'Data Sheet'!B6</f>
        <v>505.01</v>
      </c>
      <c r="C4" s="15">
        <f>'Data Sheet'!C6</f>
        <v>728.75</v>
      </c>
      <c r="D4" s="15">
        <f>'Data Sheet'!D6</f>
        <v>917.45</v>
      </c>
      <c r="E4" s="15">
        <f>'Data Sheet'!E6</f>
        <v>1006.64</v>
      </c>
      <c r="F4" s="15">
        <f>'Data Sheet'!F6</f>
        <v>1245.46</v>
      </c>
      <c r="G4" s="15">
        <f>'Data Sheet'!G6</f>
        <v>1579.01</v>
      </c>
      <c r="H4" s="15">
        <f>'Data Sheet'!H6</f>
        <v>1551.27</v>
      </c>
      <c r="I4" s="15">
        <f>'Data Sheet'!I6</f>
        <v>1631.35</v>
      </c>
      <c r="J4" s="15">
        <f>'Data Sheet'!J6</f>
        <v>2080.34</v>
      </c>
      <c r="K4" s="15">
        <f>'Data Sheet'!K6</f>
        <v>2791.31</v>
      </c>
      <c r="L4" s="15">
        <f>SUM(Quarters!H4:K4)</f>
        <v>3113.02</v>
      </c>
      <c r="M4" s="15">
        <f>$K4+M24*K4</f>
        <v>3745.258715450359</v>
      </c>
      <c r="N4" s="18">
        <f>$K4+N24*L4</f>
        <v>3327.6285004451202</v>
      </c>
    </row>
    <row r="5" spans="1:14">
      <c r="A5" s="5" t="s">
        <v>7</v>
      </c>
      <c r="B5" s="23">
        <f>B4-B6</f>
        <v>466.78999999999996</v>
      </c>
      <c r="C5" s="23">
        <f t="shared" ref="C5:K5" si="0">C4-C6</f>
        <v>648.05999999999995</v>
      </c>
      <c r="D5" s="23">
        <f t="shared" si="0"/>
        <v>798.63000000000011</v>
      </c>
      <c r="E5" s="23">
        <f t="shared" si="0"/>
        <v>852.96</v>
      </c>
      <c r="F5" s="23">
        <f t="shared" si="0"/>
        <v>1064.8499999999999</v>
      </c>
      <c r="G5" s="23">
        <f t="shared" si="0"/>
        <v>1381.09</v>
      </c>
      <c r="H5" s="23">
        <f t="shared" si="0"/>
        <v>1323.02</v>
      </c>
      <c r="I5" s="23">
        <f t="shared" si="0"/>
        <v>1403.4199999999998</v>
      </c>
      <c r="J5" s="23">
        <f t="shared" si="0"/>
        <v>1785.3600000000001</v>
      </c>
      <c r="K5" s="23">
        <f t="shared" si="0"/>
        <v>2387.96</v>
      </c>
      <c r="L5" s="23">
        <f>SUM(Quarters!H5:K5)</f>
        <v>2625.4300000000003</v>
      </c>
      <c r="M5" s="23">
        <f t="shared" ref="M5:N5" si="1">M4-M6</f>
        <v>3158.6416371577552</v>
      </c>
      <c r="N5" s="32">
        <f t="shared" si="1"/>
        <v>2871.4026886431361</v>
      </c>
    </row>
    <row r="6" spans="1:14" s="1" customFormat="1">
      <c r="A6" s="8" t="s">
        <v>8</v>
      </c>
      <c r="B6" s="15">
        <f>'Data Sheet'!B7</f>
        <v>38.22</v>
      </c>
      <c r="C6" s="15">
        <f>'Data Sheet'!C7</f>
        <v>80.69</v>
      </c>
      <c r="D6" s="15">
        <f>'Data Sheet'!D7</f>
        <v>118.82</v>
      </c>
      <c r="E6" s="15">
        <f>'Data Sheet'!E7</f>
        <v>153.68</v>
      </c>
      <c r="F6" s="15">
        <f>'Data Sheet'!F7</f>
        <v>180.61</v>
      </c>
      <c r="G6" s="15">
        <f>'Data Sheet'!G7</f>
        <v>197.92</v>
      </c>
      <c r="H6" s="15">
        <f>'Data Sheet'!H7</f>
        <v>228.25</v>
      </c>
      <c r="I6" s="15">
        <f>'Data Sheet'!I7</f>
        <v>227.93</v>
      </c>
      <c r="J6" s="15">
        <f>'Data Sheet'!J7</f>
        <v>294.98</v>
      </c>
      <c r="K6" s="15">
        <f>'Data Sheet'!K7</f>
        <v>403.35</v>
      </c>
      <c r="L6" s="15">
        <f>SUM(Quarters!H6:K6)</f>
        <v>487.59</v>
      </c>
      <c r="M6" s="15">
        <f>M4*M25</f>
        <v>586.61707829260354</v>
      </c>
      <c r="N6" s="18">
        <f>N4*N25</f>
        <v>456.22581180198404</v>
      </c>
    </row>
    <row r="7" spans="1:14">
      <c r="A7" s="5" t="s">
        <v>9</v>
      </c>
      <c r="B7" s="23">
        <f>'Data Sheet'!B8</f>
        <v>1.62</v>
      </c>
      <c r="C7" s="23">
        <f>'Data Sheet'!C8</f>
        <v>2.65</v>
      </c>
      <c r="D7" s="23">
        <f>'Data Sheet'!D8</f>
        <v>3.38</v>
      </c>
      <c r="E7" s="23">
        <f>'Data Sheet'!E8</f>
        <v>1.37</v>
      </c>
      <c r="F7" s="23">
        <f>'Data Sheet'!F8</f>
        <v>6.58</v>
      </c>
      <c r="G7" s="23">
        <f>'Data Sheet'!G8</f>
        <v>3.92</v>
      </c>
      <c r="H7" s="23">
        <f>'Data Sheet'!H8</f>
        <v>13.09</v>
      </c>
      <c r="I7" s="23">
        <f>'Data Sheet'!I8</f>
        <v>5.64</v>
      </c>
      <c r="J7" s="23">
        <f>'Data Sheet'!J8</f>
        <v>29.72</v>
      </c>
      <c r="K7" s="23">
        <f>'Data Sheet'!K8</f>
        <v>61.9</v>
      </c>
      <c r="L7" s="23">
        <f>SUM(Quarters!H7:K7)</f>
        <v>3.37</v>
      </c>
      <c r="M7" s="23">
        <v>0</v>
      </c>
      <c r="N7" s="32">
        <v>0</v>
      </c>
    </row>
    <row r="8" spans="1:14">
      <c r="A8" s="5" t="s">
        <v>10</v>
      </c>
      <c r="B8" s="23">
        <f>'Data Sheet'!B9</f>
        <v>39.840000000000003</v>
      </c>
      <c r="C8" s="23">
        <f>'Data Sheet'!C9</f>
        <v>83.34</v>
      </c>
      <c r="D8" s="23">
        <f>'Data Sheet'!D9</f>
        <v>122.2</v>
      </c>
      <c r="E8" s="23">
        <f>'Data Sheet'!E9</f>
        <v>155.05000000000001</v>
      </c>
      <c r="F8" s="23">
        <f>'Data Sheet'!F9</f>
        <v>187.19</v>
      </c>
      <c r="G8" s="23">
        <f>'Data Sheet'!G9</f>
        <v>201.84</v>
      </c>
      <c r="H8" s="23">
        <f>'Data Sheet'!H9</f>
        <v>241.34</v>
      </c>
      <c r="I8" s="23">
        <f>'Data Sheet'!I9</f>
        <v>233.57</v>
      </c>
      <c r="J8" s="23">
        <f>'Data Sheet'!J9</f>
        <v>324.7</v>
      </c>
      <c r="K8" s="23">
        <f>'Data Sheet'!K9</f>
        <v>465.25</v>
      </c>
      <c r="L8" s="23">
        <f>SUM(Quarters!H8:K8)</f>
        <v>490.96</v>
      </c>
      <c r="M8" s="23">
        <f>M6+M7</f>
        <v>586.61707829260354</v>
      </c>
      <c r="N8" s="32">
        <f>N6+N7</f>
        <v>456.22581180198404</v>
      </c>
    </row>
    <row r="9" spans="1:14">
      <c r="A9" s="5" t="s">
        <v>11</v>
      </c>
      <c r="B9" s="23">
        <f>'Data Sheet'!B10</f>
        <v>7.37</v>
      </c>
      <c r="C9" s="23">
        <f>'Data Sheet'!C10</f>
        <v>11.89</v>
      </c>
      <c r="D9" s="23">
        <f>'Data Sheet'!D10</f>
        <v>17.54</v>
      </c>
      <c r="E9" s="23">
        <f>'Data Sheet'!E10</f>
        <v>24.1</v>
      </c>
      <c r="F9" s="23">
        <f>'Data Sheet'!F10</f>
        <v>23.55</v>
      </c>
      <c r="G9" s="23">
        <f>'Data Sheet'!G10</f>
        <v>27.58</v>
      </c>
      <c r="H9" s="23">
        <f>'Data Sheet'!H10</f>
        <v>35.950000000000003</v>
      </c>
      <c r="I9" s="23">
        <f>'Data Sheet'!I10</f>
        <v>44.51</v>
      </c>
      <c r="J9" s="23">
        <f>'Data Sheet'!J10</f>
        <v>50.55</v>
      </c>
      <c r="K9" s="23">
        <f>'Data Sheet'!K10</f>
        <v>57.64</v>
      </c>
      <c r="L9" s="23">
        <f>SUM(Quarters!H9:K9)</f>
        <v>52.68</v>
      </c>
      <c r="M9" s="23">
        <f>+$L9</f>
        <v>52.68</v>
      </c>
      <c r="N9" s="32">
        <f>+$L9</f>
        <v>52.68</v>
      </c>
    </row>
    <row r="10" spans="1:14">
      <c r="A10" s="5" t="s">
        <v>12</v>
      </c>
      <c r="B10" s="23">
        <f>'Data Sheet'!B11</f>
        <v>32.47</v>
      </c>
      <c r="C10" s="23">
        <f>'Data Sheet'!C11</f>
        <v>71.45</v>
      </c>
      <c r="D10" s="23">
        <f>'Data Sheet'!D11</f>
        <v>104.66</v>
      </c>
      <c r="E10" s="23">
        <f>'Data Sheet'!E11</f>
        <v>130.94999999999999</v>
      </c>
      <c r="F10" s="23">
        <f>'Data Sheet'!F11</f>
        <v>163.63999999999999</v>
      </c>
      <c r="G10" s="23">
        <f>'Data Sheet'!G11</f>
        <v>174.26</v>
      </c>
      <c r="H10" s="23">
        <f>'Data Sheet'!H11</f>
        <v>205.39</v>
      </c>
      <c r="I10" s="23">
        <f>'Data Sheet'!I11</f>
        <v>189.06</v>
      </c>
      <c r="J10" s="23">
        <f>'Data Sheet'!J11</f>
        <v>274.14999999999998</v>
      </c>
      <c r="K10" s="23">
        <f>'Data Sheet'!K11</f>
        <v>407.61</v>
      </c>
      <c r="L10" s="23">
        <f>SUM(Quarters!H10:K10)</f>
        <v>438.28</v>
      </c>
      <c r="M10" s="23">
        <f>M8-M9</f>
        <v>533.93707829260359</v>
      </c>
      <c r="N10" s="32">
        <f>N8-N9</f>
        <v>403.54581180198403</v>
      </c>
    </row>
    <row r="11" spans="1:14">
      <c r="A11" s="5" t="s">
        <v>13</v>
      </c>
      <c r="B11" s="23">
        <f>'Data Sheet'!B12</f>
        <v>10.83</v>
      </c>
      <c r="C11" s="23">
        <f>'Data Sheet'!C12</f>
        <v>30.19</v>
      </c>
      <c r="D11" s="23">
        <f>'Data Sheet'!D12</f>
        <v>46.5</v>
      </c>
      <c r="E11" s="23">
        <f>'Data Sheet'!E12</f>
        <v>65.599999999999994</v>
      </c>
      <c r="F11" s="23">
        <f>'Data Sheet'!F12</f>
        <v>90.32</v>
      </c>
      <c r="G11" s="23">
        <f>'Data Sheet'!G12</f>
        <v>42.32</v>
      </c>
      <c r="H11" s="23">
        <f>'Data Sheet'!H12</f>
        <v>51.43</v>
      </c>
      <c r="I11" s="23">
        <f>'Data Sheet'!I12</f>
        <v>70.02</v>
      </c>
      <c r="J11" s="23">
        <f>'Data Sheet'!J12</f>
        <v>77.11</v>
      </c>
      <c r="K11" s="23">
        <f>'Data Sheet'!K12</f>
        <v>76</v>
      </c>
      <c r="L11" s="23">
        <f>SUM(Quarters!H11:K11)</f>
        <v>80.87</v>
      </c>
      <c r="M11" s="23">
        <f>+$L11</f>
        <v>80.87</v>
      </c>
      <c r="N11" s="32">
        <f>+$L11</f>
        <v>80.87</v>
      </c>
    </row>
    <row r="12" spans="1:14">
      <c r="A12" s="5" t="s">
        <v>14</v>
      </c>
      <c r="B12" s="23">
        <f>'Data Sheet'!B13</f>
        <v>21.54</v>
      </c>
      <c r="C12" s="23">
        <f>'Data Sheet'!C13</f>
        <v>41.26</v>
      </c>
      <c r="D12" s="23">
        <f>'Data Sheet'!D13</f>
        <v>58.15</v>
      </c>
      <c r="E12" s="23">
        <f>'Data Sheet'!E13</f>
        <v>65.34</v>
      </c>
      <c r="F12" s="23">
        <f>'Data Sheet'!F13</f>
        <v>73.319999999999993</v>
      </c>
      <c r="G12" s="23">
        <f>'Data Sheet'!G13</f>
        <v>131.94</v>
      </c>
      <c r="H12" s="23">
        <f>'Data Sheet'!H13</f>
        <v>153.96</v>
      </c>
      <c r="I12" s="23">
        <f>'Data Sheet'!I13</f>
        <v>119.05</v>
      </c>
      <c r="J12" s="23">
        <f>'Data Sheet'!J13</f>
        <v>197.03</v>
      </c>
      <c r="K12" s="23">
        <f>'Data Sheet'!K13</f>
        <v>331.6</v>
      </c>
      <c r="L12" s="23">
        <f>SUM(Quarters!H12:K12)</f>
        <v>357.40999999999997</v>
      </c>
      <c r="M12" s="23">
        <f>M10-M11</f>
        <v>453.06707829260358</v>
      </c>
      <c r="N12" s="32">
        <f>N10-N11</f>
        <v>322.67581180198403</v>
      </c>
    </row>
    <row r="13" spans="1:14">
      <c r="A13" s="5" t="s">
        <v>15</v>
      </c>
      <c r="B13" s="23">
        <f>'Data Sheet'!B14</f>
        <v>9.16</v>
      </c>
      <c r="C13" s="23">
        <f>'Data Sheet'!C14</f>
        <v>16.149999999999999</v>
      </c>
      <c r="D13" s="23">
        <f>'Data Sheet'!D14</f>
        <v>7.69</v>
      </c>
      <c r="E13" s="23">
        <f>'Data Sheet'!E14</f>
        <v>10.52</v>
      </c>
      <c r="F13" s="23">
        <f>'Data Sheet'!F14</f>
        <v>26.54</v>
      </c>
      <c r="G13" s="23">
        <f>'Data Sheet'!G14</f>
        <v>25.43</v>
      </c>
      <c r="H13" s="23">
        <f>'Data Sheet'!H14</f>
        <v>38.11</v>
      </c>
      <c r="I13" s="23">
        <f>'Data Sheet'!I14</f>
        <v>22.26</v>
      </c>
      <c r="J13" s="23">
        <f>'Data Sheet'!J14</f>
        <v>54.34</v>
      </c>
      <c r="K13" s="23">
        <f>'Data Sheet'!K14</f>
        <v>71.3</v>
      </c>
      <c r="L13" s="23">
        <f>SUM(Quarters!H13:K13)</f>
        <v>72.36</v>
      </c>
      <c r="M13" s="33">
        <f>IF($L12&gt;0,$L13/$L12,0)</f>
        <v>0.20245656249125657</v>
      </c>
      <c r="N13" s="33">
        <f>IF($L12&gt;0,$L13/$L12,0)</f>
        <v>0.20245656249125657</v>
      </c>
    </row>
    <row r="14" spans="1:14" s="1" customFormat="1">
      <c r="A14" s="8" t="s">
        <v>16</v>
      </c>
      <c r="B14" s="15">
        <f>'Data Sheet'!B15</f>
        <v>16.28</v>
      </c>
      <c r="C14" s="15">
        <f>'Data Sheet'!C15</f>
        <v>32.03</v>
      </c>
      <c r="D14" s="15">
        <f>'Data Sheet'!D15</f>
        <v>49.51</v>
      </c>
      <c r="E14" s="15">
        <f>'Data Sheet'!E15</f>
        <v>54.75</v>
      </c>
      <c r="F14" s="15">
        <f>'Data Sheet'!F15</f>
        <v>46.34</v>
      </c>
      <c r="G14" s="15">
        <f>'Data Sheet'!G15</f>
        <v>107.11</v>
      </c>
      <c r="H14" s="15">
        <f>'Data Sheet'!H15</f>
        <v>115.51</v>
      </c>
      <c r="I14" s="15">
        <f>'Data Sheet'!I15</f>
        <v>71.150000000000006</v>
      </c>
      <c r="J14" s="15">
        <f>'Data Sheet'!J15</f>
        <v>150.46</v>
      </c>
      <c r="K14" s="15">
        <f>'Data Sheet'!K15</f>
        <v>265.31</v>
      </c>
      <c r="L14" s="15">
        <f>SUM(Quarters!H14:K14)</f>
        <v>280.87</v>
      </c>
      <c r="M14" s="15">
        <f>M12-M13*M12</f>
        <v>361.34067504352606</v>
      </c>
      <c r="N14" s="18">
        <f>N12-N13*N12</f>
        <v>257.3479761454787</v>
      </c>
    </row>
    <row r="15" spans="1:14">
      <c r="A15" s="14" t="s">
        <v>64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>
        <f>IF('Data Sheet'!$B61&gt;0,'Profit &amp; Loss'!L14/'Data Sheet'!$B61,0)</f>
        <v>11.93160577740017</v>
      </c>
      <c r="M15" s="23">
        <f>IF('Data Sheet'!$B61&gt;0,'Profit &amp; Loss'!M14/'Data Sheet'!$B61,0)</f>
        <v>15.35007115732906</v>
      </c>
      <c r="N15" s="23">
        <f>IF('Data Sheet'!$B61&gt;0,'Profit &amp; Loss'!N14/'Data Sheet'!$B61,0)</f>
        <v>10.932369419943869</v>
      </c>
    </row>
    <row r="16" spans="1:14">
      <c r="A16" s="5" t="s">
        <v>18</v>
      </c>
      <c r="B16" s="23">
        <f>'Data Sheet'!B69</f>
        <v>7.9103194103194099</v>
      </c>
      <c r="C16" s="23">
        <f>'Data Sheet'!C69</f>
        <v>7.8248517015298154</v>
      </c>
      <c r="D16" s="23">
        <f>'Data Sheet'!D69</f>
        <v>6.7935770551403767</v>
      </c>
      <c r="E16" s="23">
        <f>'Data Sheet'!E69</f>
        <v>4.812420091324201</v>
      </c>
      <c r="F16" s="23">
        <f>'Data Sheet'!F69</f>
        <v>4.9479930945187736</v>
      </c>
      <c r="G16" s="23">
        <f>'Data Sheet'!G69</f>
        <v>3.2330314629819812</v>
      </c>
      <c r="H16" s="23">
        <f>'Data Sheet'!H69</f>
        <v>6.2659509999134269</v>
      </c>
      <c r="I16" s="23">
        <f>'Data Sheet'!I69</f>
        <v>7.8997891777933944</v>
      </c>
      <c r="J16" s="23">
        <f>'Data Sheet'!J69</f>
        <v>3.6714076831051439</v>
      </c>
      <c r="K16" s="23">
        <f>'Data Sheet'!K69</f>
        <v>2.7092834797029886</v>
      </c>
      <c r="L16" s="23">
        <f t="shared" ref="L16" si="2">IF(L15&gt;0,L17/L15,0)</f>
        <v>14.143108911596112</v>
      </c>
      <c r="M16" s="23">
        <f>M26</f>
        <v>14.143108911596112</v>
      </c>
      <c r="N16" s="23">
        <f>N26</f>
        <v>5.9603731126170025</v>
      </c>
    </row>
    <row r="17" spans="1:14" s="1" customFormat="1">
      <c r="A17" s="8" t="s">
        <v>65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>
        <f>'Data Sheet'!B63</f>
        <v>168.75</v>
      </c>
      <c r="M17" s="44">
        <f>M15*M16</f>
        <v>217.09772817885508</v>
      </c>
      <c r="N17" s="45">
        <f>N15*N16</f>
        <v>65.161000747829775</v>
      </c>
    </row>
    <row r="18" spans="1:14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s="1" customFormat="1">
      <c r="A19" s="8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6"/>
    </row>
    <row r="20" spans="1:14">
      <c r="A20" s="5" t="s">
        <v>19</v>
      </c>
      <c r="B20" s="17">
        <f>'Data Sheet'!B16/100</f>
        <v>0.24938574938574934</v>
      </c>
      <c r="C20" s="17">
        <f>'Data Sheet'!C16/100</f>
        <v>0.1726506400249766</v>
      </c>
      <c r="D20" s="17">
        <f>'Data Sheet'!D16/100</f>
        <v>0.1118965865481721</v>
      </c>
      <c r="E20" s="17">
        <f>'Data Sheet'!E16/100</f>
        <v>0.10392694063926941</v>
      </c>
      <c r="F20" s="17">
        <f>'Data Sheet'!F16/100</f>
        <v>0.12278808804488563</v>
      </c>
      <c r="G20" s="17">
        <f>'Data Sheet'!G16/100</f>
        <v>7.9637755578377364E-2</v>
      </c>
      <c r="H20" s="17">
        <f>'Data Sheet'!H16/100</f>
        <v>7.3586702450004329E-2</v>
      </c>
      <c r="I20" s="17">
        <f>'Data Sheet'!I16/100</f>
        <v>8.5874912157413913E-2</v>
      </c>
      <c r="J20" s="17">
        <f>'Data Sheet'!J16/100</f>
        <v>0.12661172404625815</v>
      </c>
      <c r="K20" s="17">
        <f>'Data Sheet'!K16/100</f>
        <v>0.10598922015755155</v>
      </c>
      <c r="L20" s="6"/>
      <c r="M20" s="6"/>
      <c r="N20" s="7"/>
    </row>
    <row r="21" spans="1:14">
      <c r="A21" s="10" t="s">
        <v>20</v>
      </c>
      <c r="B21" s="11">
        <f t="shared" ref="B21:L21" si="3">IF(B6&gt;0,B6/B4,0)</f>
        <v>7.5681669669907525E-2</v>
      </c>
      <c r="C21" s="11">
        <f t="shared" si="3"/>
        <v>0.11072384219554031</v>
      </c>
      <c r="D21" s="11">
        <f t="shared" si="3"/>
        <v>0.12951114502152705</v>
      </c>
      <c r="E21" s="11">
        <f t="shared" si="3"/>
        <v>0.15266629579591512</v>
      </c>
      <c r="F21" s="11">
        <f t="shared" si="3"/>
        <v>0.14501469336630643</v>
      </c>
      <c r="G21" s="11">
        <f t="shared" si="3"/>
        <v>0.1253443613403335</v>
      </c>
      <c r="H21" s="11">
        <f t="shared" si="3"/>
        <v>0.14713750668806849</v>
      </c>
      <c r="I21" s="11">
        <f t="shared" si="3"/>
        <v>0.13971863793790421</v>
      </c>
      <c r="J21" s="11">
        <f t="shared" si="3"/>
        <v>0.14179412980570483</v>
      </c>
      <c r="K21" s="11">
        <f t="shared" si="3"/>
        <v>0.14450204384321341</v>
      </c>
      <c r="L21" s="11">
        <f t="shared" si="3"/>
        <v>0.15662925390778087</v>
      </c>
      <c r="M21" s="12"/>
      <c r="N21" s="13"/>
    </row>
    <row r="23" spans="1:14" s="1" customFormat="1">
      <c r="G23" s="22" t="s">
        <v>21</v>
      </c>
      <c r="H23" s="22" t="s">
        <v>26</v>
      </c>
      <c r="I23" s="22" t="s">
        <v>25</v>
      </c>
      <c r="J23" s="22" t="s">
        <v>24</v>
      </c>
      <c r="K23" s="22" t="s">
        <v>23</v>
      </c>
      <c r="L23" s="22" t="s">
        <v>22</v>
      </c>
      <c r="M23" s="22" t="s">
        <v>27</v>
      </c>
      <c r="N23" s="22" t="s">
        <v>28</v>
      </c>
    </row>
    <row r="24" spans="1:14">
      <c r="G24" s="2" t="s">
        <v>29</v>
      </c>
      <c r="H24" s="34">
        <f>IF(B4=0,"",POWER($K4/B4,1/9)-1)</f>
        <v>0.20920768681491442</v>
      </c>
      <c r="I24" s="34">
        <f>IF(D4=0,"",POWER($K4/D4,1/7)-1)</f>
        <v>0.17228238188161993</v>
      </c>
      <c r="J24" s="34">
        <f>IF(F4=0,"",POWER($K4/F4,1/5)-1)</f>
        <v>0.17515636580118876</v>
      </c>
      <c r="K24" s="34">
        <f>IF(H4=0,"",POWER($K4/H4, 1/3)-1)</f>
        <v>0.21629865334506637</v>
      </c>
      <c r="L24" s="34">
        <f>IF(ISERROR(MAX(IF(J4=0,"",(K4-J4)/J4),IF(K4=0,"",(L4-K4)/K4))),"",MAX(IF(J4=0,"",(K4-J4)/J4),IF(K4=0,"",(L4-K4)/K4)))</f>
        <v>0.34175663593451061</v>
      </c>
      <c r="M24" s="37">
        <f>MAX(K24:L24)</f>
        <v>0.34175663593451061</v>
      </c>
      <c r="N24" s="37">
        <f>MIN(H24:L24)</f>
        <v>0.17228238188161993</v>
      </c>
    </row>
    <row r="25" spans="1:14">
      <c r="G25" s="2" t="s">
        <v>20</v>
      </c>
      <c r="H25" s="34">
        <f>IF(SUM(B4:$K$4)=0,"",SUMPRODUCT(B21:$K$21,B4:$K$4)/SUM(B4:$K$4))</f>
        <v>0.13710238740320832</v>
      </c>
      <c r="I25" s="34">
        <f>IF(SUM(E4:$K$4)=0,"",SUMPRODUCT(E21:$K$21,E4:$K$4)/SUM(E4:$K$4))</f>
        <v>0.14191552983581512</v>
      </c>
      <c r="J25" s="34">
        <f>IF(SUM(G4:$K$4)=0,"",SUMPRODUCT(G21:$K$21,G4:$K$4)/SUM(G4:$K$4))</f>
        <v>0.14039143469306403</v>
      </c>
      <c r="K25" s="34">
        <f>IF(SUM(I4:$K$4)=0, "", SUMPRODUCT(I21:$K$21,I4:$K$4)/SUM(I4:$K$4))</f>
        <v>0.14243579886206367</v>
      </c>
      <c r="L25" s="34">
        <f>L21</f>
        <v>0.15662925390778087</v>
      </c>
      <c r="M25" s="37">
        <f>MAX(K25:L25)</f>
        <v>0.15662925390778087</v>
      </c>
      <c r="N25" s="37">
        <f>MIN(H25:L25)</f>
        <v>0.13710238740320832</v>
      </c>
    </row>
    <row r="26" spans="1:14">
      <c r="G26" s="2" t="s">
        <v>30</v>
      </c>
      <c r="H26" s="35">
        <f>IF(ISERROR(AVERAGEIF(B16:$L16,"&gt;0")),"",AVERAGEIF(B16:$L16,"&gt;0"))</f>
        <v>6.382884824356875</v>
      </c>
      <c r="I26" s="35">
        <f>IF(ISERROR(AVERAGEIF(E16:$L16,"&gt;0")),"",AVERAGEIF(E16:$L16,"&gt;0"))</f>
        <v>5.9603731126170025</v>
      </c>
      <c r="J26" s="35">
        <f>IF(ISERROR(AVERAGEIF(G16:$L16,"&gt;0")),"",AVERAGEIF(G16:$L16,"&gt;0"))</f>
        <v>6.3204286191821746</v>
      </c>
      <c r="K26" s="35">
        <f>IF(ISERROR(AVERAGEIF(I16:$L16,"&gt;0")),"",AVERAGEIF(I16:$L16,"&gt;0"))</f>
        <v>7.1058973130494101</v>
      </c>
      <c r="L26" s="35">
        <f>L16</f>
        <v>14.143108911596112</v>
      </c>
      <c r="M26" s="25">
        <f>MAX(K26:L26)</f>
        <v>14.143108911596112</v>
      </c>
      <c r="N26" s="25">
        <f>MIN(H26:L26)</f>
        <v>5.9603731126170025</v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K16"/>
  <sheetViews>
    <sheetView workbookViewId="0">
      <selection activeCell="M17" sqref="M17"/>
    </sheetView>
  </sheetViews>
  <sheetFormatPr baseColWidth="10" defaultColWidth="8.83203125" defaultRowHeight="14" x14ac:dyDescent="0"/>
  <cols>
    <col min="1" max="1" width="20.6640625" style="2" customWidth="1"/>
    <col min="2" max="11" width="13.5" style="2" bestFit="1" customWidth="1"/>
    <col min="12" max="16384" width="8.83203125" style="2"/>
  </cols>
  <sheetData>
    <row r="1" spans="1:11" s="1" customFormat="1">
      <c r="A1" s="1" t="str">
        <f>'Profit &amp; Loss'!A1</f>
        <v>KRBL LTD</v>
      </c>
      <c r="G1" s="51" t="str">
        <f>IF(Customization!A30&lt;&gt;Customization!C25,"New updates in Data Sheet","")</f>
        <v/>
      </c>
      <c r="H1" s="52"/>
      <c r="J1" s="50" t="s">
        <v>1</v>
      </c>
      <c r="K1" s="50"/>
    </row>
    <row r="3" spans="1:11" s="1" customFormat="1">
      <c r="A3" s="3" t="s">
        <v>2</v>
      </c>
      <c r="B3" s="43">
        <f>'Data Sheet'!B21</f>
        <v>41274</v>
      </c>
      <c r="C3" s="43">
        <f>'Data Sheet'!C21</f>
        <v>41364</v>
      </c>
      <c r="D3" s="43">
        <f>'Data Sheet'!D21</f>
        <v>41455</v>
      </c>
      <c r="E3" s="43">
        <f>'Data Sheet'!E21</f>
        <v>41547</v>
      </c>
      <c r="F3" s="43">
        <f>'Data Sheet'!F21</f>
        <v>41639</v>
      </c>
      <c r="G3" s="43">
        <f>'Data Sheet'!G21</f>
        <v>41729</v>
      </c>
      <c r="H3" s="43">
        <f>'Data Sheet'!H21</f>
        <v>41820</v>
      </c>
      <c r="I3" s="43">
        <f>'Data Sheet'!I21</f>
        <v>41912</v>
      </c>
      <c r="J3" s="43">
        <f>'Data Sheet'!J21</f>
        <v>42004</v>
      </c>
      <c r="K3" s="43">
        <f>'Data Sheet'!K21</f>
        <v>42094</v>
      </c>
    </row>
    <row r="4" spans="1:11" s="1" customFormat="1">
      <c r="A4" s="8" t="s">
        <v>6</v>
      </c>
      <c r="B4" s="15">
        <f>'Data Sheet'!B23</f>
        <v>500.44</v>
      </c>
      <c r="C4" s="15">
        <f>'Data Sheet'!C23</f>
        <v>492.4</v>
      </c>
      <c r="D4" s="15">
        <f>'Data Sheet'!D23</f>
        <v>688.77</v>
      </c>
      <c r="E4" s="15">
        <f>'Data Sheet'!E23</f>
        <v>652.32000000000005</v>
      </c>
      <c r="F4" s="15">
        <f>'Data Sheet'!F23</f>
        <v>648.25</v>
      </c>
      <c r="G4" s="15">
        <f>'Data Sheet'!G23</f>
        <v>801.96</v>
      </c>
      <c r="H4" s="15">
        <f>'Data Sheet'!H23</f>
        <v>805.46</v>
      </c>
      <c r="I4" s="15">
        <f>'Data Sheet'!I23</f>
        <v>700.08</v>
      </c>
      <c r="J4" s="15">
        <f>'Data Sheet'!J23</f>
        <v>764.31</v>
      </c>
      <c r="K4" s="15">
        <f>'Data Sheet'!K23</f>
        <v>843.17</v>
      </c>
    </row>
    <row r="5" spans="1:11">
      <c r="A5" s="5" t="s">
        <v>7</v>
      </c>
      <c r="B5" s="23">
        <f>B4-B6</f>
        <v>430.53</v>
      </c>
      <c r="C5" s="23">
        <f t="shared" ref="C5:K5" si="0">C4-C6</f>
        <v>437.82</v>
      </c>
      <c r="D5" s="23">
        <f t="shared" si="0"/>
        <v>579.79999999999995</v>
      </c>
      <c r="E5" s="23">
        <f t="shared" si="0"/>
        <v>545.01</v>
      </c>
      <c r="F5" s="23">
        <f t="shared" si="0"/>
        <v>556.56999999999994</v>
      </c>
      <c r="G5" s="23">
        <f t="shared" si="0"/>
        <v>706.58</v>
      </c>
      <c r="H5" s="23">
        <f t="shared" si="0"/>
        <v>671.96</v>
      </c>
      <c r="I5" s="23">
        <f t="shared" si="0"/>
        <v>565.32000000000005</v>
      </c>
      <c r="J5" s="23">
        <f t="shared" si="0"/>
        <v>630.65</v>
      </c>
      <c r="K5" s="23">
        <f t="shared" si="0"/>
        <v>757.5</v>
      </c>
    </row>
    <row r="6" spans="1:11" s="1" customFormat="1">
      <c r="A6" s="8" t="s">
        <v>8</v>
      </c>
      <c r="B6" s="15">
        <f>'Data Sheet'!B25</f>
        <v>69.91</v>
      </c>
      <c r="C6" s="15">
        <f>'Data Sheet'!C25</f>
        <v>54.58</v>
      </c>
      <c r="D6" s="15">
        <f>'Data Sheet'!D25</f>
        <v>108.97</v>
      </c>
      <c r="E6" s="15">
        <f>'Data Sheet'!E25</f>
        <v>107.31</v>
      </c>
      <c r="F6" s="15">
        <f>'Data Sheet'!F25</f>
        <v>91.68</v>
      </c>
      <c r="G6" s="15">
        <f>'Data Sheet'!G25</f>
        <v>95.38</v>
      </c>
      <c r="H6" s="15">
        <f>'Data Sheet'!H25</f>
        <v>133.5</v>
      </c>
      <c r="I6" s="15">
        <f>'Data Sheet'!I25</f>
        <v>134.76</v>
      </c>
      <c r="J6" s="15">
        <f>'Data Sheet'!J25</f>
        <v>133.66</v>
      </c>
      <c r="K6" s="15">
        <f>'Data Sheet'!K25</f>
        <v>85.67</v>
      </c>
    </row>
    <row r="7" spans="1:11">
      <c r="A7" s="5" t="s">
        <v>9</v>
      </c>
      <c r="B7" s="23">
        <f>'Data Sheet'!B26</f>
        <v>0.42</v>
      </c>
      <c r="C7" s="23">
        <f>'Data Sheet'!C26</f>
        <v>3.59</v>
      </c>
      <c r="D7" s="23">
        <f>'Data Sheet'!D26</f>
        <v>0.31</v>
      </c>
      <c r="E7" s="23">
        <f>'Data Sheet'!E26</f>
        <v>25.93</v>
      </c>
      <c r="F7" s="23">
        <f>'Data Sheet'!F26</f>
        <v>2.77</v>
      </c>
      <c r="G7" s="23">
        <f>'Data Sheet'!G26</f>
        <v>32.89</v>
      </c>
      <c r="H7" s="23">
        <f>'Data Sheet'!H26</f>
        <v>2.29</v>
      </c>
      <c r="I7" s="23">
        <f>'Data Sheet'!I26</f>
        <v>-0.3</v>
      </c>
      <c r="J7" s="23">
        <f>'Data Sheet'!J26</f>
        <v>0.62</v>
      </c>
      <c r="K7" s="23">
        <f>'Data Sheet'!K26</f>
        <v>0.76</v>
      </c>
    </row>
    <row r="8" spans="1:11">
      <c r="A8" s="5" t="s">
        <v>10</v>
      </c>
      <c r="B8" s="23">
        <f>'Data Sheet'!B27</f>
        <v>70.33</v>
      </c>
      <c r="C8" s="23">
        <f>'Data Sheet'!C27</f>
        <v>58.17</v>
      </c>
      <c r="D8" s="23">
        <f>'Data Sheet'!D27</f>
        <v>109.28</v>
      </c>
      <c r="E8" s="23">
        <f>'Data Sheet'!E27</f>
        <v>133.24</v>
      </c>
      <c r="F8" s="23">
        <f>'Data Sheet'!F27</f>
        <v>94.45</v>
      </c>
      <c r="G8" s="23">
        <f>'Data Sheet'!G27</f>
        <v>128.27000000000001</v>
      </c>
      <c r="H8" s="23">
        <f>'Data Sheet'!H27</f>
        <v>135.79</v>
      </c>
      <c r="I8" s="23">
        <f>'Data Sheet'!I27</f>
        <v>134.46</v>
      </c>
      <c r="J8" s="23">
        <f>'Data Sheet'!J27</f>
        <v>134.28</v>
      </c>
      <c r="K8" s="23">
        <f>'Data Sheet'!K27</f>
        <v>86.43</v>
      </c>
    </row>
    <row r="9" spans="1:11">
      <c r="A9" s="5" t="s">
        <v>11</v>
      </c>
      <c r="B9" s="23">
        <f>'Data Sheet'!B28</f>
        <v>12.99</v>
      </c>
      <c r="C9" s="23">
        <f>'Data Sheet'!C28</f>
        <v>12.46</v>
      </c>
      <c r="D9" s="23">
        <f>'Data Sheet'!D28</f>
        <v>13.42</v>
      </c>
      <c r="E9" s="23">
        <f>'Data Sheet'!E28</f>
        <v>13.73</v>
      </c>
      <c r="F9" s="23">
        <f>'Data Sheet'!F28</f>
        <v>15.28</v>
      </c>
      <c r="G9" s="23">
        <f>'Data Sheet'!G28</f>
        <v>15.22</v>
      </c>
      <c r="H9" s="23">
        <f>'Data Sheet'!H28</f>
        <v>16.25</v>
      </c>
      <c r="I9" s="23">
        <f>'Data Sheet'!I28</f>
        <v>12.83</v>
      </c>
      <c r="J9" s="23">
        <f>'Data Sheet'!J28</f>
        <v>12.31</v>
      </c>
      <c r="K9" s="23">
        <f>'Data Sheet'!K28</f>
        <v>11.29</v>
      </c>
    </row>
    <row r="10" spans="1:11">
      <c r="A10" s="5" t="s">
        <v>12</v>
      </c>
      <c r="B10" s="23">
        <f>'Data Sheet'!B29</f>
        <v>57.34</v>
      </c>
      <c r="C10" s="23">
        <f>'Data Sheet'!C29</f>
        <v>45.71</v>
      </c>
      <c r="D10" s="23">
        <f>'Data Sheet'!D29</f>
        <v>95.86</v>
      </c>
      <c r="E10" s="23">
        <f>'Data Sheet'!E29</f>
        <v>119.51</v>
      </c>
      <c r="F10" s="23">
        <f>'Data Sheet'!F29</f>
        <v>79.17</v>
      </c>
      <c r="G10" s="23">
        <f>'Data Sheet'!G29</f>
        <v>113.05</v>
      </c>
      <c r="H10" s="23">
        <f>'Data Sheet'!H29</f>
        <v>119.54</v>
      </c>
      <c r="I10" s="23">
        <f>'Data Sheet'!I29</f>
        <v>121.63</v>
      </c>
      <c r="J10" s="23">
        <f>'Data Sheet'!J29</f>
        <v>121.97</v>
      </c>
      <c r="K10" s="23">
        <f>'Data Sheet'!K29</f>
        <v>75.14</v>
      </c>
    </row>
    <row r="11" spans="1:11">
      <c r="A11" s="5" t="s">
        <v>13</v>
      </c>
      <c r="B11" s="23">
        <f>'Data Sheet'!B30</f>
        <v>13.31</v>
      </c>
      <c r="C11" s="23">
        <f>'Data Sheet'!C30</f>
        <v>20.100000000000001</v>
      </c>
      <c r="D11" s="23">
        <f>'Data Sheet'!D30</f>
        <v>14.44</v>
      </c>
      <c r="E11" s="23">
        <f>'Data Sheet'!E30</f>
        <v>10.06</v>
      </c>
      <c r="F11" s="23">
        <f>'Data Sheet'!F30</f>
        <v>19.3</v>
      </c>
      <c r="G11" s="23">
        <f>'Data Sheet'!G30</f>
        <v>31.15</v>
      </c>
      <c r="H11" s="23">
        <f>'Data Sheet'!H30</f>
        <v>29.1</v>
      </c>
      <c r="I11" s="23">
        <f>'Data Sheet'!I30</f>
        <v>15.86</v>
      </c>
      <c r="J11" s="23">
        <f>'Data Sheet'!J30</f>
        <v>15.67</v>
      </c>
      <c r="K11" s="23">
        <f>'Data Sheet'!K30</f>
        <v>20.239999999999998</v>
      </c>
    </row>
    <row r="12" spans="1:11">
      <c r="A12" s="5" t="s">
        <v>14</v>
      </c>
      <c r="B12" s="23">
        <f>'Data Sheet'!B31</f>
        <v>44.03</v>
      </c>
      <c r="C12" s="23">
        <f>'Data Sheet'!C31</f>
        <v>25.61</v>
      </c>
      <c r="D12" s="23">
        <f>'Data Sheet'!D31</f>
        <v>81.42</v>
      </c>
      <c r="E12" s="23">
        <f>'Data Sheet'!E31</f>
        <v>109.45</v>
      </c>
      <c r="F12" s="23">
        <f>'Data Sheet'!F31</f>
        <v>59.87</v>
      </c>
      <c r="G12" s="23">
        <f>'Data Sheet'!G31</f>
        <v>81.900000000000006</v>
      </c>
      <c r="H12" s="23">
        <f>'Data Sheet'!H31</f>
        <v>90.44</v>
      </c>
      <c r="I12" s="23">
        <f>'Data Sheet'!I31</f>
        <v>105.77</v>
      </c>
      <c r="J12" s="23">
        <f>'Data Sheet'!J31</f>
        <v>106.3</v>
      </c>
      <c r="K12" s="23">
        <f>'Data Sheet'!K31</f>
        <v>54.9</v>
      </c>
    </row>
    <row r="13" spans="1:11">
      <c r="A13" s="5" t="s">
        <v>15</v>
      </c>
      <c r="B13" s="23">
        <f>'Data Sheet'!B32</f>
        <v>8.33</v>
      </c>
      <c r="C13" s="23">
        <f>'Data Sheet'!C32</f>
        <v>10.72</v>
      </c>
      <c r="D13" s="23">
        <f>'Data Sheet'!D32</f>
        <v>12.98</v>
      </c>
      <c r="E13" s="23">
        <f>'Data Sheet'!E32</f>
        <v>24.36</v>
      </c>
      <c r="F13" s="23">
        <f>'Data Sheet'!F32</f>
        <v>14.83</v>
      </c>
      <c r="G13" s="23">
        <f>'Data Sheet'!G32</f>
        <v>19.14</v>
      </c>
      <c r="H13" s="23">
        <f>'Data Sheet'!H32</f>
        <v>16.18</v>
      </c>
      <c r="I13" s="23">
        <f>'Data Sheet'!I32</f>
        <v>19.5</v>
      </c>
      <c r="J13" s="23">
        <f>'Data Sheet'!J32</f>
        <v>20.73</v>
      </c>
      <c r="K13" s="23">
        <f>'Data Sheet'!K32</f>
        <v>15.95</v>
      </c>
    </row>
    <row r="14" spans="1:11" s="1" customFormat="1">
      <c r="A14" s="8" t="s">
        <v>16</v>
      </c>
      <c r="B14" s="15">
        <f>'Data Sheet'!B33</f>
        <v>20.010000000000002</v>
      </c>
      <c r="C14" s="15">
        <f>'Data Sheet'!C33</f>
        <v>19.84</v>
      </c>
      <c r="D14" s="15">
        <f>'Data Sheet'!D33</f>
        <v>49.02</v>
      </c>
      <c r="E14" s="15">
        <f>'Data Sheet'!E33</f>
        <v>94.57</v>
      </c>
      <c r="F14" s="15">
        <f>'Data Sheet'!F33</f>
        <v>53.97</v>
      </c>
      <c r="G14" s="15">
        <f>'Data Sheet'!G33</f>
        <v>67.739999999999995</v>
      </c>
      <c r="H14" s="15">
        <f>'Data Sheet'!H33</f>
        <v>72.290000000000006</v>
      </c>
      <c r="I14" s="15">
        <f>'Data Sheet'!I33</f>
        <v>81.12</v>
      </c>
      <c r="J14" s="15">
        <f>'Data Sheet'!J33</f>
        <v>82.26</v>
      </c>
      <c r="K14" s="15">
        <f>'Data Sheet'!K33</f>
        <v>45.2</v>
      </c>
    </row>
    <row r="16" spans="1:11" s="1" customFormat="1">
      <c r="A16" s="41" t="s">
        <v>20</v>
      </c>
      <c r="B16" s="42">
        <f>IF(B4&gt;0,B6/B4,"")</f>
        <v>0.13969706658140835</v>
      </c>
      <c r="C16" s="42">
        <f t="shared" ref="C16:K16" si="1">IF(C4&gt;0,C6/C4,"")</f>
        <v>0.11084484159220147</v>
      </c>
      <c r="D16" s="42">
        <f t="shared" si="1"/>
        <v>0.15820956197279207</v>
      </c>
      <c r="E16" s="42">
        <f t="shared" si="1"/>
        <v>0.16450515084621045</v>
      </c>
      <c r="F16" s="42">
        <f t="shared" si="1"/>
        <v>0.14142691862707291</v>
      </c>
      <c r="G16" s="42">
        <f t="shared" si="1"/>
        <v>0.11893361264900991</v>
      </c>
      <c r="H16" s="42">
        <f t="shared" si="1"/>
        <v>0.16574379857472749</v>
      </c>
      <c r="I16" s="42">
        <f t="shared" si="1"/>
        <v>0.1924922865958176</v>
      </c>
      <c r="J16" s="42">
        <f t="shared" si="1"/>
        <v>0.17487668616137431</v>
      </c>
      <c r="K16" s="42">
        <f t="shared" si="1"/>
        <v>0.10160465860977028</v>
      </c>
    </row>
  </sheetData>
  <mergeCells count="1">
    <mergeCell ref="G1:H1"/>
  </mergeCells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K23"/>
  <sheetViews>
    <sheetView workbookViewId="0">
      <pane xSplit="1" ySplit="3" topLeftCell="B4" activePane="bottomRight" state="frozen"/>
      <selection activeCell="M17" sqref="M17"/>
      <selection pane="topRight" activeCell="M17" sqref="M17"/>
      <selection pane="bottomLeft" activeCell="M17" sqref="M17"/>
      <selection pane="bottomRight" activeCell="H26" sqref="H26"/>
    </sheetView>
  </sheetViews>
  <sheetFormatPr baseColWidth="10" defaultColWidth="8.83203125" defaultRowHeight="14" x14ac:dyDescent="0"/>
  <cols>
    <col min="1" max="1" width="22.83203125" bestFit="1" customWidth="1"/>
    <col min="2" max="2" width="13.5" hidden="1" customWidth="1"/>
    <col min="3" max="6" width="15.5" hidden="1" customWidth="1"/>
    <col min="7" max="11" width="15.5" customWidth="1"/>
  </cols>
  <sheetData>
    <row r="1" spans="1:11" s="1" customFormat="1">
      <c r="A1" s="1" t="str">
        <f>'Profit &amp; Loss'!A1</f>
        <v>KRBL LTD</v>
      </c>
      <c r="G1" s="51" t="str">
        <f>IF(Customization!A30&lt;&gt;Customization!C25,"New updates in Data Sheet","")</f>
        <v/>
      </c>
      <c r="H1" s="52"/>
      <c r="J1" s="50" t="s">
        <v>1</v>
      </c>
      <c r="K1" s="50"/>
    </row>
    <row r="3" spans="1:11">
      <c r="A3" s="3" t="s">
        <v>2</v>
      </c>
      <c r="B3" s="43">
        <f>'Data Sheet'!B37</f>
        <v>38442</v>
      </c>
      <c r="C3" s="43">
        <f>'Data Sheet'!C37</f>
        <v>38807</v>
      </c>
      <c r="D3" s="43">
        <f>'Data Sheet'!D37</f>
        <v>39172</v>
      </c>
      <c r="E3" s="43">
        <f>'Data Sheet'!E37</f>
        <v>39538</v>
      </c>
      <c r="F3" s="43">
        <f>'Data Sheet'!F37</f>
        <v>39903</v>
      </c>
      <c r="G3" s="43">
        <f>'Data Sheet'!G37</f>
        <v>40268</v>
      </c>
      <c r="H3" s="43">
        <f>'Data Sheet'!H37</f>
        <v>40633</v>
      </c>
      <c r="I3" s="43">
        <f>'Data Sheet'!I37</f>
        <v>40999</v>
      </c>
      <c r="J3" s="43">
        <f>'Data Sheet'!J37</f>
        <v>41364</v>
      </c>
      <c r="K3" s="43">
        <f>'Data Sheet'!K37</f>
        <v>41729</v>
      </c>
    </row>
    <row r="4" spans="1:11">
      <c r="A4" s="5" t="s">
        <v>31</v>
      </c>
      <c r="B4" s="19">
        <f>'Data Sheet'!B38</f>
        <v>17.920000000000002</v>
      </c>
      <c r="C4" s="19">
        <f>'Data Sheet'!C38</f>
        <v>21.35</v>
      </c>
      <c r="D4" s="19">
        <f>'Data Sheet'!D38</f>
        <v>24.35</v>
      </c>
      <c r="E4" s="19">
        <f>'Data Sheet'!E38</f>
        <v>24.35</v>
      </c>
      <c r="F4" s="19">
        <f>'Data Sheet'!F38</f>
        <v>24.35</v>
      </c>
      <c r="G4" s="19">
        <f>'Data Sheet'!G38</f>
        <v>24.35</v>
      </c>
      <c r="H4" s="19">
        <f>'Data Sheet'!H38</f>
        <v>24.35</v>
      </c>
      <c r="I4" s="19">
        <f>'Data Sheet'!I38</f>
        <v>24.35</v>
      </c>
      <c r="J4" s="19">
        <f>'Data Sheet'!J38</f>
        <v>24.24</v>
      </c>
      <c r="K4" s="19">
        <f>'Data Sheet'!K38</f>
        <v>23.58</v>
      </c>
    </row>
    <row r="5" spans="1:11" s="2" customFormat="1">
      <c r="A5" s="5" t="s">
        <v>32</v>
      </c>
      <c r="B5" s="19">
        <f>'Data Sheet'!B39</f>
        <v>145.15</v>
      </c>
      <c r="C5" s="19">
        <f>'Data Sheet'!C39</f>
        <v>219.28</v>
      </c>
      <c r="D5" s="19">
        <f>'Data Sheet'!D39</f>
        <v>287.25</v>
      </c>
      <c r="E5" s="19">
        <f>'Data Sheet'!E39</f>
        <v>336.31</v>
      </c>
      <c r="F5" s="19">
        <f>'Data Sheet'!F39</f>
        <v>376.96</v>
      </c>
      <c r="G5" s="19">
        <f>'Data Sheet'!G39</f>
        <v>475.54</v>
      </c>
      <c r="H5" s="19">
        <f>'Data Sheet'!H39</f>
        <v>582.54</v>
      </c>
      <c r="I5" s="19">
        <f>'Data Sheet'!I39</f>
        <v>645.21</v>
      </c>
      <c r="J5" s="19">
        <f>'Data Sheet'!J39</f>
        <v>773.8</v>
      </c>
      <c r="K5" s="19">
        <f>'Data Sheet'!K39</f>
        <v>996.38</v>
      </c>
    </row>
    <row r="6" spans="1:11">
      <c r="A6" s="5" t="s">
        <v>33</v>
      </c>
      <c r="B6" s="19">
        <f>'Data Sheet'!B40</f>
        <v>295.89</v>
      </c>
      <c r="C6" s="19">
        <f>'Data Sheet'!C40</f>
        <v>451.87</v>
      </c>
      <c r="D6" s="19">
        <f>'Data Sheet'!D40</f>
        <v>486.72</v>
      </c>
      <c r="E6" s="19">
        <f>'Data Sheet'!E40</f>
        <v>622.79999999999995</v>
      </c>
      <c r="F6" s="19">
        <f>'Data Sheet'!F40</f>
        <v>550.62</v>
      </c>
      <c r="G6" s="19">
        <f>'Data Sheet'!G40</f>
        <v>529.49</v>
      </c>
      <c r="H6" s="19">
        <f>'Data Sheet'!H40</f>
        <v>835.61</v>
      </c>
      <c r="I6" s="19">
        <f>'Data Sheet'!I40</f>
        <v>853.21</v>
      </c>
      <c r="J6" s="19">
        <f>'Data Sheet'!J40</f>
        <v>814.73</v>
      </c>
      <c r="K6" s="19">
        <f>'Data Sheet'!K40</f>
        <v>1315.55</v>
      </c>
    </row>
    <row r="7" spans="1:11" s="2" customFormat="1">
      <c r="A7" s="5" t="s">
        <v>34</v>
      </c>
      <c r="B7" s="19">
        <f>'Data Sheet'!B41</f>
        <v>0</v>
      </c>
      <c r="C7" s="19">
        <f>'Data Sheet'!C41</f>
        <v>0</v>
      </c>
      <c r="D7" s="19">
        <f>'Data Sheet'!D41</f>
        <v>0</v>
      </c>
      <c r="E7" s="19">
        <f>'Data Sheet'!E41</f>
        <v>149.9</v>
      </c>
      <c r="F7" s="19">
        <f>'Data Sheet'!F41</f>
        <v>50</v>
      </c>
      <c r="G7" s="19">
        <f>'Data Sheet'!G41</f>
        <v>75</v>
      </c>
      <c r="H7" s="19">
        <f>'Data Sheet'!H41</f>
        <v>65</v>
      </c>
      <c r="I7" s="19">
        <f>'Data Sheet'!I41</f>
        <v>22.28</v>
      </c>
      <c r="J7" s="19">
        <f>'Data Sheet'!J41</f>
        <v>20.99</v>
      </c>
      <c r="K7" s="19">
        <f>'Data Sheet'!K41</f>
        <v>0</v>
      </c>
    </row>
    <row r="8" spans="1:11" s="1" customFormat="1">
      <c r="A8" s="8" t="s">
        <v>35</v>
      </c>
      <c r="B8" s="31">
        <f>'Data Sheet'!B42</f>
        <v>474.22</v>
      </c>
      <c r="C8" s="31">
        <f>'Data Sheet'!C42</f>
        <v>718.24</v>
      </c>
      <c r="D8" s="31">
        <f>'Data Sheet'!D42</f>
        <v>798.32</v>
      </c>
      <c r="E8" s="31">
        <f>'Data Sheet'!E42</f>
        <v>1133.3599999999999</v>
      </c>
      <c r="F8" s="31">
        <f>'Data Sheet'!F42</f>
        <v>1001.93</v>
      </c>
      <c r="G8" s="31">
        <f>'Data Sheet'!G42</f>
        <v>1104.3800000000001</v>
      </c>
      <c r="H8" s="31">
        <f>'Data Sheet'!H42</f>
        <v>1507.5</v>
      </c>
      <c r="I8" s="31">
        <f>'Data Sheet'!I42</f>
        <v>1545.05</v>
      </c>
      <c r="J8" s="31">
        <f>'Data Sheet'!J42</f>
        <v>1633.76</v>
      </c>
      <c r="K8" s="31">
        <f>'Data Sheet'!K42</f>
        <v>2335.5100000000002</v>
      </c>
    </row>
    <row r="9" spans="1:11">
      <c r="A9" s="5" t="s">
        <v>36</v>
      </c>
      <c r="B9" s="19">
        <f>'Data Sheet'!B43</f>
        <v>88.66</v>
      </c>
      <c r="C9" s="19">
        <f>'Data Sheet'!C43</f>
        <v>116.81</v>
      </c>
      <c r="D9" s="19">
        <f>'Data Sheet'!D43</f>
        <v>213.33</v>
      </c>
      <c r="E9" s="19">
        <f>'Data Sheet'!E43</f>
        <v>227.52</v>
      </c>
      <c r="F9" s="19">
        <f>'Data Sheet'!F43</f>
        <v>215.52</v>
      </c>
      <c r="G9" s="19">
        <f>'Data Sheet'!G43</f>
        <v>316.27</v>
      </c>
      <c r="H9" s="19">
        <f>'Data Sheet'!H43</f>
        <v>380.49</v>
      </c>
      <c r="I9" s="19">
        <f>'Data Sheet'!I43</f>
        <v>413.65</v>
      </c>
      <c r="J9" s="19">
        <f>'Data Sheet'!J43</f>
        <v>437.87</v>
      </c>
      <c r="K9" s="19">
        <f>'Data Sheet'!K43</f>
        <v>557.85</v>
      </c>
    </row>
    <row r="10" spans="1:11">
      <c r="A10" s="5" t="s">
        <v>37</v>
      </c>
      <c r="B10" s="19">
        <f>'Data Sheet'!B44</f>
        <v>19.5</v>
      </c>
      <c r="C10" s="19">
        <f>'Data Sheet'!C44</f>
        <v>30.44</v>
      </c>
      <c r="D10" s="19">
        <f>'Data Sheet'!D44</f>
        <v>24.98</v>
      </c>
      <c r="E10" s="19">
        <f>'Data Sheet'!E44</f>
        <v>7.42</v>
      </c>
      <c r="F10" s="19">
        <f>'Data Sheet'!F44</f>
        <v>34.090000000000003</v>
      </c>
      <c r="G10" s="19">
        <f>'Data Sheet'!G44</f>
        <v>35.82</v>
      </c>
      <c r="H10" s="19">
        <f>'Data Sheet'!H44</f>
        <v>20.420000000000002</v>
      </c>
      <c r="I10" s="19">
        <f>'Data Sheet'!I44</f>
        <v>7.84</v>
      </c>
      <c r="J10" s="19">
        <f>'Data Sheet'!J44</f>
        <v>15.12</v>
      </c>
      <c r="K10" s="19">
        <f>'Data Sheet'!K44</f>
        <v>14.4</v>
      </c>
    </row>
    <row r="11" spans="1:11">
      <c r="A11" s="5" t="s">
        <v>38</v>
      </c>
      <c r="B11" s="19">
        <f>'Data Sheet'!B45</f>
        <v>0</v>
      </c>
      <c r="C11" s="19">
        <f>'Data Sheet'!C45</f>
        <v>0</v>
      </c>
      <c r="D11" s="19">
        <f>'Data Sheet'!D45</f>
        <v>11.27</v>
      </c>
      <c r="E11" s="19">
        <f>'Data Sheet'!E45</f>
        <v>2.52</v>
      </c>
      <c r="F11" s="19">
        <f>'Data Sheet'!F45</f>
        <v>2.37</v>
      </c>
      <c r="G11" s="19">
        <f>'Data Sheet'!G45</f>
        <v>2.52</v>
      </c>
      <c r="H11" s="19">
        <f>'Data Sheet'!H45</f>
        <v>12.99</v>
      </c>
      <c r="I11" s="19">
        <f>'Data Sheet'!I45</f>
        <v>11.13</v>
      </c>
      <c r="J11" s="19">
        <f>'Data Sheet'!J45</f>
        <v>10.54</v>
      </c>
      <c r="K11" s="19">
        <f>'Data Sheet'!K45</f>
        <v>10.58</v>
      </c>
    </row>
    <row r="12" spans="1:11">
      <c r="A12" s="5" t="s">
        <v>39</v>
      </c>
      <c r="B12" s="19">
        <f>'Data Sheet'!B46</f>
        <v>366.06</v>
      </c>
      <c r="C12" s="19">
        <f>'Data Sheet'!C46</f>
        <v>571</v>
      </c>
      <c r="D12" s="19">
        <f>'Data Sheet'!D46</f>
        <v>548.74</v>
      </c>
      <c r="E12" s="19">
        <f>'Data Sheet'!E46</f>
        <v>895.91</v>
      </c>
      <c r="F12" s="19">
        <f>'Data Sheet'!F46</f>
        <v>749.95</v>
      </c>
      <c r="G12" s="19">
        <f>'Data Sheet'!G46</f>
        <v>749.78</v>
      </c>
      <c r="H12" s="19">
        <f>'Data Sheet'!H46</f>
        <v>1093.5999999999999</v>
      </c>
      <c r="I12" s="19">
        <f>'Data Sheet'!I46</f>
        <v>1112.44</v>
      </c>
      <c r="J12" s="19">
        <f>'Data Sheet'!J46</f>
        <v>1170.22</v>
      </c>
      <c r="K12" s="19">
        <f>'Data Sheet'!K46</f>
        <v>1752.68</v>
      </c>
    </row>
    <row r="13" spans="1:11" s="1" customFormat="1">
      <c r="A13" s="8" t="s">
        <v>35</v>
      </c>
      <c r="B13" s="31">
        <f>'Data Sheet'!B47</f>
        <v>474.22</v>
      </c>
      <c r="C13" s="31">
        <f>'Data Sheet'!C47</f>
        <v>718.24</v>
      </c>
      <c r="D13" s="31">
        <f>'Data Sheet'!D47</f>
        <v>798.32</v>
      </c>
      <c r="E13" s="31">
        <f>'Data Sheet'!E47</f>
        <v>1133.3599999999999</v>
      </c>
      <c r="F13" s="31">
        <f>'Data Sheet'!F47</f>
        <v>1001.93</v>
      </c>
      <c r="G13" s="31">
        <f>'Data Sheet'!G47</f>
        <v>1104.3800000000001</v>
      </c>
      <c r="H13" s="31">
        <f>'Data Sheet'!H47</f>
        <v>1507.5</v>
      </c>
      <c r="I13" s="31">
        <f>'Data Sheet'!I47</f>
        <v>1545.05</v>
      </c>
      <c r="J13" s="31">
        <f>'Data Sheet'!J47</f>
        <v>1633.76</v>
      </c>
      <c r="K13" s="31">
        <f>'Data Sheet'!K47</f>
        <v>2335.5100000000002</v>
      </c>
    </row>
    <row r="14" spans="1:11">
      <c r="A14" s="5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>
      <c r="A15" s="5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>
      <c r="A16" s="14" t="s">
        <v>57</v>
      </c>
      <c r="B16" s="20">
        <f>'Data Sheet'!B66</f>
        <v>0</v>
      </c>
      <c r="C16" s="20">
        <f>'Data Sheet'!C66</f>
        <v>0</v>
      </c>
      <c r="D16" s="20">
        <f>'Data Sheet'!D66</f>
        <v>0</v>
      </c>
      <c r="E16" s="20">
        <f>'Data Sheet'!E66</f>
        <v>0</v>
      </c>
      <c r="F16" s="20">
        <f>'Data Sheet'!F66</f>
        <v>0</v>
      </c>
      <c r="G16" s="20">
        <f>'Data Sheet'!G66</f>
        <v>135.08000000000001</v>
      </c>
      <c r="H16" s="20">
        <f>'Data Sheet'!H66</f>
        <v>148</v>
      </c>
      <c r="I16" s="20">
        <f>'Data Sheet'!I66</f>
        <v>229.17</v>
      </c>
      <c r="J16" s="20">
        <f>'Data Sheet'!J66</f>
        <v>195.01</v>
      </c>
      <c r="K16" s="20">
        <f>'Data Sheet'!K66</f>
        <v>279.25</v>
      </c>
    </row>
    <row r="17" spans="1:11">
      <c r="A17" s="14" t="s">
        <v>58</v>
      </c>
      <c r="B17" s="20">
        <f>'Data Sheet'!B67</f>
        <v>0</v>
      </c>
      <c r="C17" s="20">
        <f>'Data Sheet'!C67</f>
        <v>0</v>
      </c>
      <c r="D17" s="20">
        <f>'Data Sheet'!D67</f>
        <v>0</v>
      </c>
      <c r="E17" s="20">
        <f>'Data Sheet'!E67</f>
        <v>0</v>
      </c>
      <c r="F17" s="20">
        <f>'Data Sheet'!F67</f>
        <v>0</v>
      </c>
      <c r="G17" s="20">
        <f>'Data Sheet'!G67</f>
        <v>781.27</v>
      </c>
      <c r="H17" s="20">
        <f>'Data Sheet'!H67</f>
        <v>1208.5</v>
      </c>
      <c r="I17" s="20">
        <f>'Data Sheet'!I67</f>
        <v>1237.72</v>
      </c>
      <c r="J17" s="20">
        <f>'Data Sheet'!J67</f>
        <v>1260.29</v>
      </c>
      <c r="K17" s="20">
        <f>'Data Sheet'!K67</f>
        <v>1689.9</v>
      </c>
    </row>
    <row r="19" spans="1:11">
      <c r="A19" t="s">
        <v>59</v>
      </c>
      <c r="B19" s="21">
        <f>IF('Profit &amp; Loss'!B4&gt;0,'Balance Sheet'!B16/('Profit &amp; Loss'!B4/365),0)</f>
        <v>0</v>
      </c>
      <c r="C19" s="21">
        <f>IF('Profit &amp; Loss'!C4&gt;0,'Balance Sheet'!C16/('Profit &amp; Loss'!C4/365),0)</f>
        <v>0</v>
      </c>
      <c r="D19" s="21">
        <f>IF('Profit &amp; Loss'!D4&gt;0,'Balance Sheet'!D16/('Profit &amp; Loss'!D4/365),0)</f>
        <v>0</v>
      </c>
      <c r="E19" s="21">
        <f>IF('Profit &amp; Loss'!E4&gt;0,'Balance Sheet'!E16/('Profit &amp; Loss'!E4/365),0)</f>
        <v>0</v>
      </c>
      <c r="F19" s="21">
        <f>IF('Profit &amp; Loss'!F4&gt;0,'Balance Sheet'!F16/('Profit &amp; Loss'!F4/365),0)</f>
        <v>0</v>
      </c>
      <c r="G19" s="21">
        <f>IF('Profit &amp; Loss'!G4&gt;0,'Balance Sheet'!G16/('Profit &amp; Loss'!G4/365),0)</f>
        <v>31.224754751394862</v>
      </c>
      <c r="H19" s="21">
        <f>IF('Profit &amp; Loss'!H4&gt;0,'Balance Sheet'!H16/('Profit &amp; Loss'!H4/365),0)</f>
        <v>34.823080443765434</v>
      </c>
      <c r="I19" s="21">
        <f>IF('Profit &amp; Loss'!I4&gt;0,'Balance Sheet'!I16/('Profit &amp; Loss'!I4/365),0)</f>
        <v>51.274741778281786</v>
      </c>
      <c r="J19" s="21">
        <f>IF('Profit &amp; Loss'!J4&gt;0,'Balance Sheet'!J16/('Profit &amp; Loss'!J4/365),0)</f>
        <v>34.214911985540823</v>
      </c>
      <c r="K19" s="21">
        <f>IF('Profit &amp; Loss'!K4&gt;0,'Balance Sheet'!K16/('Profit &amp; Loss'!K4/365),0)</f>
        <v>36.515560794035778</v>
      </c>
    </row>
    <row r="20" spans="1:11">
      <c r="A20" t="s">
        <v>60</v>
      </c>
      <c r="B20" s="21">
        <f>IF('Balance Sheet'!B17&gt;0,'Profit &amp; Loss'!B4/'Balance Sheet'!B17,0)</f>
        <v>0</v>
      </c>
      <c r="C20" s="21">
        <f>IF('Balance Sheet'!C17&gt;0,'Profit &amp; Loss'!C4/'Balance Sheet'!C17,0)</f>
        <v>0</v>
      </c>
      <c r="D20" s="21">
        <f>IF('Balance Sheet'!D17&gt;0,'Profit &amp; Loss'!D4/'Balance Sheet'!D17,0)</f>
        <v>0</v>
      </c>
      <c r="E20" s="21">
        <f>IF('Balance Sheet'!E17&gt;0,'Profit &amp; Loss'!E4/'Balance Sheet'!E17,0)</f>
        <v>0</v>
      </c>
      <c r="F20" s="21">
        <f>IF('Balance Sheet'!F17&gt;0,'Profit &amp; Loss'!F4/'Balance Sheet'!F17,0)</f>
        <v>0</v>
      </c>
      <c r="G20" s="21">
        <f>IF('Balance Sheet'!G17&gt;0,'Profit &amp; Loss'!G4/'Balance Sheet'!G17,0)</f>
        <v>2.0210810603248559</v>
      </c>
      <c r="H20" s="21">
        <f>IF('Balance Sheet'!H17&gt;0,'Profit &amp; Loss'!H4/'Balance Sheet'!H17,0)</f>
        <v>1.2836326023996689</v>
      </c>
      <c r="I20" s="21">
        <f>IF('Balance Sheet'!I17&gt;0,'Profit &amp; Loss'!I4/'Balance Sheet'!I17,0)</f>
        <v>1.318028310118605</v>
      </c>
      <c r="J20" s="21">
        <f>IF('Balance Sheet'!J17&gt;0,'Profit &amp; Loss'!J4/'Balance Sheet'!J17,0)</f>
        <v>1.6506835728284761</v>
      </c>
      <c r="K20" s="21">
        <f>IF('Balance Sheet'!K17&gt;0,'Profit &amp; Loss'!K4/'Balance Sheet'!K17,0)</f>
        <v>1.6517604591987691</v>
      </c>
    </row>
    <row r="22" spans="1:11" s="1" customFormat="1">
      <c r="A22" s="1" t="s">
        <v>66</v>
      </c>
      <c r="B22" s="42">
        <f>IF(SUM('Balance Sheet'!B4:B5),'Profit &amp; Loss'!B14/SUM('Balance Sheet'!B4:B5),"")</f>
        <v>9.9834426933218881E-2</v>
      </c>
      <c r="C22" s="42">
        <f>IF(SUM('Balance Sheet'!C4:C5),'Profit &amp; Loss'!C14/SUM('Balance Sheet'!C4:C5),"")</f>
        <v>0.13310892241200184</v>
      </c>
      <c r="D22" s="42">
        <f>IF(SUM('Balance Sheet'!D4:D5),'Profit &amp; Loss'!D14/SUM('Balance Sheet'!D4:D5),"")</f>
        <v>0.15888960205391525</v>
      </c>
      <c r="E22" s="42">
        <f>IF(SUM('Balance Sheet'!E4:E5),'Profit &amp; Loss'!E14/SUM('Balance Sheet'!E4:E5),"")</f>
        <v>0.15180502412244218</v>
      </c>
      <c r="F22" s="42">
        <f>IF(SUM('Balance Sheet'!F4:F5),'Profit &amp; Loss'!F14/SUM('Balance Sheet'!F4:F5),"")</f>
        <v>0.11547182975754405</v>
      </c>
      <c r="G22" s="42">
        <f>IF(SUM('Balance Sheet'!G4:G5),'Profit &amp; Loss'!G14/SUM('Balance Sheet'!G4:G5),"")</f>
        <v>0.2142671387705295</v>
      </c>
      <c r="H22" s="42">
        <f>IF(SUM('Balance Sheet'!H4:H5),'Profit &amp; Loss'!H14/SUM('Balance Sheet'!H4:H5),"")</f>
        <v>0.19033103198273166</v>
      </c>
      <c r="I22" s="42">
        <f>IF(SUM('Balance Sheet'!I4:I5),'Profit &amp; Loss'!I14/SUM('Balance Sheet'!I4:I5),"")</f>
        <v>0.10626381504271462</v>
      </c>
      <c r="J22" s="42">
        <f>IF(SUM('Balance Sheet'!J4:J5),'Profit &amp; Loss'!J14/SUM('Balance Sheet'!J4:J5),"")</f>
        <v>0.18853691544283496</v>
      </c>
      <c r="K22" s="42">
        <f>IF(SUM('Balance Sheet'!K4:K5),'Profit &amp; Loss'!K14/SUM('Balance Sheet'!K4:K5),"")</f>
        <v>0.26011804384485665</v>
      </c>
    </row>
    <row r="23" spans="1:11" s="1" customFormat="1">
      <c r="A23" s="1" t="s">
        <v>67</v>
      </c>
      <c r="B23" s="42">
        <f>IF(('Balance Sheet'!B9+'Balance Sheet'!B12)&gt;0,('Profit &amp; Loss'!B10-'Profit &amp; Loss'!B13)/('Balance Sheet'!B9+'Balance Sheet'!B12),"")</f>
        <v>5.1262315270935957E-2</v>
      </c>
      <c r="C23" s="42">
        <f>IF(('Balance Sheet'!C9+'Balance Sheet'!C12)&gt;0,('Profit &amp; Loss'!C10-'Profit &amp; Loss'!C13)/('Balance Sheet'!C9+'Balance Sheet'!C12),"")</f>
        <v>8.0400110495631075E-2</v>
      </c>
      <c r="D23" s="42">
        <f>IF(('Balance Sheet'!D9+'Balance Sheet'!D12)&gt;0,('Profit &amp; Loss'!D10-'Profit &amp; Loss'!D13)/('Balance Sheet'!D9+'Balance Sheet'!D12),"")</f>
        <v>0.12724552862597924</v>
      </c>
      <c r="E23" s="42">
        <f>IF(('Balance Sheet'!E9+'Balance Sheet'!E12)&gt;0,('Profit &amp; Loss'!E10-'Profit &amp; Loss'!E13)/('Balance Sheet'!E9+'Balance Sheet'!E12),"")</f>
        <v>0.10719849033762673</v>
      </c>
      <c r="F23" s="42">
        <f>IF(('Balance Sheet'!F9+'Balance Sheet'!F12)&gt;0,('Profit &amp; Loss'!F10-'Profit &amp; Loss'!F13)/('Balance Sheet'!F9+'Balance Sheet'!F12),"")</f>
        <v>0.14200337659378334</v>
      </c>
      <c r="G23" s="42">
        <f>IF(('Balance Sheet'!G9+'Balance Sheet'!G12)&gt;0,('Profit &amp; Loss'!G10-'Profit &amp; Loss'!G13)/('Balance Sheet'!G9+'Balance Sheet'!G12),"")</f>
        <v>0.13960883635851976</v>
      </c>
      <c r="H23" s="42">
        <f>IF(('Balance Sheet'!H9+'Balance Sheet'!H12)&gt;0,('Profit &amp; Loss'!H10-'Profit &amp; Loss'!H13)/('Balance Sheet'!H9+'Balance Sheet'!H12),"")</f>
        <v>0.11348018099301942</v>
      </c>
      <c r="I23" s="42">
        <f>IF(('Balance Sheet'!I9+'Balance Sheet'!I12)&gt;0,('Profit &amp; Loss'!I10-'Profit &amp; Loss'!I13)/('Balance Sheet'!I9+'Balance Sheet'!I12),"")</f>
        <v>0.10929892732407656</v>
      </c>
      <c r="J23" s="42">
        <f>IF(('Balance Sheet'!J9+'Balance Sheet'!J12)&gt;0,('Profit &amp; Loss'!J10-'Profit &amp; Loss'!J13)/('Balance Sheet'!J9+'Balance Sheet'!J12),"")</f>
        <v>0.13669011062813646</v>
      </c>
      <c r="K23" s="42">
        <f>IF(('Balance Sheet'!K9+'Balance Sheet'!K12)&gt;0,('Profit &amp; Loss'!K10-'Profit &amp; Loss'!K13)/('Balance Sheet'!K9+'Balance Sheet'!K12),"")</f>
        <v>0.14555534877279239</v>
      </c>
    </row>
  </sheetData>
  <mergeCells count="1">
    <mergeCell ref="G1:H1"/>
  </mergeCells>
  <hyperlinks>
    <hyperlink ref="J1" r:id="rId1"/>
  </hyperlinks>
  <printOptions gridLines="1"/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K8"/>
  <sheetViews>
    <sheetView workbookViewId="0">
      <selection activeCell="M17" sqref="M17"/>
    </sheetView>
  </sheetViews>
  <sheetFormatPr baseColWidth="10" defaultColWidth="8.83203125" defaultRowHeight="14" x14ac:dyDescent="0"/>
  <cols>
    <col min="1" max="1" width="26.83203125" style="2" bestFit="1" customWidth="1"/>
    <col min="2" max="6" width="13.5" style="2" hidden="1" customWidth="1"/>
    <col min="7" max="11" width="13.5" style="2" bestFit="1" customWidth="1"/>
    <col min="12" max="16384" width="8.83203125" style="2"/>
  </cols>
  <sheetData>
    <row r="1" spans="1:11" s="1" customFormat="1">
      <c r="A1" s="1" t="str">
        <f>'Balance Sheet'!A1</f>
        <v>KRBL LTD</v>
      </c>
      <c r="G1" s="51" t="str">
        <f>IF(Customization!A30&lt;&gt;Customization!C25,"New updates in Data Sheet","")</f>
        <v/>
      </c>
      <c r="H1" s="52"/>
      <c r="J1" s="50" t="s">
        <v>1</v>
      </c>
      <c r="K1" s="50"/>
    </row>
    <row r="3" spans="1:11" s="1" customFormat="1">
      <c r="A3" s="3" t="s">
        <v>2</v>
      </c>
      <c r="B3" s="43">
        <f>'Data Sheet'!B52</f>
        <v>38442</v>
      </c>
      <c r="C3" s="43">
        <f>'Data Sheet'!C52</f>
        <v>38807</v>
      </c>
      <c r="D3" s="43">
        <f>'Data Sheet'!D52</f>
        <v>39172</v>
      </c>
      <c r="E3" s="43">
        <f>'Data Sheet'!E52</f>
        <v>39538</v>
      </c>
      <c r="F3" s="43">
        <f>'Data Sheet'!F52</f>
        <v>39903</v>
      </c>
      <c r="G3" s="43">
        <f>'Data Sheet'!G52</f>
        <v>40268</v>
      </c>
      <c r="H3" s="43">
        <f>'Data Sheet'!H52</f>
        <v>40633</v>
      </c>
      <c r="I3" s="43">
        <f>'Data Sheet'!I52</f>
        <v>40999</v>
      </c>
      <c r="J3" s="43">
        <f>'Data Sheet'!J52</f>
        <v>41364</v>
      </c>
      <c r="K3" s="43">
        <f>'Data Sheet'!K52</f>
        <v>41729</v>
      </c>
    </row>
    <row r="4" spans="1:11" s="1" customFormat="1">
      <c r="A4" s="8" t="s">
        <v>41</v>
      </c>
      <c r="B4" s="15">
        <f>'Data Sheet'!B53</f>
        <v>-95.08</v>
      </c>
      <c r="C4" s="15">
        <f>'Data Sheet'!C53</f>
        <v>-139.91</v>
      </c>
      <c r="D4" s="15">
        <f>'Data Sheet'!D53</f>
        <v>163.72</v>
      </c>
      <c r="E4" s="15">
        <f>'Data Sheet'!E53</f>
        <v>-213.93</v>
      </c>
      <c r="F4" s="15">
        <f>'Data Sheet'!F53</f>
        <v>282.05</v>
      </c>
      <c r="G4" s="15">
        <f>'Data Sheet'!G53</f>
        <v>171.36</v>
      </c>
      <c r="H4" s="15">
        <f>'Data Sheet'!H53</f>
        <v>-151.43</v>
      </c>
      <c r="I4" s="15">
        <f>'Data Sheet'!I53</f>
        <v>141.63999999999999</v>
      </c>
      <c r="J4" s="15">
        <f>'Data Sheet'!J53</f>
        <v>169.97</v>
      </c>
      <c r="K4" s="15">
        <f>'Data Sheet'!K53</f>
        <v>-207.56</v>
      </c>
    </row>
    <row r="5" spans="1:11">
      <c r="A5" s="5" t="s">
        <v>42</v>
      </c>
      <c r="B5" s="23">
        <f>'Data Sheet'!B54</f>
        <v>-34.67</v>
      </c>
      <c r="C5" s="23">
        <f>'Data Sheet'!C54</f>
        <v>-51</v>
      </c>
      <c r="D5" s="23">
        <f>'Data Sheet'!D54</f>
        <v>-120.09</v>
      </c>
      <c r="E5" s="23">
        <f>'Data Sheet'!E54</f>
        <v>-12.18</v>
      </c>
      <c r="F5" s="23">
        <f>'Data Sheet'!F54</f>
        <v>-38.380000000000003</v>
      </c>
      <c r="G5" s="23">
        <f>'Data Sheet'!G54</f>
        <v>-130.19</v>
      </c>
      <c r="H5" s="23">
        <f>'Data Sheet'!H54</f>
        <v>-95.62</v>
      </c>
      <c r="I5" s="23">
        <f>'Data Sheet'!I54</f>
        <v>-61.72</v>
      </c>
      <c r="J5" s="23">
        <f>'Data Sheet'!J54</f>
        <v>-57.71</v>
      </c>
      <c r="K5" s="23">
        <f>'Data Sheet'!K54</f>
        <v>-125.48</v>
      </c>
    </row>
    <row r="6" spans="1:11">
      <c r="A6" s="5" t="s">
        <v>43</v>
      </c>
      <c r="B6" s="23">
        <f>'Data Sheet'!B55</f>
        <v>132.41999999999999</v>
      </c>
      <c r="C6" s="23">
        <f>'Data Sheet'!C55</f>
        <v>186.04</v>
      </c>
      <c r="D6" s="23">
        <f>'Data Sheet'!D55</f>
        <v>-12.56</v>
      </c>
      <c r="E6" s="23">
        <f>'Data Sheet'!E55</f>
        <v>218.9</v>
      </c>
      <c r="F6" s="23">
        <f>'Data Sheet'!F55</f>
        <v>-261.16000000000003</v>
      </c>
      <c r="G6" s="23">
        <f>'Data Sheet'!G55</f>
        <v>-46.17</v>
      </c>
      <c r="H6" s="23">
        <f>'Data Sheet'!H55</f>
        <v>245.64</v>
      </c>
      <c r="I6" s="23">
        <f>'Data Sheet'!I55</f>
        <v>-68.11</v>
      </c>
      <c r="J6" s="23">
        <f>'Data Sheet'!J55</f>
        <v>-115.59</v>
      </c>
      <c r="K6" s="23">
        <f>'Data Sheet'!K55</f>
        <v>384.05</v>
      </c>
    </row>
    <row r="7" spans="1:11" s="1" customFormat="1">
      <c r="A7" s="8" t="s">
        <v>44</v>
      </c>
      <c r="B7" s="15">
        <f>'Data Sheet'!B56</f>
        <v>2.66</v>
      </c>
      <c r="C7" s="15">
        <f>'Data Sheet'!C56</f>
        <v>-4.87</v>
      </c>
      <c r="D7" s="15">
        <f>'Data Sheet'!D56</f>
        <v>31.07</v>
      </c>
      <c r="E7" s="15">
        <f>'Data Sheet'!E56</f>
        <v>-7.21</v>
      </c>
      <c r="F7" s="15">
        <f>'Data Sheet'!F56</f>
        <v>-17.48</v>
      </c>
      <c r="G7" s="15">
        <f>'Data Sheet'!G56</f>
        <v>-4.99</v>
      </c>
      <c r="H7" s="15">
        <f>'Data Sheet'!H56</f>
        <v>-1.41</v>
      </c>
      <c r="I7" s="15">
        <f>'Data Sheet'!I56</f>
        <v>11.8</v>
      </c>
      <c r="J7" s="15">
        <f>'Data Sheet'!J56</f>
        <v>-3.33</v>
      </c>
      <c r="K7" s="15">
        <f>'Data Sheet'!K56</f>
        <v>51.01</v>
      </c>
    </row>
    <row r="8" spans="1:11">
      <c r="A8" s="38" t="s">
        <v>45</v>
      </c>
      <c r="B8" s="23">
        <f>'Data Sheet'!B57</f>
        <v>9.6</v>
      </c>
      <c r="C8" s="23">
        <f>'Data Sheet'!C57</f>
        <v>4.7300000000000004</v>
      </c>
      <c r="D8" s="23">
        <f>'Data Sheet'!D57</f>
        <v>35.799999999999997</v>
      </c>
      <c r="E8" s="23">
        <f>'Data Sheet'!E57</f>
        <v>28.59</v>
      </c>
      <c r="F8" s="23">
        <f>'Data Sheet'!F57</f>
        <v>11.11</v>
      </c>
      <c r="G8" s="23">
        <f>'Data Sheet'!G57</f>
        <v>6.12</v>
      </c>
      <c r="H8" s="23">
        <f>'Data Sheet'!H57</f>
        <v>4.71</v>
      </c>
      <c r="I8" s="23">
        <f>'Data Sheet'!I57</f>
        <v>16.78</v>
      </c>
      <c r="J8" s="23">
        <f>'Data Sheet'!J57</f>
        <v>12.81</v>
      </c>
      <c r="K8" s="23">
        <f>'Data Sheet'!K57</f>
        <v>63.82</v>
      </c>
    </row>
  </sheetData>
  <mergeCells count="1">
    <mergeCell ref="G1:H1"/>
  </mergeCells>
  <hyperlinks>
    <hyperlink ref="J1" r:id="rId1"/>
  </hyperlinks>
  <printOptions gridLines="1"/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J30"/>
  <sheetViews>
    <sheetView tabSelected="1" workbookViewId="0">
      <selection activeCell="I14" sqref="I14"/>
    </sheetView>
  </sheetViews>
  <sheetFormatPr baseColWidth="10" defaultColWidth="8.83203125" defaultRowHeight="14" x14ac:dyDescent="0"/>
  <cols>
    <col min="1" max="1" width="23.1640625" style="1" bestFit="1" customWidth="1"/>
    <col min="2" max="2" width="5.1640625" bestFit="1" customWidth="1"/>
    <col min="3" max="3" width="8.1640625" style="46" bestFit="1" customWidth="1"/>
    <col min="4" max="5" width="8.1640625" bestFit="1" customWidth="1"/>
    <col min="6" max="6" width="7.1640625" bestFit="1" customWidth="1"/>
  </cols>
  <sheetData>
    <row r="1" spans="1:10" ht="20">
      <c r="A1" s="54"/>
      <c r="B1" s="55">
        <v>2015</v>
      </c>
      <c r="C1" s="55">
        <v>2014</v>
      </c>
      <c r="D1" s="55">
        <v>2013</v>
      </c>
      <c r="E1" s="55">
        <v>2012</v>
      </c>
      <c r="F1" s="55">
        <v>2011</v>
      </c>
      <c r="G1" s="55">
        <v>2010</v>
      </c>
    </row>
    <row r="2" spans="1:10">
      <c r="A2" s="56" t="s">
        <v>70</v>
      </c>
      <c r="B2" s="55"/>
      <c r="C2" s="55">
        <f>'Data Sheet'!K43+'Data Sheet'!K44+'Data Sheet'!K46</f>
        <v>2324.9300000000003</v>
      </c>
      <c r="D2" s="55">
        <f>'Data Sheet'!J43+'Data Sheet'!J44+'Data Sheet'!J46</f>
        <v>1623.21</v>
      </c>
      <c r="E2" s="55">
        <f>'Data Sheet'!I43+'Data Sheet'!I44+'Data Sheet'!I46</f>
        <v>1533.93</v>
      </c>
      <c r="F2" s="55">
        <f>'Data Sheet'!H43+'Data Sheet'!H44+'Data Sheet'!H46</f>
        <v>1494.51</v>
      </c>
      <c r="G2">
        <f>'Data Sheet'!G43+'Data Sheet'!G44+'Data Sheet'!G46</f>
        <v>1101.8699999999999</v>
      </c>
      <c r="I2">
        <f>(C2+D2)/2</f>
        <v>1974.0700000000002</v>
      </c>
      <c r="J2">
        <f>SUM(C2:F2)/4</f>
        <v>1744.1450000000002</v>
      </c>
    </row>
    <row r="3" spans="1:10">
      <c r="A3" s="56" t="s">
        <v>71</v>
      </c>
      <c r="B3" s="55"/>
      <c r="C3" s="55">
        <f>'Data Sheet'!K15</f>
        <v>265.31</v>
      </c>
      <c r="D3" s="55">
        <f>'Data Sheet'!J15</f>
        <v>150.46</v>
      </c>
      <c r="E3" s="55">
        <f>'Data Sheet'!I15</f>
        <v>71.150000000000006</v>
      </c>
      <c r="F3" s="55">
        <f>'Data Sheet'!H15</f>
        <v>115.51</v>
      </c>
      <c r="G3">
        <f>'Data Sheet'!G33</f>
        <v>67.739999999999995</v>
      </c>
    </row>
    <row r="4" spans="1:10">
      <c r="A4" s="56" t="s">
        <v>69</v>
      </c>
      <c r="B4" s="55"/>
      <c r="C4" s="55">
        <f>'Data Sheet'!K72</f>
        <v>28.12</v>
      </c>
      <c r="D4" s="55">
        <f>'Data Sheet'!J72</f>
        <v>19.05</v>
      </c>
      <c r="E4" s="55">
        <f>'Data Sheet'!I72</f>
        <v>6.11</v>
      </c>
      <c r="F4" s="55">
        <f>'Data Sheet'!H72</f>
        <v>8.5</v>
      </c>
      <c r="G4">
        <f>'Data Sheet'!G72</f>
        <v>8.5299999999999994</v>
      </c>
    </row>
    <row r="5" spans="1:10">
      <c r="A5" s="56" t="s">
        <v>72</v>
      </c>
      <c r="B5" s="55"/>
      <c r="C5" s="57">
        <f>(C3-C4)/C2</f>
        <v>0.10202027587927377</v>
      </c>
      <c r="D5" s="57">
        <f>(D3-D4)/D2</f>
        <v>8.095686941307656E-2</v>
      </c>
      <c r="E5" s="57">
        <f>(E3-E4)/E2</f>
        <v>4.2400891826876064E-2</v>
      </c>
      <c r="F5" s="57">
        <f>(F3-F4)/F2</f>
        <v>7.1602063552602527E-2</v>
      </c>
      <c r="G5" s="57">
        <f>(G3-G4)/G2</f>
        <v>5.3735921660449965E-2</v>
      </c>
    </row>
    <row r="6" spans="1:10">
      <c r="A6" s="56" t="s">
        <v>74</v>
      </c>
      <c r="B6" s="55"/>
      <c r="C6" s="55">
        <f>C3-C4-D3+D4</f>
        <v>105.77999999999999</v>
      </c>
      <c r="D6" s="55">
        <f>D3-D4-E3+E4</f>
        <v>66.36999999999999</v>
      </c>
      <c r="E6" s="55">
        <f>E3-E4-F3+F4</f>
        <v>-41.97</v>
      </c>
      <c r="F6" s="55">
        <f>F3-F4-G3+G4</f>
        <v>47.800000000000011</v>
      </c>
    </row>
    <row r="7" spans="1:10">
      <c r="A7" s="56" t="s">
        <v>73</v>
      </c>
      <c r="B7" s="55"/>
      <c r="C7" s="57">
        <f>C6/(C2-D2)</f>
        <v>0.15074388645043599</v>
      </c>
      <c r="D7" s="57">
        <f>D6/(D2-E2)</f>
        <v>0.74339157706093206</v>
      </c>
      <c r="E7" s="57">
        <f>E6/(E2-F2)</f>
        <v>-1.0646879756468777</v>
      </c>
      <c r="F7" s="57">
        <f>F6/(F2-G2)</f>
        <v>0.1217400162999185</v>
      </c>
    </row>
    <row r="8" spans="1:10">
      <c r="A8" s="56" t="s">
        <v>75</v>
      </c>
      <c r="B8" s="55"/>
      <c r="C8" s="58">
        <v>0.1</v>
      </c>
      <c r="D8" s="58">
        <v>0.1</v>
      </c>
      <c r="E8" s="58">
        <v>0.1</v>
      </c>
      <c r="F8" s="58">
        <v>0.1</v>
      </c>
      <c r="G8" s="58">
        <v>0.1</v>
      </c>
    </row>
    <row r="9" spans="1:10">
      <c r="A9" s="56" t="s">
        <v>76</v>
      </c>
      <c r="B9" s="55"/>
      <c r="C9" s="55">
        <f>(C5-C8)*C2</f>
        <v>4.6969999999999592</v>
      </c>
      <c r="D9" s="55">
        <f>(D5-D8)*D2</f>
        <v>-30.911000000000008</v>
      </c>
      <c r="E9" s="55">
        <f>(E5-E8)*E2</f>
        <v>-88.353000000000009</v>
      </c>
      <c r="F9" s="55">
        <f>(F5-F8)*F2</f>
        <v>-42.441000000000003</v>
      </c>
      <c r="G9" s="55">
        <f>(G5-G8)*G2</f>
        <v>-50.976999999999997</v>
      </c>
    </row>
    <row r="10" spans="1:10">
      <c r="A10" s="56" t="s">
        <v>6</v>
      </c>
      <c r="B10" s="55"/>
      <c r="C10" s="55">
        <f>'Data Sheet'!K6</f>
        <v>2791.31</v>
      </c>
      <c r="D10" s="55">
        <f>'Data Sheet'!J6</f>
        <v>2080.34</v>
      </c>
      <c r="E10" s="55">
        <f>'Data Sheet'!I6</f>
        <v>1631.35</v>
      </c>
      <c r="F10" s="55">
        <f>'Data Sheet'!H6</f>
        <v>1551.27</v>
      </c>
      <c r="G10">
        <f>'Data Sheet'!G6</f>
        <v>1579.01</v>
      </c>
    </row>
    <row r="11" spans="1:10">
      <c r="A11" s="56" t="s">
        <v>77</v>
      </c>
      <c r="B11" s="55"/>
      <c r="C11" s="57">
        <f>C9/C10</f>
        <v>1.6827224493158981E-3</v>
      </c>
      <c r="D11" s="57">
        <f>D9/D10</f>
        <v>-1.4858628877971873E-2</v>
      </c>
      <c r="E11" s="57">
        <f>E9/E10</f>
        <v>-5.4159438501854298E-2</v>
      </c>
      <c r="F11" s="57">
        <f>F9/F10</f>
        <v>-2.7358873697035335E-2</v>
      </c>
      <c r="G11" s="57">
        <f>G9/G10</f>
        <v>-3.2284152728608427E-2</v>
      </c>
    </row>
    <row r="12" spans="1:10">
      <c r="A12" s="56" t="s">
        <v>39</v>
      </c>
      <c r="B12" s="55"/>
      <c r="C12" s="55">
        <f>'Data Sheet'!K46</f>
        <v>1752.68</v>
      </c>
      <c r="D12" s="55">
        <f>'Data Sheet'!J46</f>
        <v>1170.22</v>
      </c>
      <c r="E12" s="55">
        <f>'Data Sheet'!I46</f>
        <v>1112.44</v>
      </c>
      <c r="F12" s="55">
        <f>'Data Sheet'!H46</f>
        <v>1093.5999999999999</v>
      </c>
      <c r="G12">
        <f>'Data Sheet'!G46</f>
        <v>749.78</v>
      </c>
    </row>
    <row r="13" spans="1:10">
      <c r="A13" s="56" t="s">
        <v>78</v>
      </c>
      <c r="B13" s="55"/>
      <c r="C13" s="55">
        <f>Customization!C10/Customization!C12</f>
        <v>1.5925953397083323</v>
      </c>
      <c r="D13" s="55">
        <f>Customization!D10/Customization!D12</f>
        <v>1.7777341012801013</v>
      </c>
      <c r="E13" s="55">
        <f>Customization!E10/Customization!E12</f>
        <v>1.4664611125094384</v>
      </c>
      <c r="F13" s="55">
        <f>Customization!F10/Customization!F12</f>
        <v>1.4184985369422094</v>
      </c>
      <c r="G13" s="55">
        <f>Customization!G10/Customization!G12</f>
        <v>2.1059644162287605</v>
      </c>
      <c r="I13">
        <f>(C13+D13)/2</f>
        <v>1.6851647204942168</v>
      </c>
      <c r="J13">
        <f>SUM(C13:F13)/4</f>
        <v>1.5638222726100204</v>
      </c>
    </row>
    <row r="16" spans="1:10">
      <c r="G16" s="40"/>
    </row>
    <row r="21" spans="1:4">
      <c r="D21" s="40"/>
    </row>
    <row r="25" spans="1:4">
      <c r="B25" s="47"/>
    </row>
    <row r="26" spans="1:4">
      <c r="B26" s="48"/>
    </row>
    <row r="30" spans="1:4">
      <c r="A30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pane xSplit="1" ySplit="1" topLeftCell="B24" activePane="bottomRight" state="frozen"/>
      <selection pane="topRight" activeCell="B1" sqref="B1"/>
      <selection pane="bottomLeft" activeCell="A2" sqref="A2"/>
      <selection pane="bottomRight" activeCell="B43" sqref="B43"/>
    </sheetView>
  </sheetViews>
  <sheetFormatPr baseColWidth="10" defaultColWidth="8.83203125" defaultRowHeight="14" x14ac:dyDescent="0"/>
  <cols>
    <col min="1" max="1" width="27.6640625" style="21" bestFit="1" customWidth="1"/>
    <col min="2" max="11" width="13.5" style="21" bestFit="1" customWidth="1"/>
    <col min="12" max="16384" width="8.83203125" style="21"/>
  </cols>
  <sheetData>
    <row r="1" spans="1:11">
      <c r="A1" s="25" t="s">
        <v>0</v>
      </c>
      <c r="E1" s="53" t="s">
        <v>46</v>
      </c>
      <c r="F1" s="53"/>
      <c r="G1" s="53"/>
      <c r="H1" s="53"/>
      <c r="I1" s="53"/>
      <c r="J1" s="53"/>
      <c r="K1" s="53"/>
    </row>
    <row r="2" spans="1:11">
      <c r="A2" s="25"/>
    </row>
    <row r="3" spans="1:11">
      <c r="A3" s="25" t="s">
        <v>47</v>
      </c>
    </row>
    <row r="4" spans="1:11" s="29" customFormat="1">
      <c r="A4" s="28" t="s">
        <v>48</v>
      </c>
      <c r="B4" s="24">
        <v>38442</v>
      </c>
      <c r="C4" s="24">
        <v>38807</v>
      </c>
      <c r="D4" s="24">
        <v>39172</v>
      </c>
      <c r="E4" s="24">
        <v>39538</v>
      </c>
      <c r="F4" s="24">
        <v>39903</v>
      </c>
      <c r="G4" s="24">
        <v>40268</v>
      </c>
      <c r="H4" s="24">
        <v>40633</v>
      </c>
      <c r="I4" s="24">
        <v>40999</v>
      </c>
      <c r="J4" s="24">
        <v>41364</v>
      </c>
      <c r="K4" s="24">
        <v>41729</v>
      </c>
    </row>
    <row r="5" spans="1:11">
      <c r="A5" s="26" t="s">
        <v>49</v>
      </c>
    </row>
    <row r="6" spans="1:11">
      <c r="A6" s="27" t="s">
        <v>6</v>
      </c>
      <c r="B6" s="21">
        <v>505.01</v>
      </c>
      <c r="C6" s="21">
        <v>728.75</v>
      </c>
      <c r="D6" s="21">
        <v>917.45</v>
      </c>
      <c r="E6" s="21">
        <v>1006.64</v>
      </c>
      <c r="F6" s="21">
        <v>1245.46</v>
      </c>
      <c r="G6" s="21">
        <v>1579.01</v>
      </c>
      <c r="H6" s="21">
        <v>1551.27</v>
      </c>
      <c r="I6" s="21">
        <v>1631.35</v>
      </c>
      <c r="J6" s="21">
        <v>2080.34</v>
      </c>
      <c r="K6" s="21">
        <v>2791.31</v>
      </c>
    </row>
    <row r="7" spans="1:11">
      <c r="A7" s="27" t="s">
        <v>8</v>
      </c>
      <c r="B7" s="21">
        <v>38.22</v>
      </c>
      <c r="C7" s="21">
        <v>80.69</v>
      </c>
      <c r="D7" s="21">
        <v>118.82</v>
      </c>
      <c r="E7" s="21">
        <v>153.68</v>
      </c>
      <c r="F7" s="21">
        <v>180.61</v>
      </c>
      <c r="G7" s="21">
        <v>197.92</v>
      </c>
      <c r="H7" s="21">
        <v>228.25</v>
      </c>
      <c r="I7" s="21">
        <v>227.93</v>
      </c>
      <c r="J7" s="21">
        <v>294.98</v>
      </c>
      <c r="K7" s="21">
        <v>403.35</v>
      </c>
    </row>
    <row r="8" spans="1:11">
      <c r="A8" s="26" t="s">
        <v>9</v>
      </c>
      <c r="B8" s="21">
        <v>1.62</v>
      </c>
      <c r="C8" s="21">
        <v>2.65</v>
      </c>
      <c r="D8" s="21">
        <v>3.38</v>
      </c>
      <c r="E8" s="21">
        <v>1.37</v>
      </c>
      <c r="F8" s="21">
        <v>6.58</v>
      </c>
      <c r="G8" s="21">
        <v>3.92</v>
      </c>
      <c r="H8" s="21">
        <v>13.09</v>
      </c>
      <c r="I8" s="21">
        <v>5.64</v>
      </c>
      <c r="J8" s="21">
        <v>29.72</v>
      </c>
      <c r="K8" s="21">
        <v>61.9</v>
      </c>
    </row>
    <row r="9" spans="1:11">
      <c r="A9" s="26" t="s">
        <v>10</v>
      </c>
      <c r="B9" s="21">
        <v>39.840000000000003</v>
      </c>
      <c r="C9" s="21">
        <v>83.34</v>
      </c>
      <c r="D9" s="21">
        <v>122.2</v>
      </c>
      <c r="E9" s="21">
        <v>155.05000000000001</v>
      </c>
      <c r="F9" s="21">
        <v>187.19</v>
      </c>
      <c r="G9" s="21">
        <v>201.84</v>
      </c>
      <c r="H9" s="21">
        <v>241.34</v>
      </c>
      <c r="I9" s="21">
        <v>233.57</v>
      </c>
      <c r="J9" s="21">
        <v>324.7</v>
      </c>
      <c r="K9" s="21">
        <v>465.25</v>
      </c>
    </row>
    <row r="10" spans="1:11">
      <c r="A10" s="26" t="s">
        <v>11</v>
      </c>
      <c r="B10" s="21">
        <v>7.37</v>
      </c>
      <c r="C10" s="21">
        <v>11.89</v>
      </c>
      <c r="D10" s="21">
        <v>17.54</v>
      </c>
      <c r="E10" s="21">
        <v>24.1</v>
      </c>
      <c r="F10" s="21">
        <v>23.55</v>
      </c>
      <c r="G10" s="21">
        <v>27.58</v>
      </c>
      <c r="H10" s="21">
        <v>35.950000000000003</v>
      </c>
      <c r="I10" s="21">
        <v>44.51</v>
      </c>
      <c r="J10" s="21">
        <v>50.55</v>
      </c>
      <c r="K10" s="21">
        <v>57.64</v>
      </c>
    </row>
    <row r="11" spans="1:11">
      <c r="A11" s="26" t="s">
        <v>12</v>
      </c>
      <c r="B11" s="21">
        <v>32.47</v>
      </c>
      <c r="C11" s="21">
        <v>71.45</v>
      </c>
      <c r="D11" s="21">
        <v>104.66</v>
      </c>
      <c r="E11" s="21">
        <v>130.94999999999999</v>
      </c>
      <c r="F11" s="21">
        <v>163.63999999999999</v>
      </c>
      <c r="G11" s="21">
        <v>174.26</v>
      </c>
      <c r="H11" s="21">
        <v>205.39</v>
      </c>
      <c r="I11" s="21">
        <v>189.06</v>
      </c>
      <c r="J11" s="21">
        <v>274.14999999999998</v>
      </c>
      <c r="K11" s="21">
        <v>407.61</v>
      </c>
    </row>
    <row r="12" spans="1:11">
      <c r="A12" s="26" t="s">
        <v>13</v>
      </c>
      <c r="B12" s="21">
        <v>10.83</v>
      </c>
      <c r="C12" s="21">
        <v>30.19</v>
      </c>
      <c r="D12" s="21">
        <v>46.5</v>
      </c>
      <c r="E12" s="21">
        <v>65.599999999999994</v>
      </c>
      <c r="F12" s="21">
        <v>90.32</v>
      </c>
      <c r="G12" s="21">
        <v>42.32</v>
      </c>
      <c r="H12" s="21">
        <v>51.43</v>
      </c>
      <c r="I12" s="21">
        <v>70.02</v>
      </c>
      <c r="J12" s="21">
        <v>77.11</v>
      </c>
      <c r="K12" s="21">
        <v>76</v>
      </c>
    </row>
    <row r="13" spans="1:11">
      <c r="A13" s="26" t="s">
        <v>14</v>
      </c>
      <c r="B13" s="21">
        <v>21.54</v>
      </c>
      <c r="C13" s="21">
        <v>41.26</v>
      </c>
      <c r="D13" s="21">
        <v>58.15</v>
      </c>
      <c r="E13" s="21">
        <v>65.34</v>
      </c>
      <c r="F13" s="21">
        <v>73.319999999999993</v>
      </c>
      <c r="G13" s="21">
        <v>131.94</v>
      </c>
      <c r="H13" s="21">
        <v>153.96</v>
      </c>
      <c r="I13" s="21">
        <v>119.05</v>
      </c>
      <c r="J13" s="21">
        <v>197.03</v>
      </c>
      <c r="K13" s="21">
        <v>331.6</v>
      </c>
    </row>
    <row r="14" spans="1:11">
      <c r="A14" s="26" t="s">
        <v>15</v>
      </c>
      <c r="B14" s="21">
        <v>9.16</v>
      </c>
      <c r="C14" s="21">
        <v>16.149999999999999</v>
      </c>
      <c r="D14" s="21">
        <v>7.69</v>
      </c>
      <c r="E14" s="21">
        <v>10.52</v>
      </c>
      <c r="F14" s="21">
        <v>26.54</v>
      </c>
      <c r="G14" s="21">
        <v>25.43</v>
      </c>
      <c r="H14" s="21">
        <v>38.11</v>
      </c>
      <c r="I14" s="21">
        <v>22.26</v>
      </c>
      <c r="J14" s="21">
        <v>54.34</v>
      </c>
      <c r="K14" s="21">
        <v>71.3</v>
      </c>
    </row>
    <row r="15" spans="1:11">
      <c r="A15" s="27" t="s">
        <v>16</v>
      </c>
      <c r="B15" s="21">
        <v>16.28</v>
      </c>
      <c r="C15" s="21">
        <v>32.03</v>
      </c>
      <c r="D15" s="21">
        <v>49.51</v>
      </c>
      <c r="E15" s="21">
        <v>54.75</v>
      </c>
      <c r="F15" s="21">
        <v>46.34</v>
      </c>
      <c r="G15" s="21">
        <v>107.11</v>
      </c>
      <c r="H15" s="21">
        <v>115.51</v>
      </c>
      <c r="I15" s="21">
        <v>71.150000000000006</v>
      </c>
      <c r="J15" s="21">
        <v>150.46</v>
      </c>
      <c r="K15" s="21">
        <v>265.31</v>
      </c>
    </row>
    <row r="16" spans="1:11">
      <c r="A16" s="26" t="s">
        <v>19</v>
      </c>
      <c r="B16" s="21">
        <f>IF(B15,B72/B15*100,0)</f>
        <v>24.938574938574934</v>
      </c>
      <c r="C16" s="21">
        <f t="shared" ref="C16:K16" si="0">IF(C15,C72/C15*100,0)</f>
        <v>17.26506400249766</v>
      </c>
      <c r="D16" s="21">
        <f t="shared" si="0"/>
        <v>11.18965865481721</v>
      </c>
      <c r="E16" s="21">
        <f t="shared" si="0"/>
        <v>10.392694063926941</v>
      </c>
      <c r="F16" s="21">
        <f t="shared" si="0"/>
        <v>12.278808804488563</v>
      </c>
      <c r="G16" s="21">
        <f t="shared" si="0"/>
        <v>7.9637755578377361</v>
      </c>
      <c r="H16" s="21">
        <f t="shared" si="0"/>
        <v>7.3586702450004333</v>
      </c>
      <c r="I16" s="21">
        <f t="shared" si="0"/>
        <v>8.587491215741391</v>
      </c>
      <c r="J16" s="21">
        <f t="shared" si="0"/>
        <v>12.661172404625814</v>
      </c>
      <c r="K16" s="21">
        <f t="shared" si="0"/>
        <v>10.598922015755155</v>
      </c>
    </row>
    <row r="17" spans="1:11">
      <c r="A17" s="26" t="s">
        <v>62</v>
      </c>
      <c r="B17" s="21">
        <v>128.78</v>
      </c>
      <c r="C17" s="21">
        <v>250.63</v>
      </c>
      <c r="D17" s="21">
        <v>336.35</v>
      </c>
      <c r="E17" s="21">
        <v>263.48</v>
      </c>
      <c r="F17" s="21">
        <v>229.29</v>
      </c>
      <c r="G17" s="21">
        <v>346.29</v>
      </c>
      <c r="H17" s="21">
        <v>723.78</v>
      </c>
      <c r="I17" s="21">
        <v>562.07000000000005</v>
      </c>
      <c r="J17" s="21">
        <v>552.4</v>
      </c>
      <c r="K17" s="21">
        <v>718.8</v>
      </c>
    </row>
    <row r="18" spans="1:11">
      <c r="A18" s="27"/>
    </row>
    <row r="19" spans="1:11">
      <c r="A19" s="30"/>
    </row>
    <row r="20" spans="1:11">
      <c r="A20" s="25" t="s">
        <v>50</v>
      </c>
    </row>
    <row r="21" spans="1:11" s="29" customFormat="1">
      <c r="A21" s="28" t="s">
        <v>48</v>
      </c>
      <c r="B21" s="24">
        <v>41274</v>
      </c>
      <c r="C21" s="24">
        <v>41364</v>
      </c>
      <c r="D21" s="24">
        <v>41455</v>
      </c>
      <c r="E21" s="24">
        <v>41547</v>
      </c>
      <c r="F21" s="24">
        <v>41639</v>
      </c>
      <c r="G21" s="24">
        <v>41729</v>
      </c>
      <c r="H21" s="24">
        <v>41820</v>
      </c>
      <c r="I21" s="24">
        <v>41912</v>
      </c>
      <c r="J21" s="24">
        <v>42004</v>
      </c>
      <c r="K21" s="24">
        <v>42094</v>
      </c>
    </row>
    <row r="22" spans="1:11">
      <c r="A22" s="26" t="s">
        <v>49</v>
      </c>
    </row>
    <row r="23" spans="1:11">
      <c r="A23" s="27" t="s">
        <v>6</v>
      </c>
      <c r="B23" s="21">
        <v>500.44</v>
      </c>
      <c r="C23" s="21">
        <v>492.4</v>
      </c>
      <c r="D23" s="21">
        <v>688.77</v>
      </c>
      <c r="E23" s="21">
        <v>652.32000000000005</v>
      </c>
      <c r="F23" s="21">
        <v>648.25</v>
      </c>
      <c r="G23" s="21">
        <v>801.96</v>
      </c>
      <c r="H23" s="21">
        <v>805.46</v>
      </c>
      <c r="I23" s="21">
        <v>700.08</v>
      </c>
      <c r="J23" s="21">
        <v>764.31</v>
      </c>
      <c r="K23" s="21">
        <v>843.17</v>
      </c>
    </row>
    <row r="24" spans="1:11">
      <c r="A24" s="26" t="s">
        <v>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1:11">
      <c r="A25" s="27" t="s">
        <v>8</v>
      </c>
      <c r="B25" s="21">
        <v>69.91</v>
      </c>
      <c r="C25" s="21">
        <v>54.58</v>
      </c>
      <c r="D25" s="21">
        <v>108.97</v>
      </c>
      <c r="E25" s="21">
        <v>107.31</v>
      </c>
      <c r="F25" s="21">
        <v>91.68</v>
      </c>
      <c r="G25" s="21">
        <v>95.38</v>
      </c>
      <c r="H25" s="21">
        <v>133.5</v>
      </c>
      <c r="I25" s="21">
        <v>134.76</v>
      </c>
      <c r="J25" s="21">
        <v>133.66</v>
      </c>
      <c r="K25" s="21">
        <v>85.67</v>
      </c>
    </row>
    <row r="26" spans="1:11">
      <c r="A26" s="26" t="s">
        <v>9</v>
      </c>
      <c r="B26" s="21">
        <v>0.42</v>
      </c>
      <c r="C26" s="21">
        <v>3.59</v>
      </c>
      <c r="D26" s="21">
        <v>0.31</v>
      </c>
      <c r="E26" s="21">
        <v>25.93</v>
      </c>
      <c r="F26" s="21">
        <v>2.77</v>
      </c>
      <c r="G26" s="21">
        <v>32.89</v>
      </c>
      <c r="H26" s="21">
        <v>2.29</v>
      </c>
      <c r="I26" s="21">
        <v>-0.3</v>
      </c>
      <c r="J26" s="21">
        <v>0.62</v>
      </c>
      <c r="K26" s="21">
        <v>0.76</v>
      </c>
    </row>
    <row r="27" spans="1:11">
      <c r="A27" s="26" t="s">
        <v>10</v>
      </c>
      <c r="B27" s="21">
        <v>70.33</v>
      </c>
      <c r="C27" s="21">
        <v>58.17</v>
      </c>
      <c r="D27" s="21">
        <v>109.28</v>
      </c>
      <c r="E27" s="21">
        <v>133.24</v>
      </c>
      <c r="F27" s="21">
        <v>94.45</v>
      </c>
      <c r="G27" s="21">
        <v>128.27000000000001</v>
      </c>
      <c r="H27" s="21">
        <v>135.79</v>
      </c>
      <c r="I27" s="21">
        <v>134.46</v>
      </c>
      <c r="J27" s="21">
        <v>134.28</v>
      </c>
      <c r="K27" s="21">
        <v>86.43</v>
      </c>
    </row>
    <row r="28" spans="1:11">
      <c r="A28" s="26" t="s">
        <v>11</v>
      </c>
      <c r="B28" s="21">
        <v>12.99</v>
      </c>
      <c r="C28" s="21">
        <v>12.46</v>
      </c>
      <c r="D28" s="21">
        <v>13.42</v>
      </c>
      <c r="E28" s="21">
        <v>13.73</v>
      </c>
      <c r="F28" s="21">
        <v>15.28</v>
      </c>
      <c r="G28" s="21">
        <v>15.22</v>
      </c>
      <c r="H28" s="21">
        <v>16.25</v>
      </c>
      <c r="I28" s="21">
        <v>12.83</v>
      </c>
      <c r="J28" s="21">
        <v>12.31</v>
      </c>
      <c r="K28" s="21">
        <v>11.29</v>
      </c>
    </row>
    <row r="29" spans="1:11">
      <c r="A29" s="26" t="s">
        <v>12</v>
      </c>
      <c r="B29" s="21">
        <v>57.34</v>
      </c>
      <c r="C29" s="21">
        <v>45.71</v>
      </c>
      <c r="D29" s="21">
        <v>95.86</v>
      </c>
      <c r="E29" s="21">
        <v>119.51</v>
      </c>
      <c r="F29" s="21">
        <v>79.17</v>
      </c>
      <c r="G29" s="21">
        <v>113.05</v>
      </c>
      <c r="H29" s="21">
        <v>119.54</v>
      </c>
      <c r="I29" s="21">
        <v>121.63</v>
      </c>
      <c r="J29" s="21">
        <v>121.97</v>
      </c>
      <c r="K29" s="21">
        <v>75.14</v>
      </c>
    </row>
    <row r="30" spans="1:11">
      <c r="A30" s="26" t="s">
        <v>13</v>
      </c>
      <c r="B30" s="21">
        <v>13.31</v>
      </c>
      <c r="C30" s="21">
        <v>20.100000000000001</v>
      </c>
      <c r="D30" s="21">
        <v>14.44</v>
      </c>
      <c r="E30" s="21">
        <v>10.06</v>
      </c>
      <c r="F30" s="21">
        <v>19.3</v>
      </c>
      <c r="G30" s="21">
        <v>31.15</v>
      </c>
      <c r="H30" s="21">
        <v>29.1</v>
      </c>
      <c r="I30" s="21">
        <v>15.86</v>
      </c>
      <c r="J30" s="21">
        <v>15.67</v>
      </c>
      <c r="K30" s="21">
        <v>20.239999999999998</v>
      </c>
    </row>
    <row r="31" spans="1:11">
      <c r="A31" s="26" t="s">
        <v>14</v>
      </c>
      <c r="B31" s="21">
        <v>44.03</v>
      </c>
      <c r="C31" s="21">
        <v>25.61</v>
      </c>
      <c r="D31" s="21">
        <v>81.42</v>
      </c>
      <c r="E31" s="21">
        <v>109.45</v>
      </c>
      <c r="F31" s="21">
        <v>59.87</v>
      </c>
      <c r="G31" s="21">
        <v>81.900000000000006</v>
      </c>
      <c r="H31" s="21">
        <v>90.44</v>
      </c>
      <c r="I31" s="21">
        <v>105.77</v>
      </c>
      <c r="J31" s="21">
        <v>106.3</v>
      </c>
      <c r="K31" s="21">
        <v>54.9</v>
      </c>
    </row>
    <row r="32" spans="1:11">
      <c r="A32" s="26" t="s">
        <v>15</v>
      </c>
      <c r="B32" s="21">
        <v>8.33</v>
      </c>
      <c r="C32" s="21">
        <v>10.72</v>
      </c>
      <c r="D32" s="21">
        <v>12.98</v>
      </c>
      <c r="E32" s="21">
        <v>24.36</v>
      </c>
      <c r="F32" s="21">
        <v>14.83</v>
      </c>
      <c r="G32" s="21">
        <v>19.14</v>
      </c>
      <c r="H32" s="21">
        <v>16.18</v>
      </c>
      <c r="I32" s="21">
        <v>19.5</v>
      </c>
      <c r="J32" s="21">
        <v>20.73</v>
      </c>
      <c r="K32" s="21">
        <v>15.95</v>
      </c>
    </row>
    <row r="33" spans="1:11">
      <c r="A33" s="27" t="s">
        <v>16</v>
      </c>
      <c r="B33" s="21">
        <v>20.010000000000002</v>
      </c>
      <c r="C33" s="21">
        <v>19.84</v>
      </c>
      <c r="D33" s="21">
        <v>49.02</v>
      </c>
      <c r="E33" s="21">
        <v>94.57</v>
      </c>
      <c r="F33" s="21">
        <v>53.97</v>
      </c>
      <c r="G33" s="21">
        <v>67.739999999999995</v>
      </c>
      <c r="H33" s="21">
        <v>72.290000000000006</v>
      </c>
      <c r="I33" s="21">
        <v>81.12</v>
      </c>
      <c r="J33" s="21">
        <v>82.26</v>
      </c>
      <c r="K33" s="21">
        <v>45.2</v>
      </c>
    </row>
    <row r="34" spans="1:11">
      <c r="A34" s="27"/>
    </row>
    <row r="35" spans="1:11">
      <c r="A35" s="27"/>
    </row>
    <row r="36" spans="1:11">
      <c r="A36" s="27" t="s">
        <v>51</v>
      </c>
    </row>
    <row r="37" spans="1:11" s="29" customFormat="1">
      <c r="A37" s="28" t="s">
        <v>48</v>
      </c>
      <c r="B37" s="24">
        <v>38442</v>
      </c>
      <c r="C37" s="24">
        <v>38807</v>
      </c>
      <c r="D37" s="24">
        <v>39172</v>
      </c>
      <c r="E37" s="24">
        <v>39538</v>
      </c>
      <c r="F37" s="24">
        <v>39903</v>
      </c>
      <c r="G37" s="24">
        <v>40268</v>
      </c>
      <c r="H37" s="24">
        <v>40633</v>
      </c>
      <c r="I37" s="24">
        <v>40999</v>
      </c>
      <c r="J37" s="24">
        <v>41364</v>
      </c>
      <c r="K37" s="24">
        <v>41729</v>
      </c>
    </row>
    <row r="38" spans="1:11">
      <c r="A38" s="26" t="s">
        <v>31</v>
      </c>
      <c r="B38" s="21">
        <v>17.920000000000002</v>
      </c>
      <c r="C38" s="21">
        <v>21.35</v>
      </c>
      <c r="D38" s="21">
        <v>24.35</v>
      </c>
      <c r="E38" s="21">
        <v>24.35</v>
      </c>
      <c r="F38" s="21">
        <v>24.35</v>
      </c>
      <c r="G38" s="21">
        <v>24.35</v>
      </c>
      <c r="H38" s="21">
        <v>24.35</v>
      </c>
      <c r="I38" s="21">
        <v>24.35</v>
      </c>
      <c r="J38" s="21">
        <v>24.24</v>
      </c>
      <c r="K38" s="21">
        <v>23.58</v>
      </c>
    </row>
    <row r="39" spans="1:11">
      <c r="A39" s="26" t="s">
        <v>32</v>
      </c>
      <c r="B39" s="21">
        <v>145.15</v>
      </c>
      <c r="C39" s="21">
        <v>219.28</v>
      </c>
      <c r="D39" s="21">
        <v>287.25</v>
      </c>
      <c r="E39" s="21">
        <v>336.31</v>
      </c>
      <c r="F39" s="21">
        <v>376.96</v>
      </c>
      <c r="G39" s="21">
        <v>475.54</v>
      </c>
      <c r="H39" s="21">
        <v>582.54</v>
      </c>
      <c r="I39" s="21">
        <v>645.21</v>
      </c>
      <c r="J39" s="21">
        <v>773.8</v>
      </c>
      <c r="K39" s="21">
        <v>996.38</v>
      </c>
    </row>
    <row r="40" spans="1:11">
      <c r="A40" s="26" t="s">
        <v>33</v>
      </c>
      <c r="B40" s="21">
        <v>295.89</v>
      </c>
      <c r="C40" s="21">
        <v>451.87</v>
      </c>
      <c r="D40" s="21">
        <v>486.72</v>
      </c>
      <c r="E40" s="21">
        <v>622.79999999999995</v>
      </c>
      <c r="F40" s="21">
        <v>550.62</v>
      </c>
      <c r="G40" s="21">
        <v>529.49</v>
      </c>
      <c r="H40" s="21">
        <v>835.61</v>
      </c>
      <c r="I40" s="21">
        <v>853.21</v>
      </c>
      <c r="J40" s="21">
        <v>814.73</v>
      </c>
      <c r="K40" s="21">
        <v>1315.55</v>
      </c>
    </row>
    <row r="41" spans="1:11">
      <c r="A41" s="26" t="s">
        <v>34</v>
      </c>
      <c r="B41" s="21">
        <v>0</v>
      </c>
      <c r="C41" s="21">
        <v>0</v>
      </c>
      <c r="D41" s="21">
        <v>0</v>
      </c>
      <c r="E41" s="21">
        <v>149.9</v>
      </c>
      <c r="F41" s="21">
        <v>50</v>
      </c>
      <c r="G41" s="21">
        <v>75</v>
      </c>
      <c r="H41" s="21">
        <v>65</v>
      </c>
      <c r="I41" s="21">
        <v>22.28</v>
      </c>
      <c r="J41" s="21">
        <v>20.99</v>
      </c>
      <c r="K41" s="21">
        <v>0</v>
      </c>
    </row>
    <row r="42" spans="1:11">
      <c r="A42" s="27" t="s">
        <v>35</v>
      </c>
      <c r="B42" s="21">
        <v>474.22</v>
      </c>
      <c r="C42" s="21">
        <v>718.24</v>
      </c>
      <c r="D42" s="21">
        <v>798.32</v>
      </c>
      <c r="E42" s="21">
        <v>1133.3599999999999</v>
      </c>
      <c r="F42" s="21">
        <v>1001.93</v>
      </c>
      <c r="G42" s="21">
        <v>1104.3800000000001</v>
      </c>
      <c r="H42" s="21">
        <v>1507.5</v>
      </c>
      <c r="I42" s="21">
        <v>1545.05</v>
      </c>
      <c r="J42" s="21">
        <v>1633.76</v>
      </c>
      <c r="K42" s="21">
        <v>2335.5100000000002</v>
      </c>
    </row>
    <row r="43" spans="1:11">
      <c r="A43" s="26" t="s">
        <v>36</v>
      </c>
      <c r="B43" s="21">
        <v>88.66</v>
      </c>
      <c r="C43" s="21">
        <v>116.81</v>
      </c>
      <c r="D43" s="21">
        <v>213.33</v>
      </c>
      <c r="E43" s="21">
        <v>227.52</v>
      </c>
      <c r="F43" s="21">
        <v>215.52</v>
      </c>
      <c r="G43" s="21">
        <v>316.27</v>
      </c>
      <c r="H43" s="21">
        <v>380.49</v>
      </c>
      <c r="I43" s="21">
        <v>413.65</v>
      </c>
      <c r="J43" s="21">
        <v>437.87</v>
      </c>
      <c r="K43" s="21">
        <v>557.85</v>
      </c>
    </row>
    <row r="44" spans="1:11">
      <c r="A44" s="26" t="s">
        <v>37</v>
      </c>
      <c r="B44" s="21">
        <v>19.5</v>
      </c>
      <c r="C44" s="21">
        <v>30.44</v>
      </c>
      <c r="D44" s="21">
        <v>24.98</v>
      </c>
      <c r="E44" s="21">
        <v>7.42</v>
      </c>
      <c r="F44" s="21">
        <v>34.090000000000003</v>
      </c>
      <c r="G44" s="21">
        <v>35.82</v>
      </c>
      <c r="H44" s="21">
        <v>20.420000000000002</v>
      </c>
      <c r="I44" s="21">
        <v>7.84</v>
      </c>
      <c r="J44" s="21">
        <v>15.12</v>
      </c>
      <c r="K44" s="21">
        <v>14.4</v>
      </c>
    </row>
    <row r="45" spans="1:11">
      <c r="A45" s="26" t="s">
        <v>38</v>
      </c>
      <c r="B45" s="21">
        <v>0</v>
      </c>
      <c r="C45" s="21">
        <v>0</v>
      </c>
      <c r="D45" s="21">
        <v>11.27</v>
      </c>
      <c r="E45" s="21">
        <v>2.52</v>
      </c>
      <c r="F45" s="21">
        <v>2.37</v>
      </c>
      <c r="G45" s="21">
        <v>2.52</v>
      </c>
      <c r="H45" s="21">
        <v>12.99</v>
      </c>
      <c r="I45" s="21">
        <v>11.13</v>
      </c>
      <c r="J45" s="21">
        <v>10.54</v>
      </c>
      <c r="K45" s="21">
        <v>10.58</v>
      </c>
    </row>
    <row r="46" spans="1:11">
      <c r="A46" s="26" t="s">
        <v>39</v>
      </c>
      <c r="B46" s="21">
        <v>366.06</v>
      </c>
      <c r="C46" s="21">
        <v>571</v>
      </c>
      <c r="D46" s="21">
        <v>548.74</v>
      </c>
      <c r="E46" s="21">
        <v>895.91</v>
      </c>
      <c r="F46" s="21">
        <v>749.95</v>
      </c>
      <c r="G46" s="21">
        <v>749.78</v>
      </c>
      <c r="H46" s="21">
        <v>1093.5999999999999</v>
      </c>
      <c r="I46" s="21">
        <v>1112.44</v>
      </c>
      <c r="J46" s="21">
        <v>1170.22</v>
      </c>
      <c r="K46" s="21">
        <v>1752.68</v>
      </c>
    </row>
    <row r="47" spans="1:11">
      <c r="A47" s="27" t="s">
        <v>35</v>
      </c>
      <c r="B47" s="21">
        <v>474.22</v>
      </c>
      <c r="C47" s="21">
        <v>718.24</v>
      </c>
      <c r="D47" s="21">
        <v>798.32</v>
      </c>
      <c r="E47" s="21">
        <v>1133.3599999999999</v>
      </c>
      <c r="F47" s="21">
        <v>1001.93</v>
      </c>
      <c r="G47" s="21">
        <v>1104.3800000000001</v>
      </c>
      <c r="H47" s="21">
        <v>1507.5</v>
      </c>
      <c r="I47" s="21">
        <v>1545.05</v>
      </c>
      <c r="J47" s="21">
        <v>1633.76</v>
      </c>
      <c r="K47" s="21">
        <v>2335.5100000000002</v>
      </c>
    </row>
    <row r="48" spans="1:11">
      <c r="A48" s="26" t="s">
        <v>61</v>
      </c>
      <c r="B48" s="21">
        <v>179.68</v>
      </c>
      <c r="C48" s="21">
        <v>213.11</v>
      </c>
      <c r="D48" s="21">
        <v>243.11</v>
      </c>
      <c r="E48" s="21">
        <v>243.11</v>
      </c>
      <c r="F48" s="21">
        <v>243.11</v>
      </c>
      <c r="G48" s="21">
        <v>2431.12</v>
      </c>
      <c r="H48" s="21">
        <v>2431.12</v>
      </c>
      <c r="I48" s="21">
        <v>2431.12</v>
      </c>
      <c r="J48" s="21">
        <v>2419.46</v>
      </c>
      <c r="K48" s="21">
        <v>2353.9</v>
      </c>
    </row>
    <row r="51" spans="1:11">
      <c r="A51" s="25" t="s">
        <v>52</v>
      </c>
    </row>
    <row r="52" spans="1:11" s="29" customFormat="1">
      <c r="A52" s="28" t="s">
        <v>48</v>
      </c>
      <c r="B52" s="24">
        <v>38442</v>
      </c>
      <c r="C52" s="24">
        <v>38807</v>
      </c>
      <c r="D52" s="24">
        <v>39172</v>
      </c>
      <c r="E52" s="24">
        <v>39538</v>
      </c>
      <c r="F52" s="24">
        <v>39903</v>
      </c>
      <c r="G52" s="24">
        <v>40268</v>
      </c>
      <c r="H52" s="24">
        <v>40633</v>
      </c>
      <c r="I52" s="24">
        <v>40999</v>
      </c>
      <c r="J52" s="24">
        <v>41364</v>
      </c>
      <c r="K52" s="24">
        <v>41729</v>
      </c>
    </row>
    <row r="53" spans="1:11" s="25" customFormat="1">
      <c r="A53" s="25" t="s">
        <v>41</v>
      </c>
      <c r="B53" s="25">
        <v>-95.08</v>
      </c>
      <c r="C53" s="25">
        <v>-139.91</v>
      </c>
      <c r="D53" s="25">
        <v>163.72</v>
      </c>
      <c r="E53" s="25">
        <v>-213.93</v>
      </c>
      <c r="F53" s="25">
        <v>282.05</v>
      </c>
      <c r="G53" s="25">
        <v>171.36</v>
      </c>
      <c r="H53" s="25">
        <v>-151.43</v>
      </c>
      <c r="I53" s="25">
        <v>141.63999999999999</v>
      </c>
      <c r="J53" s="25">
        <v>169.97</v>
      </c>
      <c r="K53" s="25">
        <v>-207.56</v>
      </c>
    </row>
    <row r="54" spans="1:11" s="35" customFormat="1">
      <c r="A54" s="39" t="s">
        <v>42</v>
      </c>
      <c r="B54" s="35">
        <v>-34.67</v>
      </c>
      <c r="C54" s="35">
        <v>-51</v>
      </c>
      <c r="D54" s="35">
        <v>-120.09</v>
      </c>
      <c r="E54" s="35">
        <v>-12.18</v>
      </c>
      <c r="F54" s="35">
        <v>-38.380000000000003</v>
      </c>
      <c r="G54" s="35">
        <v>-130.19</v>
      </c>
      <c r="H54" s="35">
        <v>-95.62</v>
      </c>
      <c r="I54" s="35">
        <v>-61.72</v>
      </c>
      <c r="J54" s="35">
        <v>-57.71</v>
      </c>
      <c r="K54" s="35">
        <v>-125.48</v>
      </c>
    </row>
    <row r="55" spans="1:11" s="35" customFormat="1">
      <c r="A55" s="39" t="s">
        <v>43</v>
      </c>
      <c r="B55" s="35">
        <v>132.41999999999999</v>
      </c>
      <c r="C55" s="35">
        <v>186.04</v>
      </c>
      <c r="D55" s="35">
        <v>-12.56</v>
      </c>
      <c r="E55" s="35">
        <v>218.9</v>
      </c>
      <c r="F55" s="35">
        <v>-261.16000000000003</v>
      </c>
      <c r="G55" s="35">
        <v>-46.17</v>
      </c>
      <c r="H55" s="35">
        <v>245.64</v>
      </c>
      <c r="I55" s="35">
        <v>-68.11</v>
      </c>
      <c r="J55" s="35">
        <v>-115.59</v>
      </c>
      <c r="K55" s="35">
        <v>384.05</v>
      </c>
    </row>
    <row r="56" spans="1:11" s="25" customFormat="1">
      <c r="A56" s="27" t="s">
        <v>44</v>
      </c>
      <c r="B56" s="25">
        <v>2.66</v>
      </c>
      <c r="C56" s="25">
        <v>-4.87</v>
      </c>
      <c r="D56" s="25">
        <v>31.07</v>
      </c>
      <c r="E56" s="25">
        <v>-7.21</v>
      </c>
      <c r="F56" s="25">
        <v>-17.48</v>
      </c>
      <c r="G56" s="25">
        <v>-4.99</v>
      </c>
      <c r="H56" s="25">
        <v>-1.41</v>
      </c>
      <c r="I56" s="25">
        <v>11.8</v>
      </c>
      <c r="J56" s="25">
        <v>-3.33</v>
      </c>
      <c r="K56" s="25">
        <v>51.01</v>
      </c>
    </row>
    <row r="57" spans="1:11" s="35" customFormat="1">
      <c r="A57" s="39" t="s">
        <v>45</v>
      </c>
      <c r="B57" s="35">
        <v>9.6</v>
      </c>
      <c r="C57" s="35">
        <v>4.7300000000000004</v>
      </c>
      <c r="D57" s="35">
        <v>35.799999999999997</v>
      </c>
      <c r="E57" s="35">
        <v>28.59</v>
      </c>
      <c r="F57" s="35">
        <v>11.11</v>
      </c>
      <c r="G57" s="35">
        <v>6.12</v>
      </c>
      <c r="H57" s="35">
        <v>4.71</v>
      </c>
      <c r="I57" s="35">
        <v>16.78</v>
      </c>
      <c r="J57" s="35">
        <v>12.81</v>
      </c>
      <c r="K57" s="35">
        <v>63.82</v>
      </c>
    </row>
    <row r="58" spans="1:11">
      <c r="A58" s="27"/>
    </row>
    <row r="59" spans="1:11">
      <c r="A59" s="27"/>
    </row>
    <row r="60" spans="1:11">
      <c r="A60" s="27" t="s">
        <v>53</v>
      </c>
    </row>
    <row r="61" spans="1:11">
      <c r="A61" s="26" t="s">
        <v>54</v>
      </c>
      <c r="B61" s="21">
        <v>23.54</v>
      </c>
    </row>
    <row r="62" spans="1:11">
      <c r="A62" s="26" t="s">
        <v>40</v>
      </c>
      <c r="B62" s="21">
        <v>1</v>
      </c>
    </row>
    <row r="63" spans="1:11">
      <c r="A63" s="26" t="s">
        <v>55</v>
      </c>
      <c r="B63" s="21">
        <v>168.75</v>
      </c>
    </row>
    <row r="64" spans="1:11">
      <c r="A64" s="26" t="s">
        <v>56</v>
      </c>
      <c r="B64" s="21">
        <v>42.03</v>
      </c>
    </row>
    <row r="65" spans="1:11" s="29" customFormat="1">
      <c r="A65" s="28" t="s">
        <v>48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>
      <c r="A66" s="26" t="s">
        <v>57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135.08000000000001</v>
      </c>
      <c r="H66" s="21">
        <v>148</v>
      </c>
      <c r="I66" s="21">
        <v>229.17</v>
      </c>
      <c r="J66" s="21">
        <v>195.01</v>
      </c>
      <c r="K66" s="21">
        <v>279.25</v>
      </c>
    </row>
    <row r="67" spans="1:11">
      <c r="A67" s="26" t="s">
        <v>58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781.27</v>
      </c>
      <c r="H67" s="21">
        <v>1208.5</v>
      </c>
      <c r="I67" s="21">
        <v>1237.72</v>
      </c>
      <c r="J67" s="21">
        <v>1260.29</v>
      </c>
      <c r="K67" s="21">
        <v>1689.9</v>
      </c>
    </row>
    <row r="68" spans="1:11">
      <c r="A68" s="26"/>
    </row>
    <row r="69" spans="1:11">
      <c r="A69" s="21" t="s">
        <v>63</v>
      </c>
      <c r="B69" s="21">
        <f>IF(B15&gt;0,B17/B15,0)</f>
        <v>7.9103194103194099</v>
      </c>
      <c r="C69" s="21">
        <f t="shared" ref="C69:K69" si="1">IF(C15&gt;0,C17/C15,0)</f>
        <v>7.8248517015298154</v>
      </c>
      <c r="D69" s="21">
        <f t="shared" si="1"/>
        <v>6.7935770551403767</v>
      </c>
      <c r="E69" s="21">
        <f t="shared" si="1"/>
        <v>4.812420091324201</v>
      </c>
      <c r="F69" s="21">
        <f t="shared" si="1"/>
        <v>4.9479930945187736</v>
      </c>
      <c r="G69" s="21">
        <f t="shared" si="1"/>
        <v>3.2330314629819812</v>
      </c>
      <c r="H69" s="21">
        <f t="shared" si="1"/>
        <v>6.2659509999134269</v>
      </c>
      <c r="I69" s="21">
        <f t="shared" si="1"/>
        <v>7.8997891777933944</v>
      </c>
      <c r="J69" s="21">
        <f t="shared" si="1"/>
        <v>3.6714076831051439</v>
      </c>
      <c r="K69" s="21">
        <f t="shared" si="1"/>
        <v>2.7092834797029886</v>
      </c>
    </row>
    <row r="71" spans="1:11">
      <c r="A71" s="21" t="s">
        <v>68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6.12</v>
      </c>
      <c r="H71" s="21">
        <v>4.71</v>
      </c>
      <c r="I71" s="21">
        <v>16.78</v>
      </c>
      <c r="J71" s="21">
        <v>12.81</v>
      </c>
      <c r="K71" s="21">
        <v>63.82</v>
      </c>
    </row>
    <row r="72" spans="1:11">
      <c r="A72" s="21" t="s">
        <v>69</v>
      </c>
      <c r="B72" s="21">
        <v>4.0599999999999996</v>
      </c>
      <c r="C72" s="21">
        <v>5.53</v>
      </c>
      <c r="D72" s="21">
        <v>5.54</v>
      </c>
      <c r="E72" s="21">
        <v>5.69</v>
      </c>
      <c r="F72" s="21">
        <v>5.69</v>
      </c>
      <c r="G72" s="21">
        <v>8.5299999999999994</v>
      </c>
      <c r="H72" s="21">
        <v>8.5</v>
      </c>
      <c r="I72" s="21">
        <v>6.11</v>
      </c>
      <c r="J72" s="21">
        <v>19.05</v>
      </c>
      <c r="K72" s="21">
        <v>28.12</v>
      </c>
    </row>
  </sheetData>
  <mergeCells count="1">
    <mergeCell ref="E1:K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Profit &amp; Loss</vt:lpstr>
      <vt:lpstr>Quarters</vt:lpstr>
      <vt:lpstr>Balance Sheet</vt:lpstr>
      <vt:lpstr>Cash Flow</vt:lpstr>
      <vt:lpstr>Customization</vt:lpstr>
      <vt:lpstr>Data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Rupesh  Tatiya</cp:lastModifiedBy>
  <cp:lastPrinted>2012-12-06T18:14:13Z</cp:lastPrinted>
  <dcterms:created xsi:type="dcterms:W3CDTF">2012-08-17T09:55:37Z</dcterms:created>
  <dcterms:modified xsi:type="dcterms:W3CDTF">2015-07-19T18:44:26Z</dcterms:modified>
</cp:coreProperties>
</file>