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ukumar\OneDrive - Hewlett Packard Enterprise\PERSONAL\STOCKS\FINISHED\Cupid\"/>
    </mc:Choice>
  </mc:AlternateContent>
  <bookViews>
    <workbookView xWindow="240" yWindow="75" windowWidth="19440" windowHeight="7935" tabRatio="856" activeTab="5"/>
  </bookViews>
  <sheets>
    <sheet name="Report" sheetId="17" r:id="rId1"/>
    <sheet name="Framework" sheetId="22" r:id="rId2"/>
    <sheet name="rsklibSimData" sheetId="19" state="hidden" r:id="rId3"/>
    <sheet name="Analysis2" sheetId="13" r:id="rId4"/>
    <sheet name="Valuation" sheetId="16" r:id="rId5"/>
    <sheet name="Financial Analysis" sheetId="7" r:id="rId6"/>
    <sheet name="Checklist" sheetId="18" state="hidden" r:id="rId7"/>
    <sheet name="Profit &amp; Loss" sheetId="1" r:id="rId8"/>
    <sheet name="Quarters" sheetId="3" state="hidden" r:id="rId9"/>
    <sheet name="Balance Sheet" sheetId="2" state="hidden" r:id="rId10"/>
    <sheet name="Cash Flow" sheetId="4" state="hidden" r:id="rId11"/>
    <sheet name="Customization" sheetId="5" state="hidden" r:id="rId12"/>
    <sheet name="Scorecard" sheetId="14" state="hidden" r:id="rId13"/>
    <sheet name="Market_scope" sheetId="15" state="hidden" r:id="rId14"/>
    <sheet name="Data Sheet" sheetId="6" r:id="rId15"/>
    <sheet name="Research" sheetId="21" state="hidden" r:id="rId16"/>
    <sheet name="Other_input_data" sheetId="12" r:id="rId17"/>
    <sheet name="DCF" sheetId="9" state="hidden" r:id="rId18"/>
    <sheet name="Fair Value" sheetId="10" state="hidden" r:id="rId19"/>
    <sheet name="Expected Return Model" sheetId="11" state="hidden" r:id="rId20"/>
  </sheets>
  <externalReferences>
    <externalReference r:id="rId2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6">'[1]Data Sheet'!$E$1</definedName>
    <definedName name="UPDATE">'Data Sheet'!$E$1</definedName>
  </definedNames>
  <calcPr calcId="152511"/>
</workbook>
</file>

<file path=xl/calcChain.xml><?xml version="1.0" encoding="utf-8"?>
<calcChain xmlns="http://schemas.openxmlformats.org/spreadsheetml/2006/main">
  <c r="L93" i="6" l="1"/>
  <c r="K93" i="6"/>
  <c r="J93" i="6"/>
  <c r="I93" i="6"/>
  <c r="H93" i="6"/>
  <c r="G93" i="6"/>
  <c r="F93" i="6"/>
  <c r="E93" i="6"/>
  <c r="D93" i="6"/>
  <c r="C93" i="6"/>
  <c r="B93" i="6"/>
  <c r="K52" i="6"/>
  <c r="I52" i="6"/>
  <c r="H52" i="6"/>
  <c r="G52" i="6"/>
  <c r="E52" i="6"/>
  <c r="D52" i="6"/>
  <c r="C52" i="6"/>
  <c r="L33" i="6"/>
  <c r="K33" i="6"/>
  <c r="J33" i="6"/>
  <c r="I33" i="6"/>
  <c r="H33" i="6"/>
  <c r="G33" i="6"/>
  <c r="F33" i="6"/>
  <c r="E33" i="6"/>
  <c r="D33" i="6"/>
  <c r="C33" i="6"/>
  <c r="F15" i="6"/>
  <c r="E15" i="6"/>
  <c r="D15" i="6"/>
  <c r="B10" i="6"/>
  <c r="B11" i="6" s="1"/>
  <c r="B6" i="6"/>
  <c r="J52" i="6" s="1"/>
  <c r="E1" i="6"/>
  <c r="B52" i="6" l="1"/>
  <c r="F52" i="6"/>
  <c r="I15" i="17"/>
  <c r="I14" i="17"/>
  <c r="B28" i="17"/>
  <c r="E10" i="17"/>
  <c r="E8" i="17"/>
  <c r="E6" i="17"/>
  <c r="D4" i="17"/>
  <c r="D10" i="17"/>
  <c r="D9" i="17"/>
  <c r="D8" i="17"/>
  <c r="D7" i="17"/>
  <c r="D6" i="17"/>
  <c r="D5" i="17"/>
  <c r="C4" i="17"/>
  <c r="C10" i="17"/>
  <c r="C9" i="17"/>
  <c r="C8" i="17"/>
  <c r="C7" i="17"/>
  <c r="C6" i="17"/>
  <c r="C5" i="17"/>
  <c r="I43" i="22"/>
  <c r="D43" i="22"/>
  <c r="H43" i="22" s="1"/>
  <c r="I42" i="22"/>
  <c r="G42" i="22"/>
  <c r="I41" i="22"/>
  <c r="I40" i="22"/>
  <c r="I39" i="22"/>
  <c r="I38" i="22"/>
  <c r="I37" i="22" s="1"/>
  <c r="G37" i="22"/>
  <c r="J36" i="22"/>
  <c r="I36" i="22"/>
  <c r="J35" i="22"/>
  <c r="J34" i="22" s="1"/>
  <c r="I35" i="22"/>
  <c r="H34" i="22"/>
  <c r="G34" i="22"/>
  <c r="I33" i="22"/>
  <c r="H33" i="22"/>
  <c r="J33" i="22" s="1"/>
  <c r="D33" i="22"/>
  <c r="I32" i="22"/>
  <c r="D32" i="22"/>
  <c r="H32" i="22" s="1"/>
  <c r="J32" i="22" s="1"/>
  <c r="I31" i="22"/>
  <c r="D31" i="22"/>
  <c r="H31" i="22" s="1"/>
  <c r="J31" i="22" s="1"/>
  <c r="I30" i="22"/>
  <c r="J29" i="22"/>
  <c r="I29" i="22"/>
  <c r="J28" i="22"/>
  <c r="I28" i="22"/>
  <c r="J27" i="22"/>
  <c r="I27" i="22"/>
  <c r="J26" i="22"/>
  <c r="I26" i="22"/>
  <c r="G25" i="22"/>
  <c r="J24" i="22"/>
  <c r="I24" i="22"/>
  <c r="J23" i="22"/>
  <c r="I23" i="22"/>
  <c r="J22" i="22"/>
  <c r="I22" i="22"/>
  <c r="J21" i="22"/>
  <c r="I21" i="22"/>
  <c r="J20" i="22"/>
  <c r="I20" i="22"/>
  <c r="H19" i="22"/>
  <c r="G19" i="22"/>
  <c r="I18" i="22"/>
  <c r="J17" i="22"/>
  <c r="I17" i="22"/>
  <c r="H17" i="22"/>
  <c r="J16" i="22"/>
  <c r="I16" i="22"/>
  <c r="H16" i="22"/>
  <c r="I15" i="22"/>
  <c r="I14" i="22"/>
  <c r="I13" i="22"/>
  <c r="I12" i="22" s="1"/>
  <c r="G12" i="22"/>
  <c r="I11" i="22"/>
  <c r="I10" i="22"/>
  <c r="H10" i="22"/>
  <c r="J10" i="22" s="1"/>
  <c r="I9" i="22"/>
  <c r="I8" i="22"/>
  <c r="I7" i="22"/>
  <c r="I6" i="22"/>
  <c r="I5" i="22"/>
  <c r="I4" i="22"/>
  <c r="G3" i="22"/>
  <c r="I3" i="22" l="1"/>
  <c r="J19" i="22"/>
  <c r="I25" i="22"/>
  <c r="I34" i="22"/>
  <c r="I19" i="22"/>
  <c r="H42" i="22"/>
  <c r="J43" i="22"/>
  <c r="J42" i="22" s="1"/>
  <c r="J16" i="17" l="1"/>
  <c r="I17" i="17" l="1"/>
  <c r="I25" i="17"/>
  <c r="I26" i="17"/>
  <c r="I27" i="17"/>
  <c r="J25" i="17"/>
  <c r="J26" i="17"/>
  <c r="J27" i="17"/>
  <c r="E23" i="17"/>
  <c r="I16" i="17"/>
  <c r="B22" i="17"/>
  <c r="B23" i="17"/>
  <c r="I19" i="17"/>
  <c r="J19" i="17"/>
  <c r="I29" i="17"/>
  <c r="E21" i="17"/>
  <c r="E22" i="17"/>
  <c r="F22" i="17"/>
  <c r="B27" i="17"/>
  <c r="I12" i="17"/>
  <c r="I13" i="17"/>
  <c r="E14" i="17"/>
  <c r="E15" i="17"/>
  <c r="E16" i="17"/>
  <c r="I20" i="17"/>
  <c r="E17" i="17"/>
  <c r="E18" i="17"/>
  <c r="E19" i="17"/>
  <c r="E20" i="17"/>
  <c r="I28" i="17"/>
  <c r="F17" i="17"/>
  <c r="E27" i="17"/>
  <c r="E28" i="17"/>
  <c r="E29" i="17"/>
  <c r="I21" i="17"/>
  <c r="I22" i="17"/>
  <c r="I23" i="17"/>
  <c r="B24" i="17"/>
  <c r="B25" i="17"/>
  <c r="B26" i="17"/>
  <c r="I3" i="17"/>
  <c r="I4" i="17"/>
  <c r="I5" i="17"/>
  <c r="I6" i="17"/>
  <c r="I7" i="17"/>
  <c r="I8" i="17"/>
  <c r="I9" i="17"/>
  <c r="I10" i="17"/>
  <c r="I11" i="17"/>
  <c r="B15" i="17"/>
  <c r="B16" i="17"/>
  <c r="B17" i="17"/>
  <c r="B18" i="17"/>
  <c r="B19" i="17"/>
  <c r="B20" i="17"/>
  <c r="B21" i="17"/>
  <c r="I24" i="17"/>
  <c r="B14" i="17"/>
  <c r="B12" i="16"/>
  <c r="C12" i="16" s="1"/>
  <c r="D12" i="16" s="1"/>
  <c r="E12" i="16" s="1"/>
  <c r="F12" i="16" s="1"/>
  <c r="G12" i="16" s="1"/>
  <c r="H12" i="16" s="1"/>
  <c r="I12" i="16" s="1"/>
  <c r="J12" i="16" s="1"/>
  <c r="K12" i="16" s="1"/>
  <c r="K14" i="16" s="1"/>
  <c r="H14" i="16" l="1"/>
  <c r="D14" i="16"/>
  <c r="B14" i="16"/>
  <c r="G14" i="16"/>
  <c r="C14" i="16"/>
  <c r="J14" i="16"/>
  <c r="F14" i="16"/>
  <c r="I14" i="16"/>
  <c r="E14" i="16"/>
  <c r="D33" i="7" l="1"/>
  <c r="E33" i="7"/>
  <c r="F33" i="7"/>
  <c r="G33" i="7"/>
  <c r="H33" i="7"/>
  <c r="I33" i="7"/>
  <c r="J33" i="7"/>
  <c r="K33" i="7"/>
  <c r="L33" i="7"/>
  <c r="D34" i="7"/>
  <c r="E34" i="7"/>
  <c r="F34" i="7"/>
  <c r="G34" i="7"/>
  <c r="H34" i="7"/>
  <c r="I34" i="7"/>
  <c r="J34" i="7"/>
  <c r="K34" i="7"/>
  <c r="L34" i="7"/>
  <c r="D13" i="7"/>
  <c r="E13" i="7"/>
  <c r="F13" i="7"/>
  <c r="G13" i="7"/>
  <c r="H13" i="7"/>
  <c r="I13" i="7"/>
  <c r="J13" i="7"/>
  <c r="K13" i="7"/>
  <c r="L13" i="7"/>
  <c r="D14" i="7"/>
  <c r="E14" i="7"/>
  <c r="F14" i="7"/>
  <c r="G14" i="7"/>
  <c r="H14" i="7"/>
  <c r="I14" i="7"/>
  <c r="J14" i="7"/>
  <c r="K14" i="7"/>
  <c r="L14" i="7"/>
  <c r="D15" i="7"/>
  <c r="E15" i="7"/>
  <c r="F15" i="7"/>
  <c r="G15" i="7"/>
  <c r="H15" i="7"/>
  <c r="I15" i="7"/>
  <c r="J15" i="7"/>
  <c r="K15" i="7"/>
  <c r="L15" i="7"/>
  <c r="D16" i="7"/>
  <c r="E16" i="7"/>
  <c r="F16" i="7"/>
  <c r="G16" i="7"/>
  <c r="H16" i="7"/>
  <c r="I16" i="7"/>
  <c r="J16" i="7"/>
  <c r="K16" i="7"/>
  <c r="L16" i="7"/>
  <c r="D17" i="7"/>
  <c r="E17" i="7"/>
  <c r="F17" i="7"/>
  <c r="G17" i="7"/>
  <c r="H17" i="7"/>
  <c r="I17" i="7"/>
  <c r="J17" i="7"/>
  <c r="K17" i="7"/>
  <c r="L17" i="7"/>
  <c r="D18" i="7"/>
  <c r="E18" i="7"/>
  <c r="F18" i="7"/>
  <c r="G18" i="7"/>
  <c r="H18" i="7"/>
  <c r="I18" i="7"/>
  <c r="J18" i="7"/>
  <c r="K18" i="7"/>
  <c r="L18" i="7"/>
  <c r="D19" i="7"/>
  <c r="E19" i="7"/>
  <c r="F19" i="7"/>
  <c r="G19" i="7"/>
  <c r="H19" i="7"/>
  <c r="I19" i="7"/>
  <c r="J19" i="7"/>
  <c r="K19" i="7"/>
  <c r="L19" i="7"/>
  <c r="D20" i="7"/>
  <c r="E20" i="7"/>
  <c r="F20" i="7"/>
  <c r="G20" i="7"/>
  <c r="H20" i="7"/>
  <c r="I20" i="7"/>
  <c r="J20" i="7"/>
  <c r="K20" i="7"/>
  <c r="L20" i="7"/>
  <c r="D21" i="7"/>
  <c r="E21" i="7"/>
  <c r="F21" i="7"/>
  <c r="G21" i="7"/>
  <c r="H21" i="7"/>
  <c r="I21" i="7"/>
  <c r="J21" i="7"/>
  <c r="K21" i="7"/>
  <c r="L21" i="7"/>
  <c r="D22" i="7"/>
  <c r="E22" i="7"/>
  <c r="F22" i="7"/>
  <c r="G22" i="7"/>
  <c r="H22" i="7"/>
  <c r="I22" i="7"/>
  <c r="J22" i="7"/>
  <c r="K22" i="7"/>
  <c r="L22" i="7"/>
  <c r="D23" i="7"/>
  <c r="E23" i="7"/>
  <c r="F23" i="7"/>
  <c r="G23" i="7"/>
  <c r="H23" i="7"/>
  <c r="I23" i="7"/>
  <c r="J23" i="7"/>
  <c r="K23" i="7"/>
  <c r="L23" i="7"/>
  <c r="Q33" i="7" l="1"/>
  <c r="Q34" i="7"/>
  <c r="F25" i="17" s="1"/>
  <c r="B33" i="16"/>
  <c r="E45" i="7"/>
  <c r="F45" i="7"/>
  <c r="G45" i="7"/>
  <c r="H45" i="7"/>
  <c r="I45" i="7"/>
  <c r="J45" i="7"/>
  <c r="K45" i="7"/>
  <c r="L45" i="7"/>
  <c r="D45" i="7"/>
  <c r="D58" i="12" l="1"/>
  <c r="E58" i="12"/>
  <c r="F58" i="12"/>
  <c r="G58" i="12"/>
  <c r="H58" i="12"/>
  <c r="I58" i="12"/>
  <c r="J58" i="12"/>
  <c r="K58" i="12"/>
  <c r="L58" i="12"/>
  <c r="D59" i="12"/>
  <c r="E59" i="12"/>
  <c r="F59" i="12"/>
  <c r="G59" i="12"/>
  <c r="H59" i="12"/>
  <c r="I59" i="12"/>
  <c r="J59" i="12"/>
  <c r="K59" i="12"/>
  <c r="L59" i="12"/>
  <c r="D44" i="12"/>
  <c r="E44" i="12"/>
  <c r="F44" i="12"/>
  <c r="G44" i="12"/>
  <c r="H44" i="12"/>
  <c r="I44" i="12"/>
  <c r="J44" i="12"/>
  <c r="K44" i="12"/>
  <c r="L44" i="12"/>
  <c r="D45" i="12"/>
  <c r="E45" i="12"/>
  <c r="F45" i="12"/>
  <c r="G45" i="12"/>
  <c r="H45" i="12"/>
  <c r="I45" i="12"/>
  <c r="J45" i="12"/>
  <c r="K45" i="12"/>
  <c r="L45" i="12"/>
  <c r="D46" i="12"/>
  <c r="E46" i="12"/>
  <c r="F46" i="12"/>
  <c r="G46" i="12"/>
  <c r="H46" i="12"/>
  <c r="I46" i="12"/>
  <c r="J46" i="12"/>
  <c r="K46" i="12"/>
  <c r="L46" i="12"/>
  <c r="D47" i="12"/>
  <c r="E47" i="12"/>
  <c r="F47" i="12"/>
  <c r="G47" i="12"/>
  <c r="H47" i="12"/>
  <c r="I47" i="12"/>
  <c r="J47" i="12"/>
  <c r="K47" i="12"/>
  <c r="L47" i="12"/>
  <c r="D48" i="12"/>
  <c r="E48" i="12"/>
  <c r="F48" i="12"/>
  <c r="G48" i="12"/>
  <c r="H48" i="12"/>
  <c r="I48" i="12"/>
  <c r="J48" i="12"/>
  <c r="K48" i="12"/>
  <c r="L48" i="12"/>
  <c r="D49" i="12"/>
  <c r="D24" i="7" s="1"/>
  <c r="E49" i="12"/>
  <c r="E24" i="7" s="1"/>
  <c r="F49" i="12"/>
  <c r="F24" i="7" s="1"/>
  <c r="G49" i="12"/>
  <c r="G24" i="7" s="1"/>
  <c r="H49" i="12"/>
  <c r="H24" i="7" s="1"/>
  <c r="I49" i="12"/>
  <c r="I24" i="7" s="1"/>
  <c r="J49" i="12"/>
  <c r="J24" i="7" s="1"/>
  <c r="K49" i="12"/>
  <c r="K24" i="7" s="1"/>
  <c r="L49" i="12"/>
  <c r="D50" i="12"/>
  <c r="E50" i="12"/>
  <c r="F50" i="12"/>
  <c r="G50" i="12"/>
  <c r="H50" i="12"/>
  <c r="I50" i="12"/>
  <c r="J50" i="12"/>
  <c r="K50" i="12"/>
  <c r="L50" i="12"/>
  <c r="D51" i="12"/>
  <c r="E51" i="12"/>
  <c r="F51" i="12"/>
  <c r="G51" i="12"/>
  <c r="H51" i="12"/>
  <c r="I51" i="12"/>
  <c r="J51" i="12"/>
  <c r="K51" i="12"/>
  <c r="L51" i="12"/>
  <c r="D52" i="12"/>
  <c r="E52" i="12"/>
  <c r="F52" i="12"/>
  <c r="G52" i="12"/>
  <c r="H52" i="12"/>
  <c r="I52" i="12"/>
  <c r="J52" i="12"/>
  <c r="K52" i="12"/>
  <c r="L52" i="12"/>
  <c r="D53" i="12"/>
  <c r="E53" i="12"/>
  <c r="F53" i="12"/>
  <c r="G53" i="12"/>
  <c r="H53" i="12"/>
  <c r="I53" i="12"/>
  <c r="J53" i="12"/>
  <c r="K53" i="12"/>
  <c r="L53" i="12"/>
  <c r="D54" i="12"/>
  <c r="E54" i="12"/>
  <c r="F54" i="12"/>
  <c r="G54" i="12"/>
  <c r="H54" i="12"/>
  <c r="I54" i="12"/>
  <c r="J54" i="12"/>
  <c r="K54" i="12"/>
  <c r="L54" i="12"/>
  <c r="D39" i="12"/>
  <c r="E39" i="12"/>
  <c r="F39" i="12"/>
  <c r="G39" i="12"/>
  <c r="H39" i="12"/>
  <c r="I39" i="12"/>
  <c r="J39" i="12"/>
  <c r="K39" i="12"/>
  <c r="L39" i="12"/>
  <c r="D40" i="12"/>
  <c r="E40" i="12"/>
  <c r="F40" i="12"/>
  <c r="G40" i="12"/>
  <c r="H40" i="12"/>
  <c r="I40" i="12"/>
  <c r="J40" i="12"/>
  <c r="K40" i="12"/>
  <c r="L40" i="12"/>
  <c r="D40" i="7"/>
  <c r="D42" i="7" s="1"/>
  <c r="D127" i="7" s="1"/>
  <c r="E40" i="7"/>
  <c r="E42" i="7" s="1"/>
  <c r="E127" i="7" s="1"/>
  <c r="F40" i="7"/>
  <c r="G40" i="7"/>
  <c r="G42" i="7" s="1"/>
  <c r="G127" i="7" s="1"/>
  <c r="H40" i="7"/>
  <c r="H42" i="7" s="1"/>
  <c r="H127" i="7" s="1"/>
  <c r="I40" i="7"/>
  <c r="I42" i="7" s="1"/>
  <c r="I127" i="7" s="1"/>
  <c r="J40" i="7"/>
  <c r="J42" i="7" s="1"/>
  <c r="J127" i="7" s="1"/>
  <c r="K40" i="7"/>
  <c r="K42" i="7" s="1"/>
  <c r="K127" i="7" s="1"/>
  <c r="L40" i="7"/>
  <c r="L42" i="7" s="1"/>
  <c r="L127" i="7" s="1"/>
  <c r="D41" i="7"/>
  <c r="D128" i="7" s="1"/>
  <c r="E41" i="7"/>
  <c r="E128" i="7" s="1"/>
  <c r="F41" i="7"/>
  <c r="F128" i="7" s="1"/>
  <c r="G41" i="7"/>
  <c r="H41" i="7"/>
  <c r="H128" i="7" s="1"/>
  <c r="I41" i="7"/>
  <c r="I128" i="7" s="1"/>
  <c r="J41" i="7"/>
  <c r="J128" i="7" s="1"/>
  <c r="K41" i="7"/>
  <c r="K128" i="7" s="1"/>
  <c r="L41" i="7"/>
  <c r="L128" i="7" s="1"/>
  <c r="F42" i="7"/>
  <c r="F127" i="7" s="1"/>
  <c r="D43" i="7"/>
  <c r="E43" i="7"/>
  <c r="F43" i="7"/>
  <c r="G43" i="7"/>
  <c r="H43" i="7"/>
  <c r="I43" i="7"/>
  <c r="J43" i="7"/>
  <c r="K43" i="7"/>
  <c r="L43" i="7"/>
  <c r="D46" i="7"/>
  <c r="E46" i="7"/>
  <c r="F46" i="7"/>
  <c r="G46" i="7"/>
  <c r="H46" i="7"/>
  <c r="I46" i="7"/>
  <c r="J46" i="7"/>
  <c r="K46" i="7"/>
  <c r="L46" i="7"/>
  <c r="D47" i="7"/>
  <c r="E47" i="7"/>
  <c r="F47" i="7"/>
  <c r="G47" i="7"/>
  <c r="H47" i="7"/>
  <c r="I47" i="7"/>
  <c r="J47" i="7"/>
  <c r="K47" i="7"/>
  <c r="L47" i="7"/>
  <c r="D50" i="7"/>
  <c r="D51" i="7" s="1"/>
  <c r="E50" i="7"/>
  <c r="F50" i="7"/>
  <c r="F51" i="7" s="1"/>
  <c r="G50" i="7"/>
  <c r="G51" i="7" s="1"/>
  <c r="H50" i="7"/>
  <c r="H51" i="7" s="1"/>
  <c r="I50" i="7"/>
  <c r="I51" i="7" s="1"/>
  <c r="J50" i="7"/>
  <c r="J51" i="7" s="1"/>
  <c r="K50" i="7"/>
  <c r="K51" i="7" s="1"/>
  <c r="L50" i="7"/>
  <c r="L51" i="7" s="1"/>
  <c r="E51" i="7"/>
  <c r="D54" i="7"/>
  <c r="E54" i="7"/>
  <c r="F54" i="7"/>
  <c r="G54" i="7"/>
  <c r="H54" i="7"/>
  <c r="I54" i="7"/>
  <c r="J54" i="7"/>
  <c r="K54" i="7"/>
  <c r="L54" i="7"/>
  <c r="D55" i="7"/>
  <c r="E55" i="7"/>
  <c r="F55" i="7"/>
  <c r="G55" i="7"/>
  <c r="H55" i="7"/>
  <c r="I55" i="7"/>
  <c r="J55" i="7"/>
  <c r="K55" i="7"/>
  <c r="L55" i="7"/>
  <c r="D57" i="7"/>
  <c r="E57" i="7"/>
  <c r="F57" i="7"/>
  <c r="G57" i="7"/>
  <c r="H57" i="7"/>
  <c r="I57" i="7"/>
  <c r="J57" i="7"/>
  <c r="K57" i="7"/>
  <c r="L57" i="7"/>
  <c r="D58" i="7"/>
  <c r="E60" i="7" s="1"/>
  <c r="E58" i="7"/>
  <c r="F60" i="7" s="1"/>
  <c r="F58" i="7"/>
  <c r="G60" i="7" s="1"/>
  <c r="G58" i="7"/>
  <c r="H58" i="7"/>
  <c r="I58" i="7"/>
  <c r="J60" i="7" s="1"/>
  <c r="J58" i="7"/>
  <c r="K60" i="7" s="1"/>
  <c r="K58" i="7"/>
  <c r="L58" i="7"/>
  <c r="D68" i="7"/>
  <c r="E68" i="7"/>
  <c r="F68" i="7"/>
  <c r="G68" i="7"/>
  <c r="H68" i="7"/>
  <c r="I68" i="7"/>
  <c r="J68" i="7"/>
  <c r="K68" i="7"/>
  <c r="L68" i="7"/>
  <c r="D72" i="7"/>
  <c r="E72" i="7"/>
  <c r="F72" i="7"/>
  <c r="G72" i="7"/>
  <c r="H72" i="7"/>
  <c r="I72" i="7"/>
  <c r="J72" i="7"/>
  <c r="K72" i="7"/>
  <c r="L72" i="7"/>
  <c r="D74" i="7"/>
  <c r="E74" i="7"/>
  <c r="F74" i="7"/>
  <c r="G74" i="7"/>
  <c r="H74" i="7"/>
  <c r="I74" i="7"/>
  <c r="J74" i="7"/>
  <c r="K74" i="7"/>
  <c r="L74" i="7"/>
  <c r="D75" i="7"/>
  <c r="E75" i="7"/>
  <c r="F75" i="7"/>
  <c r="G75" i="7"/>
  <c r="H75" i="7"/>
  <c r="I75" i="7"/>
  <c r="J75" i="7"/>
  <c r="K75" i="7"/>
  <c r="L75" i="7"/>
  <c r="D78" i="7"/>
  <c r="E78" i="7"/>
  <c r="F78" i="7"/>
  <c r="G78" i="7"/>
  <c r="H78" i="7"/>
  <c r="I78" i="7"/>
  <c r="J78" i="7"/>
  <c r="K78" i="7"/>
  <c r="L78" i="7"/>
  <c r="F5" i="16" s="1"/>
  <c r="D81" i="7"/>
  <c r="E81" i="7"/>
  <c r="F81" i="7"/>
  <c r="G81" i="7"/>
  <c r="H81" i="7"/>
  <c r="I81" i="7"/>
  <c r="J81" i="7"/>
  <c r="K81" i="7"/>
  <c r="L81" i="7"/>
  <c r="D82" i="7"/>
  <c r="E82" i="7"/>
  <c r="F82" i="7"/>
  <c r="G82" i="7"/>
  <c r="H82" i="7"/>
  <c r="I82" i="7"/>
  <c r="J82" i="7"/>
  <c r="K82" i="7"/>
  <c r="L82" i="7"/>
  <c r="D83" i="7"/>
  <c r="E83" i="7"/>
  <c r="F83" i="7"/>
  <c r="G83" i="7"/>
  <c r="H83" i="7"/>
  <c r="I83" i="7"/>
  <c r="J83" i="7"/>
  <c r="K83" i="7"/>
  <c r="L83" i="7"/>
  <c r="D84" i="7"/>
  <c r="E84" i="7"/>
  <c r="F84" i="7"/>
  <c r="G84" i="7"/>
  <c r="H84" i="7"/>
  <c r="I84" i="7"/>
  <c r="J84" i="7"/>
  <c r="K84" i="7"/>
  <c r="L84" i="7"/>
  <c r="D85" i="7"/>
  <c r="E85" i="7"/>
  <c r="F85" i="7"/>
  <c r="G85" i="7"/>
  <c r="H85" i="7"/>
  <c r="I85" i="7"/>
  <c r="J85" i="7"/>
  <c r="K85" i="7"/>
  <c r="L85" i="7"/>
  <c r="D95" i="7"/>
  <c r="E95" i="7"/>
  <c r="F95" i="7"/>
  <c r="G95" i="7"/>
  <c r="H95" i="7"/>
  <c r="I95" i="7"/>
  <c r="J95" i="7"/>
  <c r="K95" i="7"/>
  <c r="L95" i="7"/>
  <c r="D96" i="7"/>
  <c r="E96" i="7"/>
  <c r="F96" i="7"/>
  <c r="G96" i="7"/>
  <c r="H96" i="7"/>
  <c r="I96" i="7"/>
  <c r="J96" i="7"/>
  <c r="K96" i="7"/>
  <c r="L96" i="7"/>
  <c r="D98" i="7"/>
  <c r="E98" i="7"/>
  <c r="F98" i="7"/>
  <c r="G98" i="7"/>
  <c r="H98" i="7"/>
  <c r="I98" i="7"/>
  <c r="J98" i="7"/>
  <c r="K98" i="7"/>
  <c r="L98" i="7"/>
  <c r="D99" i="7"/>
  <c r="E99" i="7"/>
  <c r="F99" i="7"/>
  <c r="G99" i="7"/>
  <c r="H99" i="7"/>
  <c r="I99" i="7"/>
  <c r="J99" i="7"/>
  <c r="K99" i="7"/>
  <c r="L99" i="7"/>
  <c r="D109" i="7"/>
  <c r="E109" i="7"/>
  <c r="F109" i="7"/>
  <c r="G109" i="7"/>
  <c r="H109" i="7"/>
  <c r="I109" i="7"/>
  <c r="J109" i="7"/>
  <c r="K109" i="7"/>
  <c r="L109" i="7"/>
  <c r="D111" i="7"/>
  <c r="E111" i="7"/>
  <c r="F111" i="7"/>
  <c r="G111" i="7"/>
  <c r="H111" i="7"/>
  <c r="I111" i="7"/>
  <c r="J111" i="7"/>
  <c r="K111" i="7"/>
  <c r="L111" i="7"/>
  <c r="D113" i="7"/>
  <c r="E113" i="7"/>
  <c r="F113" i="7"/>
  <c r="G113" i="7"/>
  <c r="H113" i="7"/>
  <c r="I113" i="7"/>
  <c r="J113" i="7"/>
  <c r="K113" i="7"/>
  <c r="L113" i="7"/>
  <c r="D114" i="7"/>
  <c r="E114" i="7"/>
  <c r="F114" i="7"/>
  <c r="G114" i="7"/>
  <c r="H114" i="7"/>
  <c r="I114" i="7"/>
  <c r="J114" i="7"/>
  <c r="K114" i="7"/>
  <c r="L114" i="7"/>
  <c r="D115" i="7"/>
  <c r="E115" i="7"/>
  <c r="F115" i="7"/>
  <c r="G115" i="7"/>
  <c r="H115" i="7"/>
  <c r="I115" i="7"/>
  <c r="J115" i="7"/>
  <c r="K115" i="7"/>
  <c r="L115" i="7"/>
  <c r="D4" i="2"/>
  <c r="E4" i="2"/>
  <c r="F4" i="2"/>
  <c r="G4" i="2"/>
  <c r="H4" i="2"/>
  <c r="I4" i="2"/>
  <c r="J4" i="2"/>
  <c r="K4" i="2"/>
  <c r="L4" i="2"/>
  <c r="D5" i="2"/>
  <c r="E5" i="2"/>
  <c r="F5" i="2"/>
  <c r="G5" i="2"/>
  <c r="H5" i="2"/>
  <c r="I5" i="2"/>
  <c r="J5" i="2"/>
  <c r="K5" i="2"/>
  <c r="L5" i="2"/>
  <c r="D6" i="2"/>
  <c r="E6" i="2"/>
  <c r="F6" i="2"/>
  <c r="G6" i="2"/>
  <c r="H6" i="2"/>
  <c r="I6" i="2"/>
  <c r="J6" i="2"/>
  <c r="K6" i="2"/>
  <c r="L6" i="2"/>
  <c r="D7" i="2"/>
  <c r="E7" i="2"/>
  <c r="F7" i="2"/>
  <c r="G7" i="2"/>
  <c r="H7" i="2"/>
  <c r="I7" i="2"/>
  <c r="J7" i="2"/>
  <c r="K7" i="2"/>
  <c r="L7" i="2"/>
  <c r="D8" i="2"/>
  <c r="E8" i="2"/>
  <c r="F8" i="2"/>
  <c r="G8" i="2"/>
  <c r="H8" i="2"/>
  <c r="I8" i="2"/>
  <c r="J8" i="2"/>
  <c r="K8" i="2"/>
  <c r="L8" i="2"/>
  <c r="D10" i="2"/>
  <c r="E10" i="2"/>
  <c r="F10" i="2"/>
  <c r="G10" i="2"/>
  <c r="H10" i="2"/>
  <c r="I10" i="2"/>
  <c r="J10" i="2"/>
  <c r="K10" i="2"/>
  <c r="L10" i="2"/>
  <c r="D11" i="2"/>
  <c r="E11" i="2"/>
  <c r="F11" i="2"/>
  <c r="G11" i="2"/>
  <c r="H11" i="2"/>
  <c r="I11" i="2"/>
  <c r="J11" i="2"/>
  <c r="K11" i="2"/>
  <c r="L11" i="2"/>
  <c r="D12" i="2"/>
  <c r="E12" i="2"/>
  <c r="F12" i="2"/>
  <c r="G12" i="2"/>
  <c r="H12" i="2"/>
  <c r="I12" i="2"/>
  <c r="J12" i="2"/>
  <c r="K12" i="2"/>
  <c r="L12" i="2"/>
  <c r="D13" i="2"/>
  <c r="E13" i="2"/>
  <c r="F13" i="2"/>
  <c r="G13" i="2"/>
  <c r="H13" i="2"/>
  <c r="I13" i="2"/>
  <c r="J13" i="2"/>
  <c r="K13" i="2"/>
  <c r="L13" i="2"/>
  <c r="D14" i="2"/>
  <c r="E14" i="2"/>
  <c r="F14" i="2"/>
  <c r="G14" i="2"/>
  <c r="H14" i="2"/>
  <c r="I14" i="2"/>
  <c r="J14" i="2"/>
  <c r="K14" i="2"/>
  <c r="L14" i="2"/>
  <c r="D17" i="2"/>
  <c r="E17" i="2"/>
  <c r="F17" i="2"/>
  <c r="G17" i="2"/>
  <c r="H17" i="2"/>
  <c r="I17" i="2"/>
  <c r="J17" i="2"/>
  <c r="K17" i="2"/>
  <c r="L17" i="2"/>
  <c r="D18" i="2"/>
  <c r="E18" i="2"/>
  <c r="F18" i="2"/>
  <c r="G18" i="2"/>
  <c r="H18" i="2"/>
  <c r="I18" i="2"/>
  <c r="J18" i="2"/>
  <c r="K18" i="2"/>
  <c r="L18" i="2"/>
  <c r="D27" i="2"/>
  <c r="E27" i="2"/>
  <c r="F27" i="2"/>
  <c r="G27" i="2"/>
  <c r="H27" i="2"/>
  <c r="I27" i="2"/>
  <c r="J27" i="2"/>
  <c r="K27" i="2"/>
  <c r="L27" i="2"/>
  <c r="P23" i="7"/>
  <c r="P22" i="7"/>
  <c r="P20" i="7"/>
  <c r="P19" i="7"/>
  <c r="P18" i="7"/>
  <c r="P16" i="7"/>
  <c r="P15" i="7"/>
  <c r="P14" i="7"/>
  <c r="P13" i="7"/>
  <c r="O23" i="7"/>
  <c r="O22" i="7"/>
  <c r="O21" i="7"/>
  <c r="O20" i="7"/>
  <c r="O19" i="7"/>
  <c r="O18" i="7"/>
  <c r="O17" i="7"/>
  <c r="O16" i="7"/>
  <c r="O15" i="7"/>
  <c r="O14" i="7"/>
  <c r="O13" i="7"/>
  <c r="N23" i="7"/>
  <c r="N22" i="7"/>
  <c r="N21" i="7"/>
  <c r="N20" i="7"/>
  <c r="N19" i="7"/>
  <c r="N18" i="7"/>
  <c r="N17" i="7"/>
  <c r="N16" i="7"/>
  <c r="N15" i="7"/>
  <c r="N14" i="7"/>
  <c r="N13" i="7"/>
  <c r="M74" i="7" l="1"/>
  <c r="M33" i="13" s="1"/>
  <c r="J15" i="17" s="1"/>
  <c r="M20" i="17" s="1"/>
  <c r="I5" i="16"/>
  <c r="L24" i="7"/>
  <c r="I7" i="16" s="1"/>
  <c r="K23" i="16"/>
  <c r="E23" i="16"/>
  <c r="H23" i="16"/>
  <c r="G23" i="16"/>
  <c r="B23" i="16"/>
  <c r="D23" i="16"/>
  <c r="C23" i="16"/>
  <c r="I23" i="16"/>
  <c r="F23" i="16"/>
  <c r="J23" i="16"/>
  <c r="F6" i="16"/>
  <c r="K129" i="7"/>
  <c r="L41" i="12"/>
  <c r="H41" i="12"/>
  <c r="D41" i="12"/>
  <c r="L86" i="7"/>
  <c r="L112" i="7" s="1"/>
  <c r="H86" i="7"/>
  <c r="H112" i="7" s="1"/>
  <c r="D86" i="7"/>
  <c r="D112" i="7" s="1"/>
  <c r="K16" i="2"/>
  <c r="K48" i="7" s="1"/>
  <c r="G16" i="2"/>
  <c r="G48" i="7" s="1"/>
  <c r="E28" i="2"/>
  <c r="E30" i="2" s="1"/>
  <c r="J129" i="7"/>
  <c r="F129" i="7"/>
  <c r="I41" i="12"/>
  <c r="E41" i="12"/>
  <c r="I16" i="2"/>
  <c r="I48" i="7" s="1"/>
  <c r="L28" i="2"/>
  <c r="H28" i="2"/>
  <c r="J86" i="7"/>
  <c r="J112" i="7" s="1"/>
  <c r="F16" i="2"/>
  <c r="F48" i="7" s="1"/>
  <c r="L59" i="7"/>
  <c r="H59" i="7"/>
  <c r="K64" i="7"/>
  <c r="G64" i="7"/>
  <c r="E77" i="7"/>
  <c r="K59" i="7"/>
  <c r="G59" i="7"/>
  <c r="I70" i="7"/>
  <c r="E70" i="7"/>
  <c r="E65" i="7"/>
  <c r="I65" i="7"/>
  <c r="G77" i="7"/>
  <c r="L30" i="2"/>
  <c r="L31" i="2" s="1"/>
  <c r="H30" i="2"/>
  <c r="H31" i="2" s="1"/>
  <c r="J64" i="7"/>
  <c r="E129" i="7"/>
  <c r="I77" i="7"/>
  <c r="I129" i="7"/>
  <c r="K28" i="2"/>
  <c r="K30" i="2" s="1"/>
  <c r="K31" i="2" s="1"/>
  <c r="G28" i="2"/>
  <c r="G30" i="2" s="1"/>
  <c r="G31" i="2" s="1"/>
  <c r="I86" i="7"/>
  <c r="I112" i="7" s="1"/>
  <c r="E16" i="2"/>
  <c r="E48" i="7" s="1"/>
  <c r="G128" i="7"/>
  <c r="G129" i="7" s="1"/>
  <c r="F86" i="7"/>
  <c r="F112" i="7" s="1"/>
  <c r="D59" i="7"/>
  <c r="F64" i="7"/>
  <c r="E31" i="2"/>
  <c r="E64" i="7"/>
  <c r="J16" i="2"/>
  <c r="J48" i="7" s="1"/>
  <c r="D28" i="2"/>
  <c r="D30" i="2" s="1"/>
  <c r="D31" i="2" s="1"/>
  <c r="I28" i="2"/>
  <c r="I30" i="2" s="1"/>
  <c r="I31" i="2" s="1"/>
  <c r="J59" i="7"/>
  <c r="F59" i="7"/>
  <c r="K70" i="7"/>
  <c r="G65" i="7"/>
  <c r="K77" i="7"/>
  <c r="J77" i="7"/>
  <c r="F77" i="7"/>
  <c r="L129" i="7"/>
  <c r="H129" i="7"/>
  <c r="D129" i="7"/>
  <c r="J28" i="2"/>
  <c r="J30" i="2" s="1"/>
  <c r="J31" i="2" s="1"/>
  <c r="F28" i="2"/>
  <c r="F30" i="2" s="1"/>
  <c r="F31" i="2" s="1"/>
  <c r="L16" i="2"/>
  <c r="L48" i="7" s="1"/>
  <c r="H16" i="2"/>
  <c r="H48" i="7" s="1"/>
  <c r="D16" i="2"/>
  <c r="D48" i="7" s="1"/>
  <c r="E86" i="7"/>
  <c r="E112" i="7" s="1"/>
  <c r="I64" i="7"/>
  <c r="I60" i="7"/>
  <c r="L77" i="7"/>
  <c r="H77" i="7"/>
  <c r="D77" i="7"/>
  <c r="K86" i="7"/>
  <c r="K112" i="7" s="1"/>
  <c r="G86" i="7"/>
  <c r="G112" i="7" s="1"/>
  <c r="J41" i="12"/>
  <c r="F41" i="12"/>
  <c r="K41" i="12"/>
  <c r="G41" i="12"/>
  <c r="K65" i="7"/>
  <c r="L64" i="7"/>
  <c r="H64" i="7"/>
  <c r="D64" i="7"/>
  <c r="G70" i="7"/>
  <c r="L65" i="7"/>
  <c r="H65" i="7"/>
  <c r="D65" i="7"/>
  <c r="J70" i="7"/>
  <c r="F70" i="7"/>
  <c r="J65" i="7"/>
  <c r="F65" i="7"/>
  <c r="L60" i="7"/>
  <c r="H60" i="7"/>
  <c r="I59" i="7"/>
  <c r="E59" i="7"/>
  <c r="L70" i="7"/>
  <c r="H70" i="7"/>
  <c r="D70" i="7"/>
  <c r="H49" i="7" l="1"/>
  <c r="H52" i="7" s="1"/>
  <c r="H66" i="7" s="1"/>
  <c r="H35" i="7"/>
  <c r="E49" i="7"/>
  <c r="E53" i="7" s="1"/>
  <c r="E67" i="7" s="1"/>
  <c r="E35" i="7"/>
  <c r="G49" i="7"/>
  <c r="G35" i="7"/>
  <c r="L49" i="7"/>
  <c r="L52" i="7" s="1"/>
  <c r="L66" i="7" s="1"/>
  <c r="L35" i="7"/>
  <c r="J49" i="7"/>
  <c r="J53" i="7" s="1"/>
  <c r="J67" i="7" s="1"/>
  <c r="J35" i="7"/>
  <c r="K49" i="7"/>
  <c r="K52" i="7" s="1"/>
  <c r="K66" i="7" s="1"/>
  <c r="K35" i="7"/>
  <c r="F49" i="7"/>
  <c r="F52" i="7" s="1"/>
  <c r="F66" i="7" s="1"/>
  <c r="F35" i="7"/>
  <c r="I49" i="7"/>
  <c r="I52" i="7" s="1"/>
  <c r="I66" i="7" s="1"/>
  <c r="I35" i="7"/>
  <c r="D49" i="7"/>
  <c r="D53" i="7" s="1"/>
  <c r="D67" i="7" s="1"/>
  <c r="D35" i="7"/>
  <c r="B16" i="16"/>
  <c r="F53" i="7" l="1"/>
  <c r="F67" i="7" s="1"/>
  <c r="H53" i="7"/>
  <c r="H67" i="7" s="1"/>
  <c r="N35" i="7"/>
  <c r="I33" i="13" s="1"/>
  <c r="J11" i="17" s="1"/>
  <c r="M21" i="17" s="1"/>
  <c r="C29" i="17"/>
  <c r="D52" i="7"/>
  <c r="D66" i="7" s="1"/>
  <c r="J52" i="7"/>
  <c r="J66" i="7" s="1"/>
  <c r="I53" i="7"/>
  <c r="I67" i="7" s="1"/>
  <c r="E52" i="7"/>
  <c r="E66" i="7" s="1"/>
  <c r="K53" i="7"/>
  <c r="K67" i="7" s="1"/>
  <c r="L53" i="7"/>
  <c r="L67" i="7" s="1"/>
  <c r="G53" i="7"/>
  <c r="G67" i="7" s="1"/>
  <c r="G52" i="7"/>
  <c r="G66" i="7" s="1"/>
  <c r="C46" i="7"/>
  <c r="C47" i="7"/>
  <c r="I14" i="13"/>
  <c r="I13" i="13"/>
  <c r="I12" i="13"/>
  <c r="I11" i="13"/>
  <c r="M3" i="17" l="1"/>
  <c r="M8" i="17"/>
  <c r="A1" i="16"/>
  <c r="B32" i="16" l="1"/>
  <c r="O8" i="16" l="1"/>
  <c r="R8" i="16"/>
  <c r="C40" i="7"/>
  <c r="C11" i="17" l="1"/>
  <c r="D24" i="13"/>
  <c r="C17" i="17" s="1"/>
  <c r="X6" i="13"/>
  <c r="C34" i="7"/>
  <c r="C33" i="7"/>
  <c r="P13" i="13"/>
  <c r="P12" i="13"/>
  <c r="O13" i="13"/>
  <c r="O12" i="13"/>
  <c r="D32" i="7"/>
  <c r="E32" i="7"/>
  <c r="F32" i="7"/>
  <c r="G32" i="7"/>
  <c r="H32" i="7"/>
  <c r="I32" i="7"/>
  <c r="J32" i="7"/>
  <c r="K32" i="7"/>
  <c r="L32" i="7"/>
  <c r="C24" i="13" s="1"/>
  <c r="D6" i="22" s="1"/>
  <c r="H6" i="22" s="1"/>
  <c r="J6" i="22" s="1"/>
  <c r="C32" i="7"/>
  <c r="F14" i="13"/>
  <c r="F13" i="13"/>
  <c r="F12" i="13"/>
  <c r="F11" i="13"/>
  <c r="E14" i="13"/>
  <c r="G14" i="13" s="1"/>
  <c r="I3" i="16" s="1"/>
  <c r="E13" i="13"/>
  <c r="I24" i="13" s="1"/>
  <c r="E12" i="13"/>
  <c r="E11" i="13"/>
  <c r="O91" i="7"/>
  <c r="P91" i="7"/>
  <c r="Q91" i="7"/>
  <c r="O92" i="7"/>
  <c r="P92" i="7"/>
  <c r="Q92" i="7"/>
  <c r="O93" i="7"/>
  <c r="P93" i="7"/>
  <c r="Q93" i="7"/>
  <c r="O119" i="7"/>
  <c r="P119" i="7"/>
  <c r="Q119" i="7"/>
  <c r="O120" i="7"/>
  <c r="P120" i="7"/>
  <c r="Q120" i="7"/>
  <c r="P63" i="7"/>
  <c r="P80" i="7" s="1"/>
  <c r="Q63" i="7"/>
  <c r="Q80" i="7" s="1"/>
  <c r="O63" i="7"/>
  <c r="O80" i="7" s="1"/>
  <c r="C60" i="7"/>
  <c r="C58" i="7"/>
  <c r="D60" i="7" s="1"/>
  <c r="C57" i="7"/>
  <c r="E104" i="7"/>
  <c r="F104" i="7"/>
  <c r="G104" i="7"/>
  <c r="H104" i="7"/>
  <c r="I104" i="7"/>
  <c r="J104" i="7"/>
  <c r="K104" i="7"/>
  <c r="L104" i="7"/>
  <c r="D104" i="7"/>
  <c r="E103" i="7"/>
  <c r="F103" i="7"/>
  <c r="G103" i="7"/>
  <c r="H103" i="7"/>
  <c r="I103" i="7"/>
  <c r="J103" i="7"/>
  <c r="K103" i="7"/>
  <c r="L103" i="7"/>
  <c r="D103" i="7"/>
  <c r="J24" i="17" l="1"/>
  <c r="D10" i="22"/>
  <c r="C16" i="17"/>
  <c r="D11" i="17"/>
  <c r="J24" i="13"/>
  <c r="G13" i="13"/>
  <c r="M57" i="7"/>
  <c r="M58" i="7"/>
  <c r="Y3" i="13"/>
  <c r="Y5" i="13"/>
  <c r="Y4" i="13"/>
  <c r="O5" i="13"/>
  <c r="O4" i="13"/>
  <c r="O3" i="13"/>
  <c r="O6" i="13"/>
  <c r="E24" i="13"/>
  <c r="C18" i="17" s="1"/>
  <c r="Y6" i="13"/>
  <c r="X4" i="13"/>
  <c r="X5" i="13"/>
  <c r="X7" i="13" s="1"/>
  <c r="X3" i="13"/>
  <c r="F10" i="17"/>
  <c r="P57" i="7"/>
  <c r="G11" i="13"/>
  <c r="G12" i="13"/>
  <c r="I4" i="16" s="1"/>
  <c r="K15" i="16" s="1"/>
  <c r="Q57" i="7"/>
  <c r="P58" i="7"/>
  <c r="O58" i="7"/>
  <c r="Q60" i="7"/>
  <c r="C59" i="7"/>
  <c r="Q58" i="7"/>
  <c r="O57" i="7"/>
  <c r="N103" i="7"/>
  <c r="N104" i="7"/>
  <c r="C22" i="17" l="1"/>
  <c r="D23" i="22"/>
  <c r="D11" i="22"/>
  <c r="H11" i="22" s="1"/>
  <c r="J11" i="22" s="1"/>
  <c r="B15" i="16"/>
  <c r="D15" i="16"/>
  <c r="F15" i="16"/>
  <c r="G15" i="16"/>
  <c r="E15" i="16"/>
  <c r="C15" i="16"/>
  <c r="H15" i="16"/>
  <c r="J15" i="16"/>
  <c r="I15" i="16"/>
  <c r="E33" i="13"/>
  <c r="J7" i="17" s="1"/>
  <c r="F33" i="13"/>
  <c r="J8" i="17" s="1"/>
  <c r="M60" i="7"/>
  <c r="Y7" i="13"/>
  <c r="M59" i="7"/>
  <c r="O7" i="13"/>
  <c r="P60" i="7"/>
  <c r="O60" i="7"/>
  <c r="C109" i="7"/>
  <c r="F6" i="17" l="1"/>
  <c r="Q109" i="7"/>
  <c r="O109" i="7"/>
  <c r="P109" i="7"/>
  <c r="D36" i="14" l="1"/>
  <c r="F43" i="14"/>
  <c r="D43" i="14"/>
  <c r="E51" i="14"/>
  <c r="F51" i="14" s="1"/>
  <c r="M6" i="15"/>
  <c r="E53" i="14" s="1"/>
  <c r="F53" i="14" s="1"/>
  <c r="M5" i="15"/>
  <c r="E57" i="14" s="1"/>
  <c r="F57" i="14" s="1"/>
  <c r="M4" i="15"/>
  <c r="E58" i="14" s="1"/>
  <c r="F58" i="14" s="1"/>
  <c r="M2" i="15"/>
  <c r="E52" i="14" s="1"/>
  <c r="F48" i="14"/>
  <c r="F46" i="14"/>
  <c r="F45" i="14"/>
  <c r="D62" i="14"/>
  <c r="D63" i="14"/>
  <c r="D61" i="14"/>
  <c r="D58" i="14"/>
  <c r="D57" i="14"/>
  <c r="D52" i="14"/>
  <c r="D53" i="14"/>
  <c r="D54" i="14"/>
  <c r="D51" i="14"/>
  <c r="D42" i="14"/>
  <c r="D44" i="14"/>
  <c r="D45" i="14"/>
  <c r="D46" i="14"/>
  <c r="D47" i="14"/>
  <c r="D48" i="14"/>
  <c r="G48" i="14" s="1"/>
  <c r="H48" i="14" s="1"/>
  <c r="D41" i="14"/>
  <c r="D31" i="14"/>
  <c r="D32" i="14"/>
  <c r="D33" i="14"/>
  <c r="D34" i="14"/>
  <c r="D35" i="14"/>
  <c r="D37" i="14"/>
  <c r="D38" i="14"/>
  <c r="D30" i="14"/>
  <c r="D19" i="14"/>
  <c r="D20" i="14"/>
  <c r="D21" i="14"/>
  <c r="D22" i="14"/>
  <c r="D23" i="14"/>
  <c r="D24" i="14"/>
  <c r="D25" i="14"/>
  <c r="D26" i="14"/>
  <c r="D27" i="14"/>
  <c r="D18" i="14"/>
  <c r="B8" i="14"/>
  <c r="B7" i="14"/>
  <c r="B6" i="14"/>
  <c r="B5" i="14"/>
  <c r="B4" i="14"/>
  <c r="B3" i="14"/>
  <c r="A8" i="14"/>
  <c r="A7" i="14"/>
  <c r="A6" i="14"/>
  <c r="A5" i="14"/>
  <c r="A4" i="14"/>
  <c r="A3" i="14"/>
  <c r="F63" i="14"/>
  <c r="F52" i="14"/>
  <c r="G52" i="14" s="1"/>
  <c r="H52" i="14" s="1"/>
  <c r="F54" i="14"/>
  <c r="F47" i="14"/>
  <c r="J60" i="14"/>
  <c r="J56" i="14"/>
  <c r="J50" i="14"/>
  <c r="J40" i="14"/>
  <c r="J29" i="14"/>
  <c r="J17" i="14"/>
  <c r="L18" i="1"/>
  <c r="C99" i="7"/>
  <c r="C42" i="13"/>
  <c r="C76" i="13" s="1"/>
  <c r="D42" i="13"/>
  <c r="D76" i="13" s="1"/>
  <c r="E42" i="13"/>
  <c r="E76" i="13" s="1"/>
  <c r="F42" i="13"/>
  <c r="F76" i="13" s="1"/>
  <c r="G42" i="13"/>
  <c r="G76" i="13" s="1"/>
  <c r="H42" i="13"/>
  <c r="H76" i="13" s="1"/>
  <c r="I42" i="13"/>
  <c r="I76" i="13" s="1"/>
  <c r="J42" i="13"/>
  <c r="J76" i="13" s="1"/>
  <c r="K42" i="13"/>
  <c r="K76" i="13" s="1"/>
  <c r="L42" i="13"/>
  <c r="L76" i="13" s="1"/>
  <c r="B42" i="13"/>
  <c r="B76" i="13" s="1"/>
  <c r="B37" i="12"/>
  <c r="A42" i="13"/>
  <c r="A17" i="13"/>
  <c r="G58" i="14" l="1"/>
  <c r="H58" i="14" s="1"/>
  <c r="G54" i="14"/>
  <c r="H54" i="14" s="1"/>
  <c r="G43" i="14"/>
  <c r="H43" i="14" s="1"/>
  <c r="G57" i="14"/>
  <c r="H57" i="14" s="1"/>
  <c r="B1" i="14"/>
  <c r="G53" i="14"/>
  <c r="H53" i="14" s="1"/>
  <c r="G45" i="14"/>
  <c r="H45" i="14" s="1"/>
  <c r="G51" i="14"/>
  <c r="H51" i="14" s="1"/>
  <c r="G46" i="14"/>
  <c r="H46" i="14" s="1"/>
  <c r="G47" i="14"/>
  <c r="H47" i="14" s="1"/>
  <c r="G63" i="14"/>
  <c r="H63" i="14" s="1"/>
  <c r="C59" i="12"/>
  <c r="B59" i="12"/>
  <c r="C58" i="12"/>
  <c r="B58" i="12"/>
  <c r="C48" i="12"/>
  <c r="B48" i="12"/>
  <c r="C46" i="12"/>
  <c r="C9" i="12" s="1"/>
  <c r="D9" i="12"/>
  <c r="E9" i="12"/>
  <c r="F9" i="12"/>
  <c r="G9" i="12"/>
  <c r="H9" i="12"/>
  <c r="I9" i="12"/>
  <c r="J9" i="12"/>
  <c r="K9" i="12"/>
  <c r="L9" i="12"/>
  <c r="C47" i="12"/>
  <c r="C10" i="12" s="1"/>
  <c r="D10" i="12"/>
  <c r="E10" i="12"/>
  <c r="G10" i="12"/>
  <c r="H10" i="12"/>
  <c r="I10" i="12"/>
  <c r="K10" i="12"/>
  <c r="L10" i="12"/>
  <c r="B47" i="12"/>
  <c r="B10" i="12" s="1"/>
  <c r="B46" i="12"/>
  <c r="B9" i="12" s="1"/>
  <c r="C44" i="12"/>
  <c r="C45" i="12"/>
  <c r="B45" i="12"/>
  <c r="B44" i="12"/>
  <c r="C54" i="12"/>
  <c r="C8" i="12" s="1"/>
  <c r="D8" i="12"/>
  <c r="E8" i="12"/>
  <c r="F8" i="12"/>
  <c r="G8" i="12"/>
  <c r="H8" i="12"/>
  <c r="I8" i="12"/>
  <c r="J8" i="12"/>
  <c r="K8" i="12"/>
  <c r="L8" i="12"/>
  <c r="B54" i="12"/>
  <c r="B8" i="12" s="1"/>
  <c r="C52" i="12"/>
  <c r="C7" i="12" s="1"/>
  <c r="D7" i="12"/>
  <c r="E7" i="12"/>
  <c r="F7" i="12"/>
  <c r="G7" i="12"/>
  <c r="H7" i="12"/>
  <c r="I7" i="12"/>
  <c r="J7" i="12"/>
  <c r="K7" i="12"/>
  <c r="L7" i="12"/>
  <c r="C53" i="12"/>
  <c r="C6" i="12" s="1"/>
  <c r="D6" i="12"/>
  <c r="E6" i="12"/>
  <c r="F6" i="12"/>
  <c r="G6" i="12"/>
  <c r="H6" i="12"/>
  <c r="I6" i="12"/>
  <c r="J6" i="12"/>
  <c r="K6" i="12"/>
  <c r="L6" i="12"/>
  <c r="B53" i="12"/>
  <c r="B6" i="12" s="1"/>
  <c r="B52" i="12"/>
  <c r="B7" i="12" s="1"/>
  <c r="C51" i="12"/>
  <c r="B51" i="12"/>
  <c r="C17" i="12"/>
  <c r="D17" i="12"/>
  <c r="E17" i="12"/>
  <c r="F17" i="12"/>
  <c r="G17" i="12"/>
  <c r="H17" i="12"/>
  <c r="I17" i="12"/>
  <c r="J17" i="12"/>
  <c r="K17" i="12"/>
  <c r="L17" i="12"/>
  <c r="C20" i="12"/>
  <c r="D20" i="12"/>
  <c r="E20" i="12"/>
  <c r="F20" i="12"/>
  <c r="G20" i="12"/>
  <c r="H20" i="12"/>
  <c r="I20" i="12"/>
  <c r="J20" i="12"/>
  <c r="K20" i="12"/>
  <c r="L20" i="12"/>
  <c r="C21" i="12"/>
  <c r="D21" i="12"/>
  <c r="E21" i="12"/>
  <c r="F21" i="12"/>
  <c r="G21" i="12"/>
  <c r="H21" i="12"/>
  <c r="I21" i="12"/>
  <c r="J21" i="12"/>
  <c r="K21" i="12"/>
  <c r="L21" i="12"/>
  <c r="B21" i="12"/>
  <c r="B20" i="12"/>
  <c r="B17" i="12"/>
  <c r="C28" i="12"/>
  <c r="D28" i="12"/>
  <c r="E28" i="12"/>
  <c r="F28" i="12"/>
  <c r="G28" i="12"/>
  <c r="H28" i="12"/>
  <c r="I28" i="12"/>
  <c r="J28" i="12"/>
  <c r="K28" i="12"/>
  <c r="L28" i="12"/>
  <c r="B28" i="12"/>
  <c r="C61" i="12"/>
  <c r="D61" i="12"/>
  <c r="E61" i="12"/>
  <c r="F61" i="12"/>
  <c r="G61" i="12"/>
  <c r="H61" i="12"/>
  <c r="I61" i="12"/>
  <c r="J61" i="12"/>
  <c r="K61" i="12"/>
  <c r="L61" i="12"/>
  <c r="B61" i="12"/>
  <c r="C50" i="12"/>
  <c r="B50" i="12"/>
  <c r="C49" i="12"/>
  <c r="C24" i="7" s="1"/>
  <c r="B49" i="12"/>
  <c r="C40" i="12"/>
  <c r="B40" i="12"/>
  <c r="C39" i="12"/>
  <c r="B39" i="12"/>
  <c r="C35" i="12"/>
  <c r="D35" i="12"/>
  <c r="E35" i="12"/>
  <c r="F35" i="12"/>
  <c r="G35" i="12"/>
  <c r="H35" i="12"/>
  <c r="I35" i="12"/>
  <c r="J35" i="12"/>
  <c r="K35" i="12"/>
  <c r="L35" i="12"/>
  <c r="B35" i="12"/>
  <c r="C33" i="12"/>
  <c r="D33" i="12"/>
  <c r="E33" i="12"/>
  <c r="F33" i="12"/>
  <c r="G33" i="12"/>
  <c r="H33" i="12"/>
  <c r="I33" i="12"/>
  <c r="J33" i="12"/>
  <c r="K33" i="12"/>
  <c r="L33" i="12"/>
  <c r="B33" i="12"/>
  <c r="C31" i="12"/>
  <c r="D31" i="12"/>
  <c r="E31" i="12"/>
  <c r="F31" i="12"/>
  <c r="G31" i="12"/>
  <c r="H31" i="12"/>
  <c r="I31" i="12"/>
  <c r="J31" i="12"/>
  <c r="K31" i="12"/>
  <c r="L31" i="12"/>
  <c r="B31" i="12"/>
  <c r="C29" i="12"/>
  <c r="D29" i="12"/>
  <c r="E29" i="12"/>
  <c r="F29" i="12"/>
  <c r="G29" i="12"/>
  <c r="H29" i="12"/>
  <c r="I29" i="12"/>
  <c r="J29" i="12"/>
  <c r="K29" i="12"/>
  <c r="L29" i="12"/>
  <c r="B29" i="12"/>
  <c r="C16" i="12"/>
  <c r="D16" i="12"/>
  <c r="E16" i="12"/>
  <c r="F16" i="12"/>
  <c r="G16" i="12"/>
  <c r="H16" i="12"/>
  <c r="I16" i="12"/>
  <c r="J16" i="12"/>
  <c r="K16" i="12"/>
  <c r="L16" i="12"/>
  <c r="B16" i="12"/>
  <c r="C15" i="12"/>
  <c r="C26" i="12" s="1"/>
  <c r="D15" i="12"/>
  <c r="D26" i="12" s="1"/>
  <c r="E15" i="12"/>
  <c r="E26" i="12" s="1"/>
  <c r="F15" i="12"/>
  <c r="F26" i="12" s="1"/>
  <c r="G15" i="12"/>
  <c r="G26" i="12" s="1"/>
  <c r="H15" i="12"/>
  <c r="H26" i="12" s="1"/>
  <c r="I15" i="12"/>
  <c r="I26" i="12" s="1"/>
  <c r="J15" i="12"/>
  <c r="J26" i="12" s="1"/>
  <c r="K15" i="12"/>
  <c r="K26" i="12" s="1"/>
  <c r="L15" i="12"/>
  <c r="L26" i="12" s="1"/>
  <c r="B15" i="12"/>
  <c r="B26" i="12" s="1"/>
  <c r="C25" i="12"/>
  <c r="D25" i="12"/>
  <c r="E25" i="12"/>
  <c r="F25" i="12"/>
  <c r="G25" i="12"/>
  <c r="H25" i="12"/>
  <c r="I25" i="12"/>
  <c r="J25" i="12"/>
  <c r="K25" i="12"/>
  <c r="L25" i="12"/>
  <c r="B25" i="12"/>
  <c r="L4" i="12"/>
  <c r="L14" i="12" s="1"/>
  <c r="L24" i="12" s="1"/>
  <c r="C4" i="12"/>
  <c r="C14" i="12" s="1"/>
  <c r="C24" i="12" s="1"/>
  <c r="D4" i="12"/>
  <c r="D14" i="12" s="1"/>
  <c r="D24" i="12" s="1"/>
  <c r="E4" i="12"/>
  <c r="E14" i="12" s="1"/>
  <c r="E24" i="12" s="1"/>
  <c r="F4" i="12"/>
  <c r="F14" i="12" s="1"/>
  <c r="F24" i="12" s="1"/>
  <c r="G4" i="12"/>
  <c r="G14" i="12" s="1"/>
  <c r="G24" i="12" s="1"/>
  <c r="H4" i="12"/>
  <c r="H14" i="12" s="1"/>
  <c r="H24" i="12" s="1"/>
  <c r="I4" i="12"/>
  <c r="I14" i="12" s="1"/>
  <c r="I24" i="12" s="1"/>
  <c r="J4" i="12"/>
  <c r="J14" i="12" s="1"/>
  <c r="J24" i="12" s="1"/>
  <c r="K4" i="12"/>
  <c r="K14" i="12" s="1"/>
  <c r="K24" i="12" s="1"/>
  <c r="B4" i="12"/>
  <c r="B14" i="12" s="1"/>
  <c r="B24" i="12" s="1"/>
  <c r="A1" i="12"/>
  <c r="A24" i="12"/>
  <c r="A4" i="12"/>
  <c r="A26" i="12"/>
  <c r="F20" i="13" l="1"/>
  <c r="F18" i="13"/>
  <c r="F19" i="13"/>
  <c r="D27" i="13" s="1"/>
  <c r="D30" i="22" s="1"/>
  <c r="H30" i="22" s="1"/>
  <c r="I50" i="14"/>
  <c r="C6" i="14" s="1"/>
  <c r="D6" i="14" s="1"/>
  <c r="I56" i="14"/>
  <c r="C7" i="14" s="1"/>
  <c r="D7" i="14" s="1"/>
  <c r="M39" i="12"/>
  <c r="E44" i="14" s="1"/>
  <c r="F44" i="14" s="1"/>
  <c r="G44" i="14" s="1"/>
  <c r="H44" i="14" s="1"/>
  <c r="M18" i="13"/>
  <c r="E26" i="14" s="1"/>
  <c r="F26" i="14" s="1"/>
  <c r="G26" i="14" s="1"/>
  <c r="H26" i="14" s="1"/>
  <c r="J60" i="13"/>
  <c r="F60" i="13"/>
  <c r="C79" i="13"/>
  <c r="B18" i="13"/>
  <c r="J57" i="12"/>
  <c r="F57" i="12"/>
  <c r="L54" i="13"/>
  <c r="H54" i="13"/>
  <c r="D54" i="13"/>
  <c r="I84" i="13"/>
  <c r="E84" i="13"/>
  <c r="B84" i="13"/>
  <c r="H79" i="13"/>
  <c r="D79" i="13"/>
  <c r="K54" i="13"/>
  <c r="G54" i="13"/>
  <c r="C54" i="13"/>
  <c r="L84" i="13"/>
  <c r="H84" i="13"/>
  <c r="D84" i="13"/>
  <c r="I43" i="13"/>
  <c r="E43" i="13"/>
  <c r="K79" i="13"/>
  <c r="G79" i="13"/>
  <c r="I66" i="13"/>
  <c r="I65" i="13"/>
  <c r="L79" i="13"/>
  <c r="J80" i="13"/>
  <c r="J51" i="13"/>
  <c r="J52" i="13" s="1"/>
  <c r="L53" i="13"/>
  <c r="L50" i="13"/>
  <c r="L81" i="13"/>
  <c r="D53" i="13"/>
  <c r="D50" i="13"/>
  <c r="D81" i="13"/>
  <c r="B66" i="13"/>
  <c r="B62" i="13"/>
  <c r="B65" i="13"/>
  <c r="E66" i="13"/>
  <c r="E65" i="13"/>
  <c r="F49" i="13"/>
  <c r="F80" i="13"/>
  <c r="F51" i="13"/>
  <c r="F52" i="13" s="1"/>
  <c r="B21" i="13"/>
  <c r="F8" i="16" s="1"/>
  <c r="B20" i="13"/>
  <c r="B19" i="13"/>
  <c r="I8" i="16" s="1"/>
  <c r="L65" i="13"/>
  <c r="L66" i="13"/>
  <c r="E60" i="13"/>
  <c r="E80" i="13"/>
  <c r="E51" i="13"/>
  <c r="E52" i="13" s="1"/>
  <c r="G53" i="13"/>
  <c r="G81" i="13"/>
  <c r="G50" i="13"/>
  <c r="K84" i="13"/>
  <c r="G84" i="13"/>
  <c r="K65" i="13"/>
  <c r="K66" i="13"/>
  <c r="G65" i="13"/>
  <c r="G66" i="13"/>
  <c r="C65" i="13"/>
  <c r="C66" i="13"/>
  <c r="J79" i="13"/>
  <c r="F79" i="13"/>
  <c r="L60" i="13"/>
  <c r="L6" i="13" s="1"/>
  <c r="H60" i="13"/>
  <c r="D60" i="13"/>
  <c r="L49" i="13"/>
  <c r="S6" i="13" s="1"/>
  <c r="H79" i="12"/>
  <c r="H49" i="13"/>
  <c r="D79" i="12"/>
  <c r="D49" i="13"/>
  <c r="L80" i="13"/>
  <c r="L51" i="13"/>
  <c r="T6" i="13" s="1"/>
  <c r="H51" i="13"/>
  <c r="H52" i="13" s="1"/>
  <c r="H80" i="13"/>
  <c r="D80" i="13"/>
  <c r="D51" i="13"/>
  <c r="D52" i="13" s="1"/>
  <c r="J81" i="13"/>
  <c r="J50" i="13"/>
  <c r="F81" i="13"/>
  <c r="F50" i="13"/>
  <c r="J84" i="13"/>
  <c r="F84" i="13"/>
  <c r="K43" i="13"/>
  <c r="G43" i="13"/>
  <c r="C43" i="13"/>
  <c r="M21" i="13"/>
  <c r="M19" i="13"/>
  <c r="M20" i="13"/>
  <c r="J49" i="13"/>
  <c r="H53" i="13"/>
  <c r="H81" i="13"/>
  <c r="H50" i="13"/>
  <c r="H83" i="12"/>
  <c r="H66" i="13"/>
  <c r="H65" i="13"/>
  <c r="D83" i="12"/>
  <c r="D65" i="13"/>
  <c r="D66" i="13"/>
  <c r="B60" i="13"/>
  <c r="I60" i="13"/>
  <c r="I49" i="13"/>
  <c r="E79" i="12"/>
  <c r="E49" i="13"/>
  <c r="I51" i="13"/>
  <c r="I52" i="13" s="1"/>
  <c r="I80" i="13"/>
  <c r="K53" i="13"/>
  <c r="K50" i="13"/>
  <c r="K81" i="13"/>
  <c r="C81" i="13"/>
  <c r="C53" i="13"/>
  <c r="C50" i="13"/>
  <c r="C84" i="13"/>
  <c r="L43" i="13"/>
  <c r="H43" i="13"/>
  <c r="D43" i="13"/>
  <c r="J65" i="13"/>
  <c r="J66" i="13"/>
  <c r="F65" i="13"/>
  <c r="F66" i="13"/>
  <c r="I79" i="13"/>
  <c r="E79" i="13"/>
  <c r="K60" i="13"/>
  <c r="G60" i="13"/>
  <c r="C60" i="13"/>
  <c r="K49" i="13"/>
  <c r="G49" i="13"/>
  <c r="C49" i="13"/>
  <c r="K80" i="13"/>
  <c r="K51" i="13"/>
  <c r="K52" i="13" s="1"/>
  <c r="G80" i="13"/>
  <c r="G51" i="13"/>
  <c r="C80" i="13"/>
  <c r="C51" i="13"/>
  <c r="I81" i="13"/>
  <c r="I50" i="13"/>
  <c r="I53" i="13"/>
  <c r="E81" i="13"/>
  <c r="E50" i="13"/>
  <c r="E53" i="13"/>
  <c r="I54" i="13"/>
  <c r="E54" i="13"/>
  <c r="J43" i="13"/>
  <c r="F43" i="13"/>
  <c r="F21" i="13"/>
  <c r="J79" i="12"/>
  <c r="L27" i="12"/>
  <c r="F79" i="12"/>
  <c r="I11" i="12"/>
  <c r="E11" i="12"/>
  <c r="K11" i="12"/>
  <c r="G11" i="12"/>
  <c r="C11" i="12"/>
  <c r="B11" i="12"/>
  <c r="I79" i="12"/>
  <c r="B57" i="12"/>
  <c r="I57" i="12"/>
  <c r="E57" i="12"/>
  <c r="J83" i="12"/>
  <c r="F83" i="12"/>
  <c r="L11" i="12"/>
  <c r="H11" i="12"/>
  <c r="D11" i="12"/>
  <c r="K79" i="12"/>
  <c r="G79" i="12"/>
  <c r="C79" i="12"/>
  <c r="K57" i="12"/>
  <c r="G57" i="12"/>
  <c r="C57" i="12"/>
  <c r="L57" i="12"/>
  <c r="H57" i="12"/>
  <c r="D57" i="12"/>
  <c r="J10" i="12"/>
  <c r="J11" i="12" s="1"/>
  <c r="F10" i="12"/>
  <c r="F11" i="12" s="1"/>
  <c r="K83" i="12"/>
  <c r="G83" i="12"/>
  <c r="C83" i="12"/>
  <c r="I83" i="12"/>
  <c r="E83" i="12"/>
  <c r="H56" i="12"/>
  <c r="H64" i="13" s="1"/>
  <c r="D56" i="12"/>
  <c r="D64" i="13" s="1"/>
  <c r="K30" i="12"/>
  <c r="G30" i="12"/>
  <c r="C30" i="12"/>
  <c r="C32" i="12" s="1"/>
  <c r="C34" i="12" s="1"/>
  <c r="C45" i="13" s="1"/>
  <c r="B30" i="12"/>
  <c r="I30" i="12"/>
  <c r="I32" i="12" s="1"/>
  <c r="E30" i="12"/>
  <c r="L30" i="12"/>
  <c r="D18" i="13" s="1"/>
  <c r="D30" i="12"/>
  <c r="H30" i="12"/>
  <c r="E56" i="12"/>
  <c r="E64" i="13" s="1"/>
  <c r="L23" i="12"/>
  <c r="H23" i="12"/>
  <c r="D23" i="12"/>
  <c r="F47" i="13"/>
  <c r="J23" i="12"/>
  <c r="F23" i="12"/>
  <c r="C23" i="12"/>
  <c r="I23" i="12"/>
  <c r="E23" i="12"/>
  <c r="H62" i="12"/>
  <c r="D62" i="12"/>
  <c r="K23" i="12"/>
  <c r="G23" i="12"/>
  <c r="K27" i="12"/>
  <c r="K59" i="13" s="1"/>
  <c r="J30" i="12"/>
  <c r="F30" i="12"/>
  <c r="I56" i="12"/>
  <c r="I64" i="13" s="1"/>
  <c r="G27" i="12"/>
  <c r="G59" i="13" s="1"/>
  <c r="C27" i="12"/>
  <c r="C59" i="13" s="1"/>
  <c r="D27" i="12"/>
  <c r="D59" i="13" s="1"/>
  <c r="C41" i="12"/>
  <c r="K47" i="13"/>
  <c r="E27" i="12"/>
  <c r="E59" i="13" s="1"/>
  <c r="I27" i="12"/>
  <c r="I59" i="13" s="1"/>
  <c r="B27" i="12"/>
  <c r="B59" i="13" s="1"/>
  <c r="F27" i="12"/>
  <c r="F59" i="13" s="1"/>
  <c r="J27" i="12"/>
  <c r="J59" i="13" s="1"/>
  <c r="H27" i="12"/>
  <c r="H59" i="13" s="1"/>
  <c r="G47" i="13"/>
  <c r="B41" i="12"/>
  <c r="B56" i="12" s="1"/>
  <c r="B64" i="13" s="1"/>
  <c r="J47" i="13"/>
  <c r="B13" i="11"/>
  <c r="B18" i="10"/>
  <c r="B27" i="2"/>
  <c r="C27" i="2"/>
  <c r="A27" i="2"/>
  <c r="C25" i="9"/>
  <c r="C24" i="9"/>
  <c r="C23" i="9"/>
  <c r="C22" i="9"/>
  <c r="C21" i="9"/>
  <c r="C20" i="9"/>
  <c r="C19" i="9"/>
  <c r="C18" i="9"/>
  <c r="C17" i="9"/>
  <c r="C16" i="9"/>
  <c r="H25" i="22" l="1"/>
  <c r="J30" i="22"/>
  <c r="J25" i="22" s="1"/>
  <c r="E7" i="17" s="1"/>
  <c r="I34" i="12"/>
  <c r="I57" i="13" s="1"/>
  <c r="I63" i="12"/>
  <c r="I64" i="12" s="1"/>
  <c r="B7" i="16"/>
  <c r="J20" i="17"/>
  <c r="A27" i="13"/>
  <c r="D4" i="22" s="1"/>
  <c r="H4" i="22" s="1"/>
  <c r="A33" i="13"/>
  <c r="J3" i="17" s="1"/>
  <c r="G52" i="13"/>
  <c r="T5" i="13"/>
  <c r="T7" i="13" s="1"/>
  <c r="T4" i="13"/>
  <c r="T3" i="13"/>
  <c r="L4" i="13"/>
  <c r="L3" i="13"/>
  <c r="L5" i="13"/>
  <c r="L7" i="13" s="1"/>
  <c r="S5" i="13"/>
  <c r="S7" i="13" s="1"/>
  <c r="S4" i="13"/>
  <c r="S3" i="13"/>
  <c r="C47" i="13"/>
  <c r="B11" i="13"/>
  <c r="R6" i="13"/>
  <c r="R7" i="13" s="1"/>
  <c r="H24" i="13"/>
  <c r="D9" i="22" s="1"/>
  <c r="H9" i="22" s="1"/>
  <c r="J9" i="22" s="1"/>
  <c r="E18" i="14"/>
  <c r="F18" i="14" s="1"/>
  <c r="G18" i="14" s="1"/>
  <c r="H18" i="14" s="1"/>
  <c r="C52" i="13"/>
  <c r="M43" i="13"/>
  <c r="M54" i="13"/>
  <c r="M49" i="13"/>
  <c r="E25" i="14" s="1"/>
  <c r="F25" i="14" s="1"/>
  <c r="G25" i="14" s="1"/>
  <c r="H25" i="14" s="1"/>
  <c r="M51" i="13"/>
  <c r="M50" i="13"/>
  <c r="M53" i="13"/>
  <c r="O18" i="13"/>
  <c r="C18" i="13"/>
  <c r="M79" i="13"/>
  <c r="E47" i="13"/>
  <c r="C78" i="13"/>
  <c r="E37" i="14"/>
  <c r="F37" i="14" s="1"/>
  <c r="G37" i="14" s="1"/>
  <c r="H37" i="14" s="1"/>
  <c r="B99" i="13"/>
  <c r="G62" i="12"/>
  <c r="G55" i="13" s="1"/>
  <c r="G82" i="13"/>
  <c r="H62" i="13"/>
  <c r="F62" i="12"/>
  <c r="F55" i="13" s="1"/>
  <c r="F82" i="13"/>
  <c r="B94" i="13"/>
  <c r="H55" i="13"/>
  <c r="H82" i="13"/>
  <c r="B95" i="13"/>
  <c r="I69" i="13"/>
  <c r="I85" i="13"/>
  <c r="I48" i="13"/>
  <c r="K69" i="13"/>
  <c r="K48" i="13"/>
  <c r="C46" i="13"/>
  <c r="E35" i="14"/>
  <c r="F35" i="14" s="1"/>
  <c r="G35" i="14" s="1"/>
  <c r="H35" i="14" s="1"/>
  <c r="J54" i="13"/>
  <c r="R4" i="13" s="1"/>
  <c r="H47" i="13"/>
  <c r="F53" i="13"/>
  <c r="B100" i="13"/>
  <c r="F48" i="13"/>
  <c r="F69" i="13"/>
  <c r="K62" i="12"/>
  <c r="K55" i="13" s="1"/>
  <c r="K82" i="13"/>
  <c r="E62" i="12"/>
  <c r="E55" i="13" s="1"/>
  <c r="E82" i="13"/>
  <c r="J62" i="12"/>
  <c r="J82" i="13"/>
  <c r="B96" i="13"/>
  <c r="L62" i="12"/>
  <c r="L82" i="13"/>
  <c r="D69" i="13"/>
  <c r="D48" i="13"/>
  <c r="D85" i="13"/>
  <c r="B32" i="12"/>
  <c r="B34" i="12" s="1"/>
  <c r="B69" i="13"/>
  <c r="B85" i="13"/>
  <c r="L52" i="13"/>
  <c r="J69" i="13"/>
  <c r="J48" i="13"/>
  <c r="C67" i="12"/>
  <c r="C80" i="12" s="1"/>
  <c r="C61" i="13"/>
  <c r="I62" i="12"/>
  <c r="I55" i="13" s="1"/>
  <c r="I82" i="13"/>
  <c r="L69" i="13"/>
  <c r="D21" i="13"/>
  <c r="D19" i="13"/>
  <c r="D20" i="13"/>
  <c r="L48" i="13"/>
  <c r="F24" i="13" s="1"/>
  <c r="D7" i="22" s="1"/>
  <c r="H7" i="22" s="1"/>
  <c r="J7" i="22" s="1"/>
  <c r="C69" i="13"/>
  <c r="C48" i="13"/>
  <c r="L56" i="12"/>
  <c r="L64" i="13" s="1"/>
  <c r="O21" i="13"/>
  <c r="O20" i="13"/>
  <c r="O19" i="13"/>
  <c r="L59" i="13"/>
  <c r="C21" i="13"/>
  <c r="C20" i="13"/>
  <c r="C19" i="13"/>
  <c r="C44" i="13"/>
  <c r="I78" i="13"/>
  <c r="I47" i="13"/>
  <c r="D47" i="13"/>
  <c r="L47" i="13"/>
  <c r="G24" i="13" s="1"/>
  <c r="D8" i="22" s="1"/>
  <c r="H8" i="22" s="1"/>
  <c r="J8" i="22" s="1"/>
  <c r="J53" i="13"/>
  <c r="D62" i="13"/>
  <c r="C62" i="12"/>
  <c r="C55" i="13" s="1"/>
  <c r="B97" i="13"/>
  <c r="B93" i="13"/>
  <c r="C82" i="13"/>
  <c r="D82" i="13"/>
  <c r="D55" i="13"/>
  <c r="H69" i="13"/>
  <c r="H85" i="13"/>
  <c r="H48" i="13"/>
  <c r="E69" i="13"/>
  <c r="E48" i="13"/>
  <c r="E85" i="13"/>
  <c r="G48" i="13"/>
  <c r="G69" i="13"/>
  <c r="C83" i="13"/>
  <c r="F54" i="13"/>
  <c r="C57" i="13"/>
  <c r="B14" i="13"/>
  <c r="B12" i="13"/>
  <c r="B13" i="13"/>
  <c r="I81" i="12"/>
  <c r="J56" i="12"/>
  <c r="J85" i="13" s="1"/>
  <c r="K56" i="12"/>
  <c r="K64" i="13" s="1"/>
  <c r="J32" i="12"/>
  <c r="J81" i="12"/>
  <c r="F56" i="12"/>
  <c r="F64" i="13" s="1"/>
  <c r="L32" i="12"/>
  <c r="C81" i="12"/>
  <c r="K32" i="12"/>
  <c r="K81" i="12"/>
  <c r="F32" i="12"/>
  <c r="F81" i="12"/>
  <c r="D32" i="12"/>
  <c r="D81" i="12"/>
  <c r="G56" i="12"/>
  <c r="G85" i="13" s="1"/>
  <c r="C56" i="12"/>
  <c r="C64" i="13" s="1"/>
  <c r="H32" i="12"/>
  <c r="H81" i="12"/>
  <c r="E32" i="12"/>
  <c r="E81" i="12"/>
  <c r="G32" i="12"/>
  <c r="G81" i="12"/>
  <c r="C63" i="12"/>
  <c r="C64" i="12" s="1"/>
  <c r="J4" i="22" l="1"/>
  <c r="E17" i="16"/>
  <c r="E19" i="16" s="1"/>
  <c r="E20" i="16" s="1"/>
  <c r="I17" i="16"/>
  <c r="I19" i="16" s="1"/>
  <c r="I20" i="16" s="1"/>
  <c r="F17" i="16"/>
  <c r="F19" i="16" s="1"/>
  <c r="F20" i="16" s="1"/>
  <c r="J17" i="16"/>
  <c r="J19" i="16" s="1"/>
  <c r="J20" i="16" s="1"/>
  <c r="C17" i="16"/>
  <c r="C19" i="16" s="1"/>
  <c r="C20" i="16" s="1"/>
  <c r="G17" i="16"/>
  <c r="G19" i="16" s="1"/>
  <c r="G20" i="16" s="1"/>
  <c r="K17" i="16"/>
  <c r="K19" i="16" s="1"/>
  <c r="K20" i="16" s="1"/>
  <c r="D17" i="16"/>
  <c r="D19" i="16" s="1"/>
  <c r="D20" i="16" s="1"/>
  <c r="H17" i="16"/>
  <c r="H19" i="16" s="1"/>
  <c r="H20" i="16" s="1"/>
  <c r="B17" i="16"/>
  <c r="B19" i="16" s="1"/>
  <c r="B20" i="16" s="1"/>
  <c r="B21" i="16" s="1"/>
  <c r="F7" i="17"/>
  <c r="I83" i="13"/>
  <c r="I61" i="13"/>
  <c r="I67" i="13" s="1"/>
  <c r="I45" i="13"/>
  <c r="I67" i="12"/>
  <c r="I80" i="12" s="1"/>
  <c r="I44" i="13"/>
  <c r="I46" i="13"/>
  <c r="C21" i="17"/>
  <c r="C20" i="17"/>
  <c r="C19" i="17"/>
  <c r="F14" i="17"/>
  <c r="Q3" i="13"/>
  <c r="Q5" i="13"/>
  <c r="R5" i="13"/>
  <c r="Q4" i="13"/>
  <c r="R3" i="13"/>
  <c r="M52" i="13"/>
  <c r="M47" i="13"/>
  <c r="Q6" i="13"/>
  <c r="M48" i="13"/>
  <c r="B67" i="12"/>
  <c r="B61" i="13"/>
  <c r="B83" i="13"/>
  <c r="C68" i="13"/>
  <c r="C67" i="13"/>
  <c r="L62" i="13"/>
  <c r="N20" i="13"/>
  <c r="N21" i="13"/>
  <c r="N18" i="13"/>
  <c r="E27" i="14" s="1"/>
  <c r="F27" i="14" s="1"/>
  <c r="G27" i="14" s="1"/>
  <c r="H27" i="14" s="1"/>
  <c r="N19" i="13"/>
  <c r="J62" i="13"/>
  <c r="D63" i="12"/>
  <c r="D64" i="12" s="1"/>
  <c r="D71" i="13" s="1"/>
  <c r="D78" i="13"/>
  <c r="D70" i="13" s="1"/>
  <c r="D87" i="13" s="1"/>
  <c r="D88" i="13" s="1"/>
  <c r="K34" i="12"/>
  <c r="K56" i="13" s="1"/>
  <c r="K78" i="13"/>
  <c r="L34" i="12"/>
  <c r="E18" i="13" s="1"/>
  <c r="L78" i="13"/>
  <c r="J34" i="12"/>
  <c r="J78" i="13"/>
  <c r="J70" i="13" s="1"/>
  <c r="B105" i="13"/>
  <c r="J64" i="13"/>
  <c r="C85" i="13"/>
  <c r="C70" i="13" s="1"/>
  <c r="F85" i="13"/>
  <c r="K85" i="13"/>
  <c r="F62" i="13"/>
  <c r="C56" i="13"/>
  <c r="C62" i="13"/>
  <c r="B63" i="12"/>
  <c r="B64" i="12" s="1"/>
  <c r="C71" i="13" s="1"/>
  <c r="B78" i="13"/>
  <c r="B70" i="13" s="1"/>
  <c r="B87" i="13" s="1"/>
  <c r="B88" i="13" s="1"/>
  <c r="K62" i="13"/>
  <c r="E34" i="12"/>
  <c r="E56" i="13" s="1"/>
  <c r="E78" i="13"/>
  <c r="E70" i="13" s="1"/>
  <c r="E87" i="13" s="1"/>
  <c r="E88" i="13" s="1"/>
  <c r="G63" i="12"/>
  <c r="G64" i="12" s="1"/>
  <c r="G78" i="13"/>
  <c r="G70" i="13" s="1"/>
  <c r="G87" i="13" s="1"/>
  <c r="G88" i="13" s="1"/>
  <c r="H63" i="12"/>
  <c r="H64" i="12" s="1"/>
  <c r="I71" i="13" s="1"/>
  <c r="H78" i="13"/>
  <c r="H70" i="13" s="1"/>
  <c r="B106" i="13"/>
  <c r="G64" i="13"/>
  <c r="F63" i="12"/>
  <c r="F64" i="12" s="1"/>
  <c r="F78" i="13"/>
  <c r="E30" i="14"/>
  <c r="F30" i="14" s="1"/>
  <c r="G30" i="14" s="1"/>
  <c r="L85" i="13"/>
  <c r="I62" i="13"/>
  <c r="I56" i="13"/>
  <c r="L55" i="13"/>
  <c r="M55" i="13" s="1"/>
  <c r="J55" i="13"/>
  <c r="E62" i="13"/>
  <c r="I70" i="13"/>
  <c r="I87" i="13" s="1"/>
  <c r="I88" i="13" s="1"/>
  <c r="G62" i="13"/>
  <c r="E63" i="12"/>
  <c r="E64" i="12" s="1"/>
  <c r="K63" i="12"/>
  <c r="K64" i="12" s="1"/>
  <c r="D34" i="12"/>
  <c r="L63" i="12"/>
  <c r="L64" i="12" s="1"/>
  <c r="L74" i="13" s="1"/>
  <c r="F34" i="12"/>
  <c r="G34" i="12"/>
  <c r="H34" i="12"/>
  <c r="J63" i="12"/>
  <c r="J64" i="12" s="1"/>
  <c r="Q7" i="13" l="1"/>
  <c r="L33" i="13"/>
  <c r="J14" i="17" s="1"/>
  <c r="M22" i="17" s="1"/>
  <c r="C16" i="16"/>
  <c r="C21" i="16" s="1"/>
  <c r="B24" i="16"/>
  <c r="B36" i="16" s="1"/>
  <c r="I68" i="13"/>
  <c r="H18" i="13"/>
  <c r="I30" i="13"/>
  <c r="C26" i="17" s="1"/>
  <c r="H87" i="13"/>
  <c r="C87" i="13"/>
  <c r="I73" i="13"/>
  <c r="L70" i="13"/>
  <c r="K70" i="13"/>
  <c r="K87" i="13" s="1"/>
  <c r="K88" i="13" s="1"/>
  <c r="J87" i="13"/>
  <c r="G73" i="13"/>
  <c r="G72" i="13"/>
  <c r="G71" i="13"/>
  <c r="B67" i="13"/>
  <c r="B68" i="13"/>
  <c r="H67" i="12"/>
  <c r="H80" i="12" s="1"/>
  <c r="H61" i="13"/>
  <c r="H44" i="13"/>
  <c r="H83" i="13"/>
  <c r="H45" i="13"/>
  <c r="H46" i="13"/>
  <c r="H57" i="13"/>
  <c r="H56" i="13"/>
  <c r="K73" i="13"/>
  <c r="K72" i="13"/>
  <c r="K71" i="13"/>
  <c r="F67" i="12"/>
  <c r="F80" i="12" s="1"/>
  <c r="F61" i="13"/>
  <c r="F45" i="13"/>
  <c r="F83" i="13"/>
  <c r="F57" i="13"/>
  <c r="F44" i="13"/>
  <c r="F46" i="13"/>
  <c r="E71" i="13"/>
  <c r="E72" i="13"/>
  <c r="B101" i="13"/>
  <c r="B102" i="13"/>
  <c r="J67" i="12"/>
  <c r="J80" i="12" s="1"/>
  <c r="J61" i="13"/>
  <c r="J44" i="13"/>
  <c r="J57" i="13"/>
  <c r="J45" i="13"/>
  <c r="J46" i="13"/>
  <c r="J83" i="13"/>
  <c r="K67" i="12"/>
  <c r="K80" i="12" s="1"/>
  <c r="K61" i="13"/>
  <c r="K83" i="13"/>
  <c r="K45" i="13"/>
  <c r="K44" i="13"/>
  <c r="K46" i="13"/>
  <c r="K57" i="13"/>
  <c r="J56" i="13"/>
  <c r="D67" i="12"/>
  <c r="D80" i="12" s="1"/>
  <c r="D61" i="13"/>
  <c r="D44" i="13"/>
  <c r="D57" i="13"/>
  <c r="D83" i="13"/>
  <c r="D45" i="13"/>
  <c r="D46" i="13"/>
  <c r="D56" i="13"/>
  <c r="G67" i="12"/>
  <c r="G80" i="12" s="1"/>
  <c r="G61" i="13"/>
  <c r="G45" i="13"/>
  <c r="G83" i="13"/>
  <c r="G46" i="13"/>
  <c r="G57" i="13"/>
  <c r="G44" i="13"/>
  <c r="G56" i="13"/>
  <c r="J73" i="13"/>
  <c r="J72" i="13"/>
  <c r="J71" i="13"/>
  <c r="L72" i="13"/>
  <c r="L71" i="13"/>
  <c r="L73" i="13"/>
  <c r="H19" i="13" s="1"/>
  <c r="I27" i="13" s="1"/>
  <c r="J28" i="17" s="1"/>
  <c r="E34" i="14"/>
  <c r="F34" i="14" s="1"/>
  <c r="G34" i="14" s="1"/>
  <c r="H34" i="14" s="1"/>
  <c r="F71" i="13"/>
  <c r="F72" i="13"/>
  <c r="H73" i="13"/>
  <c r="H72" i="13"/>
  <c r="H71" i="13"/>
  <c r="E67" i="12"/>
  <c r="E80" i="12" s="1"/>
  <c r="E61" i="13"/>
  <c r="E83" i="13"/>
  <c r="E45" i="13"/>
  <c r="E46" i="13"/>
  <c r="E44" i="13"/>
  <c r="E57" i="13"/>
  <c r="I72" i="13"/>
  <c r="F56" i="13"/>
  <c r="H30" i="14"/>
  <c r="F70" i="13"/>
  <c r="F87" i="13" s="1"/>
  <c r="F88" i="13" s="1"/>
  <c r="L67" i="12"/>
  <c r="E19" i="14"/>
  <c r="F19" i="14" s="1"/>
  <c r="G19" i="14" s="1"/>
  <c r="L61" i="13"/>
  <c r="E20" i="13"/>
  <c r="E21" i="13"/>
  <c r="O33" i="13" s="1"/>
  <c r="J17" i="17" s="1"/>
  <c r="E19" i="13"/>
  <c r="L45" i="13"/>
  <c r="M45" i="13" s="1"/>
  <c r="L46" i="13"/>
  <c r="M46" i="13" s="1"/>
  <c r="L44" i="13"/>
  <c r="M44" i="13" s="1"/>
  <c r="L57" i="13"/>
  <c r="M57" i="13" s="1"/>
  <c r="L83" i="13"/>
  <c r="L56" i="13"/>
  <c r="M56" i="13" s="1"/>
  <c r="B18" i="1"/>
  <c r="B15" i="1"/>
  <c r="B12" i="1"/>
  <c r="B13" i="1" s="1"/>
  <c r="B11" i="1"/>
  <c r="B10" i="1"/>
  <c r="B9" i="1"/>
  <c r="B8" i="1"/>
  <c r="B7" i="1"/>
  <c r="B5" i="1"/>
  <c r="B4" i="1"/>
  <c r="L36" i="12"/>
  <c r="L77" i="12" s="1"/>
  <c r="G6" i="13" s="1"/>
  <c r="K36" i="12"/>
  <c r="K77" i="12" s="1"/>
  <c r="J36" i="12"/>
  <c r="J77" i="12" s="1"/>
  <c r="I36" i="12"/>
  <c r="I77" i="12" s="1"/>
  <c r="H36" i="12"/>
  <c r="H77" i="12" s="1"/>
  <c r="G36" i="12"/>
  <c r="G77" i="12" s="1"/>
  <c r="F36" i="12"/>
  <c r="F77" i="12" s="1"/>
  <c r="E36" i="12"/>
  <c r="E77" i="12" s="1"/>
  <c r="D36" i="12"/>
  <c r="D77" i="12" s="1"/>
  <c r="C36" i="12"/>
  <c r="C77" i="12" s="1"/>
  <c r="B25" i="16" l="1"/>
  <c r="G36" i="16" s="1"/>
  <c r="D16" i="16"/>
  <c r="D21" i="16" s="1"/>
  <c r="C24" i="16"/>
  <c r="B37" i="16" s="1"/>
  <c r="B33" i="13"/>
  <c r="J4" i="17" s="1"/>
  <c r="B27" i="13"/>
  <c r="D22" i="22" s="1"/>
  <c r="G18" i="13"/>
  <c r="L87" i="13"/>
  <c r="J19" i="13" s="1"/>
  <c r="K27" i="13" s="1"/>
  <c r="F21" i="17" s="1"/>
  <c r="M12" i="17" s="1"/>
  <c r="G21" i="13"/>
  <c r="C88" i="13"/>
  <c r="G19" i="13"/>
  <c r="H27" i="13" s="1"/>
  <c r="F20" i="17" s="1"/>
  <c r="M13" i="17" s="1"/>
  <c r="J88" i="13"/>
  <c r="G20" i="13"/>
  <c r="H88" i="13"/>
  <c r="G4" i="13"/>
  <c r="G3" i="13"/>
  <c r="B104" i="13"/>
  <c r="F75" i="12"/>
  <c r="F82" i="12"/>
  <c r="F71" i="12"/>
  <c r="F73" i="12"/>
  <c r="F74" i="12"/>
  <c r="F72" i="12"/>
  <c r="F76" i="12"/>
  <c r="G75" i="12"/>
  <c r="G74" i="12"/>
  <c r="G82" i="12"/>
  <c r="G72" i="12"/>
  <c r="G71" i="12"/>
  <c r="G73" i="12"/>
  <c r="G76" i="12"/>
  <c r="D75" i="12"/>
  <c r="D74" i="12"/>
  <c r="D82" i="12"/>
  <c r="D72" i="12"/>
  <c r="D71" i="12"/>
  <c r="D73" i="12"/>
  <c r="D76" i="12"/>
  <c r="H75" i="12"/>
  <c r="H71" i="12"/>
  <c r="H73" i="12"/>
  <c r="H74" i="12"/>
  <c r="H82" i="12"/>
  <c r="H72" i="12"/>
  <c r="H76" i="12"/>
  <c r="L75" i="12"/>
  <c r="D6" i="13" s="1"/>
  <c r="C12" i="13"/>
  <c r="C14" i="13"/>
  <c r="C11" i="13"/>
  <c r="C13" i="13"/>
  <c r="L74" i="12"/>
  <c r="E6" i="13" s="1"/>
  <c r="L82" i="12"/>
  <c r="L72" i="12"/>
  <c r="L71" i="12"/>
  <c r="C6" i="13" s="1"/>
  <c r="L73" i="12"/>
  <c r="L76" i="12"/>
  <c r="F6" i="13" s="1"/>
  <c r="F30" i="13" s="1"/>
  <c r="D18" i="22" s="1"/>
  <c r="H18" i="22" s="1"/>
  <c r="J18" i="22" s="1"/>
  <c r="J75" i="12"/>
  <c r="J74" i="12"/>
  <c r="J72" i="12"/>
  <c r="J71" i="12"/>
  <c r="J73" i="12"/>
  <c r="J82" i="12"/>
  <c r="J76" i="12"/>
  <c r="C75" i="12"/>
  <c r="C71" i="12"/>
  <c r="C73" i="12"/>
  <c r="C74" i="12"/>
  <c r="C82" i="12"/>
  <c r="C72" i="12"/>
  <c r="C76" i="12"/>
  <c r="K75" i="12"/>
  <c r="K74" i="12"/>
  <c r="K82" i="12"/>
  <c r="K72" i="12"/>
  <c r="K71" i="12"/>
  <c r="K73" i="12"/>
  <c r="K76" i="12"/>
  <c r="E75" i="12"/>
  <c r="E71" i="12"/>
  <c r="E73" i="12"/>
  <c r="E74" i="12"/>
  <c r="E82" i="12"/>
  <c r="E72" i="12"/>
  <c r="E76" i="12"/>
  <c r="I75" i="12"/>
  <c r="I71" i="12"/>
  <c r="I73" i="12"/>
  <c r="I72" i="12"/>
  <c r="I74" i="12"/>
  <c r="I82" i="12"/>
  <c r="I76" i="12"/>
  <c r="B103" i="13"/>
  <c r="M83" i="13"/>
  <c r="E42" i="14" s="1"/>
  <c r="F42" i="14" s="1"/>
  <c r="G42" i="14" s="1"/>
  <c r="H42" i="14" s="1"/>
  <c r="L89" i="13"/>
  <c r="L66" i="12"/>
  <c r="B3" i="11"/>
  <c r="B5" i="11" s="1"/>
  <c r="L67" i="13"/>
  <c r="L68" i="13"/>
  <c r="E32" i="14"/>
  <c r="F32" i="14" s="1"/>
  <c r="G32" i="14" s="1"/>
  <c r="H32" i="14" s="1"/>
  <c r="D89" i="13"/>
  <c r="D66" i="12"/>
  <c r="H19" i="14"/>
  <c r="E33" i="14"/>
  <c r="F33" i="14" s="1"/>
  <c r="G33" i="14" s="1"/>
  <c r="H33" i="14" s="1"/>
  <c r="E41" i="14"/>
  <c r="F41" i="14" s="1"/>
  <c r="G41" i="14" s="1"/>
  <c r="E89" i="13"/>
  <c r="E66" i="12"/>
  <c r="I89" i="13"/>
  <c r="I66" i="12"/>
  <c r="F89" i="13"/>
  <c r="F66" i="12"/>
  <c r="J89" i="13"/>
  <c r="J66" i="12"/>
  <c r="B6" i="1"/>
  <c r="B19" i="1" s="1"/>
  <c r="E67" i="13"/>
  <c r="E68" i="13"/>
  <c r="J67" i="13"/>
  <c r="E38" i="14"/>
  <c r="F38" i="14" s="1"/>
  <c r="G38" i="14" s="1"/>
  <c r="H38" i="14" s="1"/>
  <c r="J68" i="13"/>
  <c r="H67" i="13"/>
  <c r="H68" i="13"/>
  <c r="H89" i="13"/>
  <c r="H66" i="12"/>
  <c r="C89" i="13"/>
  <c r="C66" i="12"/>
  <c r="G89" i="13"/>
  <c r="G66" i="12"/>
  <c r="K89" i="13"/>
  <c r="K90" i="13" s="1"/>
  <c r="K91" i="13" s="1"/>
  <c r="K66" i="12"/>
  <c r="G68" i="13"/>
  <c r="G67" i="13"/>
  <c r="D67" i="13"/>
  <c r="D68" i="13"/>
  <c r="K67" i="13"/>
  <c r="K68" i="13"/>
  <c r="F67" i="13"/>
  <c r="F68" i="13"/>
  <c r="C84" i="7"/>
  <c r="C83" i="7"/>
  <c r="O11" i="13"/>
  <c r="N40" i="7"/>
  <c r="P11" i="13"/>
  <c r="H30" i="13" l="1"/>
  <c r="C25" i="17" s="1"/>
  <c r="H33" i="13"/>
  <c r="J10" i="17" s="1"/>
  <c r="C37" i="16"/>
  <c r="C25" i="16"/>
  <c r="G37" i="16" s="1"/>
  <c r="C26" i="16"/>
  <c r="E16" i="16"/>
  <c r="E21" i="16" s="1"/>
  <c r="D24" i="16"/>
  <c r="B38" i="16" s="1"/>
  <c r="J23" i="17"/>
  <c r="F15" i="17"/>
  <c r="K21" i="13"/>
  <c r="J20" i="13"/>
  <c r="K19" i="13"/>
  <c r="L88" i="13"/>
  <c r="B107" i="13" s="1"/>
  <c r="K18" i="13"/>
  <c r="K20" i="13"/>
  <c r="I20" i="13"/>
  <c r="I18" i="13"/>
  <c r="J21" i="13"/>
  <c r="I21" i="13"/>
  <c r="I19" i="13"/>
  <c r="J27" i="13" s="1"/>
  <c r="J29" i="17" s="1"/>
  <c r="J18" i="13"/>
  <c r="F5" i="13"/>
  <c r="F4" i="13"/>
  <c r="F3" i="13"/>
  <c r="E4" i="13"/>
  <c r="E3" i="13"/>
  <c r="E5" i="13"/>
  <c r="E7" i="13" s="1"/>
  <c r="C3" i="13"/>
  <c r="C5" i="13"/>
  <c r="C7" i="13" s="1"/>
  <c r="C4" i="13"/>
  <c r="D4" i="13"/>
  <c r="D3" i="13"/>
  <c r="D5" i="13"/>
  <c r="D7" i="13" s="1"/>
  <c r="D30" i="13"/>
  <c r="D16" i="22" s="1"/>
  <c r="E30" i="13"/>
  <c r="D17" i="22" s="1"/>
  <c r="Q84" i="7"/>
  <c r="O84" i="7"/>
  <c r="P84" i="7"/>
  <c r="P83" i="7"/>
  <c r="Q83" i="7"/>
  <c r="O83" i="7"/>
  <c r="L18" i="13"/>
  <c r="L20" i="13"/>
  <c r="L21" i="13"/>
  <c r="L19" i="13"/>
  <c r="P18" i="13"/>
  <c r="P19" i="13"/>
  <c r="P21" i="13"/>
  <c r="P20" i="13"/>
  <c r="E90" i="13"/>
  <c r="E91" i="13" s="1"/>
  <c r="G90" i="13"/>
  <c r="G91" i="13" s="1"/>
  <c r="F90" i="13"/>
  <c r="F91" i="13" s="1"/>
  <c r="H90" i="13"/>
  <c r="H91" i="13" s="1"/>
  <c r="E31" i="14"/>
  <c r="F31" i="14" s="1"/>
  <c r="G31" i="14" s="1"/>
  <c r="I90" i="13"/>
  <c r="I91" i="13" s="1"/>
  <c r="H41" i="14"/>
  <c r="I40" i="14"/>
  <c r="C5" i="14" s="1"/>
  <c r="D5" i="14" s="1"/>
  <c r="D90" i="13"/>
  <c r="D91" i="13" s="1"/>
  <c r="B14" i="1"/>
  <c r="B4" i="10"/>
  <c r="B4" i="11"/>
  <c r="L90" i="13"/>
  <c r="L91" i="13" s="1"/>
  <c r="J90" i="13"/>
  <c r="J91" i="13" s="1"/>
  <c r="C85" i="7"/>
  <c r="C82" i="7"/>
  <c r="C81" i="7"/>
  <c r="C116" i="7"/>
  <c r="C115" i="7"/>
  <c r="C114" i="7"/>
  <c r="C113" i="7"/>
  <c r="D118" i="7"/>
  <c r="E118" i="7"/>
  <c r="F118" i="7"/>
  <c r="G118" i="7"/>
  <c r="H118" i="7"/>
  <c r="I118" i="7"/>
  <c r="J118" i="7"/>
  <c r="K118" i="7"/>
  <c r="L118" i="7"/>
  <c r="C118" i="7"/>
  <c r="D117" i="7"/>
  <c r="E117" i="7"/>
  <c r="F117" i="7"/>
  <c r="G117" i="7"/>
  <c r="H117" i="7"/>
  <c r="I117" i="7"/>
  <c r="J117" i="7"/>
  <c r="K117" i="7"/>
  <c r="L117" i="7"/>
  <c r="C117" i="7"/>
  <c r="C111" i="7"/>
  <c r="C23" i="7"/>
  <c r="C22" i="7"/>
  <c r="C17" i="7"/>
  <c r="C21" i="7"/>
  <c r="C20" i="7"/>
  <c r="C19" i="7"/>
  <c r="C18" i="7"/>
  <c r="C16" i="7"/>
  <c r="C15" i="7"/>
  <c r="C98" i="7"/>
  <c r="C78" i="7"/>
  <c r="C55" i="7"/>
  <c r="C54" i="7"/>
  <c r="C50" i="7"/>
  <c r="C51" i="7" s="1"/>
  <c r="C43" i="7"/>
  <c r="C42" i="7"/>
  <c r="C41" i="7"/>
  <c r="C128" i="7" s="1"/>
  <c r="J30" i="13" l="1"/>
  <c r="C27" i="17" s="1"/>
  <c r="J33" i="13"/>
  <c r="J12" i="17" s="1"/>
  <c r="D26" i="16"/>
  <c r="C38" i="16"/>
  <c r="D25" i="16"/>
  <c r="G38" i="16" s="1"/>
  <c r="F16" i="16"/>
  <c r="F21" i="16" s="1"/>
  <c r="E24" i="16"/>
  <c r="B39" i="16" s="1"/>
  <c r="C27" i="16"/>
  <c r="H37" i="16"/>
  <c r="J22" i="17"/>
  <c r="J21" i="17"/>
  <c r="K30" i="13"/>
  <c r="C28" i="17" s="1"/>
  <c r="K33" i="13"/>
  <c r="J13" i="17" s="1"/>
  <c r="B108" i="13"/>
  <c r="Q46" i="7"/>
  <c r="I105" i="7"/>
  <c r="K105" i="7"/>
  <c r="E105" i="7"/>
  <c r="G105" i="7"/>
  <c r="F105" i="7"/>
  <c r="P54" i="7"/>
  <c r="P43" i="7"/>
  <c r="Q55" i="7"/>
  <c r="Q50" i="7"/>
  <c r="O81" i="7"/>
  <c r="Q81" i="7"/>
  <c r="P81" i="7"/>
  <c r="O85" i="7"/>
  <c r="P85" i="7"/>
  <c r="Q85" i="7"/>
  <c r="J105" i="7"/>
  <c r="H13" i="13"/>
  <c r="Q45" i="7"/>
  <c r="C129" i="7"/>
  <c r="Q117" i="7"/>
  <c r="O117" i="7"/>
  <c r="P117" i="7"/>
  <c r="Q113" i="7"/>
  <c r="O113" i="7"/>
  <c r="P113" i="7"/>
  <c r="O115" i="7"/>
  <c r="P115" i="7"/>
  <c r="Q115" i="7"/>
  <c r="L105" i="7"/>
  <c r="H14" i="13"/>
  <c r="J14" i="13" s="1"/>
  <c r="O43" i="7"/>
  <c r="O54" i="7"/>
  <c r="Q43" i="7"/>
  <c r="P50" i="7"/>
  <c r="O50" i="7"/>
  <c r="Q54" i="7"/>
  <c r="P55" i="7"/>
  <c r="O55" i="7"/>
  <c r="O82" i="7"/>
  <c r="P82" i="7"/>
  <c r="Q82" i="7"/>
  <c r="H105" i="7"/>
  <c r="P45" i="7"/>
  <c r="H12" i="13"/>
  <c r="J12" i="13" s="1"/>
  <c r="L12" i="13" s="1"/>
  <c r="D105" i="7"/>
  <c r="O45" i="7"/>
  <c r="H11" i="13"/>
  <c r="J11" i="13" s="1"/>
  <c r="L11" i="13" s="1"/>
  <c r="O111" i="7"/>
  <c r="P111" i="7"/>
  <c r="Q111" i="7"/>
  <c r="O118" i="7"/>
  <c r="P118" i="7"/>
  <c r="Q118" i="7"/>
  <c r="O114" i="7"/>
  <c r="P114" i="7"/>
  <c r="Q114" i="7"/>
  <c r="P116" i="7"/>
  <c r="Q116" i="7"/>
  <c r="O116" i="7"/>
  <c r="H31" i="14"/>
  <c r="K116" i="7"/>
  <c r="G116" i="7"/>
  <c r="I116" i="7"/>
  <c r="E116" i="7"/>
  <c r="N114" i="7"/>
  <c r="L116" i="7"/>
  <c r="J116" i="7"/>
  <c r="F116" i="7"/>
  <c r="H116" i="7"/>
  <c r="B12" i="9"/>
  <c r="B32" i="9" s="1"/>
  <c r="N111" i="7"/>
  <c r="N118" i="7"/>
  <c r="N43" i="7"/>
  <c r="N109" i="7"/>
  <c r="E23" i="14" s="1"/>
  <c r="F23" i="14" s="1"/>
  <c r="G23" i="14" s="1"/>
  <c r="H23" i="14" s="1"/>
  <c r="N113" i="7"/>
  <c r="N85" i="7"/>
  <c r="N117" i="7"/>
  <c r="N115" i="7"/>
  <c r="N81" i="7"/>
  <c r="N41" i="7"/>
  <c r="N54" i="7"/>
  <c r="N82" i="7"/>
  <c r="D116" i="7"/>
  <c r="N45" i="7"/>
  <c r="N51" i="7"/>
  <c r="N50" i="7"/>
  <c r="N55" i="7"/>
  <c r="C70" i="7"/>
  <c r="AD6" i="13"/>
  <c r="C77" i="7"/>
  <c r="C65" i="7"/>
  <c r="C64" i="7"/>
  <c r="E26" i="16" l="1"/>
  <c r="C39" i="16"/>
  <c r="E25" i="16"/>
  <c r="G39" i="16" s="1"/>
  <c r="G16" i="16"/>
  <c r="G21" i="16" s="1"/>
  <c r="F24" i="16"/>
  <c r="B40" i="16" s="1"/>
  <c r="D27" i="16"/>
  <c r="H38" i="16"/>
  <c r="F7" i="16"/>
  <c r="B26" i="16" s="1"/>
  <c r="C36" i="16" s="1"/>
  <c r="L14" i="13"/>
  <c r="N46" i="7"/>
  <c r="B5" i="16" s="1"/>
  <c r="O46" i="7"/>
  <c r="K13" i="13"/>
  <c r="J13" i="13"/>
  <c r="P46" i="7"/>
  <c r="K12" i="13"/>
  <c r="K24" i="13" s="1"/>
  <c r="D41" i="22" s="1"/>
  <c r="H41" i="22" s="1"/>
  <c r="J41" i="22" s="1"/>
  <c r="K14" i="13"/>
  <c r="K11" i="13"/>
  <c r="N47" i="7"/>
  <c r="AD4" i="13"/>
  <c r="AD3" i="13"/>
  <c r="AD5" i="13"/>
  <c r="AD7" i="13" s="1"/>
  <c r="N105" i="7"/>
  <c r="Q128" i="7"/>
  <c r="O129" i="7"/>
  <c r="P129" i="7"/>
  <c r="Q129" i="7"/>
  <c r="P77" i="7"/>
  <c r="Q77" i="7"/>
  <c r="O77" i="7"/>
  <c r="P70" i="7"/>
  <c r="O70" i="7"/>
  <c r="Q70" i="7"/>
  <c r="O94" i="7"/>
  <c r="P94" i="7"/>
  <c r="Q94" i="7"/>
  <c r="O51" i="7"/>
  <c r="P64" i="7"/>
  <c r="Q64" i="7"/>
  <c r="O64" i="7"/>
  <c r="O128" i="7"/>
  <c r="P47" i="7"/>
  <c r="Q47" i="7"/>
  <c r="O47" i="7"/>
  <c r="P51" i="7"/>
  <c r="P128" i="7"/>
  <c r="Q51" i="7"/>
  <c r="B5" i="9"/>
  <c r="B16" i="9" s="1"/>
  <c r="D16" i="9" s="1"/>
  <c r="N116" i="7"/>
  <c r="N70" i="7"/>
  <c r="N65" i="7"/>
  <c r="N64" i="7"/>
  <c r="C14" i="7"/>
  <c r="C13" i="7"/>
  <c r="AB6" i="13"/>
  <c r="Z6" i="13"/>
  <c r="AC6" i="13"/>
  <c r="AA6" i="13"/>
  <c r="O14" i="13"/>
  <c r="P14" i="13"/>
  <c r="L3" i="4"/>
  <c r="L4" i="4"/>
  <c r="L5" i="4"/>
  <c r="L6" i="4"/>
  <c r="L7" i="4"/>
  <c r="L3" i="2"/>
  <c r="L3" i="1"/>
  <c r="F25" i="16" l="1"/>
  <c r="G40" i="16" s="1"/>
  <c r="C40" i="16"/>
  <c r="F26" i="16"/>
  <c r="H16" i="16"/>
  <c r="H21" i="16" s="1"/>
  <c r="G24" i="16"/>
  <c r="B41" i="16" s="1"/>
  <c r="E27" i="16"/>
  <c r="H39" i="16"/>
  <c r="B27" i="16"/>
  <c r="H36" i="16" s="1"/>
  <c r="B4" i="16"/>
  <c r="L13" i="13"/>
  <c r="C23" i="17"/>
  <c r="L44" i="7"/>
  <c r="O65" i="7"/>
  <c r="P65" i="7"/>
  <c r="Q65" i="7"/>
  <c r="B17" i="9"/>
  <c r="B18" i="9" s="1"/>
  <c r="G25" i="16" l="1"/>
  <c r="G41" i="16" s="1"/>
  <c r="C41" i="16"/>
  <c r="G26" i="16"/>
  <c r="F27" i="16"/>
  <c r="H40" i="16"/>
  <c r="I16" i="16"/>
  <c r="H24" i="16"/>
  <c r="B42" i="16" s="1"/>
  <c r="I36" i="16"/>
  <c r="D17" i="9"/>
  <c r="D18" i="9"/>
  <c r="B19" i="9"/>
  <c r="G27" i="16" l="1"/>
  <c r="H41" i="16"/>
  <c r="C42" i="16"/>
  <c r="H26" i="16"/>
  <c r="H25" i="16"/>
  <c r="G42" i="16" s="1"/>
  <c r="I21" i="16"/>
  <c r="I24" i="16" s="1"/>
  <c r="B43" i="16" s="1"/>
  <c r="D36" i="16"/>
  <c r="I37" i="16"/>
  <c r="D37" i="16"/>
  <c r="D12" i="13"/>
  <c r="D13" i="13"/>
  <c r="D11" i="13"/>
  <c r="D14" i="13"/>
  <c r="L84" i="12"/>
  <c r="L77" i="13" s="1"/>
  <c r="E36" i="14"/>
  <c r="F36" i="14" s="1"/>
  <c r="G36" i="14" s="1"/>
  <c r="B20" i="9"/>
  <c r="D19" i="9"/>
  <c r="C127" i="7"/>
  <c r="C96" i="7"/>
  <c r="C95" i="7"/>
  <c r="C75" i="7"/>
  <c r="C74" i="7"/>
  <c r="N74" i="7" s="1"/>
  <c r="D6" i="11"/>
  <c r="E6" i="11"/>
  <c r="F6" i="11"/>
  <c r="H6" i="11"/>
  <c r="I6" i="11"/>
  <c r="J6" i="11"/>
  <c r="K6" i="11"/>
  <c r="C72" i="7"/>
  <c r="C68" i="7"/>
  <c r="I26" i="16" l="1"/>
  <c r="I25" i="16"/>
  <c r="G43" i="16" s="1"/>
  <c r="C43" i="16"/>
  <c r="H27" i="16"/>
  <c r="H42" i="16"/>
  <c r="J16" i="16"/>
  <c r="D38" i="16"/>
  <c r="I38" i="16"/>
  <c r="M78" i="7"/>
  <c r="AB3" i="13"/>
  <c r="AB5" i="13"/>
  <c r="AB7" i="13" s="1"/>
  <c r="AB4" i="13"/>
  <c r="Z4" i="13"/>
  <c r="Z3" i="13"/>
  <c r="Z5" i="13"/>
  <c r="Z7" i="13" s="1"/>
  <c r="AA5" i="13"/>
  <c r="AA7" i="13" s="1"/>
  <c r="AA4" i="13"/>
  <c r="AA3" i="13"/>
  <c r="G6" i="11"/>
  <c r="AC3" i="13"/>
  <c r="AC5" i="13"/>
  <c r="AC7" i="13" s="1"/>
  <c r="AC4" i="13"/>
  <c r="Q96" i="7"/>
  <c r="O96" i="7"/>
  <c r="P96" i="7"/>
  <c r="N68" i="7"/>
  <c r="E24" i="14" s="1"/>
  <c r="F24" i="14" s="1"/>
  <c r="G24" i="14" s="1"/>
  <c r="H24" i="14" s="1"/>
  <c r="Q68" i="7"/>
  <c r="O68" i="7"/>
  <c r="P68" i="7"/>
  <c r="P95" i="7"/>
  <c r="Q95" i="7"/>
  <c r="O95" i="7"/>
  <c r="O72" i="7"/>
  <c r="P72" i="7"/>
  <c r="Q72" i="7"/>
  <c r="P99" i="7"/>
  <c r="Q99" i="7"/>
  <c r="O99" i="7"/>
  <c r="P98" i="7"/>
  <c r="O98" i="7"/>
  <c r="Q98" i="7"/>
  <c r="Q74" i="7"/>
  <c r="O74" i="7"/>
  <c r="P74" i="7"/>
  <c r="N75" i="7"/>
  <c r="P75" i="7"/>
  <c r="O75" i="7"/>
  <c r="Q75" i="7"/>
  <c r="Q78" i="7"/>
  <c r="O78" i="7"/>
  <c r="P78" i="7"/>
  <c r="H36" i="14"/>
  <c r="I29" i="14"/>
  <c r="C4" i="14" s="1"/>
  <c r="D4" i="14" s="1"/>
  <c r="N72" i="7"/>
  <c r="E21" i="14" s="1"/>
  <c r="F21" i="14" s="1"/>
  <c r="G21" i="14" s="1"/>
  <c r="H21" i="14" s="1"/>
  <c r="C6" i="11"/>
  <c r="K84" i="12"/>
  <c r="K77" i="13" s="1"/>
  <c r="D84" i="12"/>
  <c r="D77" i="13" s="1"/>
  <c r="B77" i="13"/>
  <c r="C84" i="12"/>
  <c r="C77" i="13" s="1"/>
  <c r="I84" i="12"/>
  <c r="I77" i="13" s="1"/>
  <c r="E84" i="12"/>
  <c r="E77" i="13" s="1"/>
  <c r="J84" i="12"/>
  <c r="J77" i="13" s="1"/>
  <c r="G84" i="12"/>
  <c r="G77" i="13" s="1"/>
  <c r="F84" i="12"/>
  <c r="F77" i="13" s="1"/>
  <c r="H84" i="12"/>
  <c r="H77" i="13" s="1"/>
  <c r="B21" i="9"/>
  <c r="D20" i="9"/>
  <c r="O127" i="7"/>
  <c r="N42" i="7"/>
  <c r="L1" i="7"/>
  <c r="C6" i="3"/>
  <c r="D6" i="3"/>
  <c r="E6" i="3"/>
  <c r="F6" i="3"/>
  <c r="G6" i="3"/>
  <c r="H6" i="3"/>
  <c r="I6" i="3"/>
  <c r="J6" i="3"/>
  <c r="K6" i="3"/>
  <c r="B6" i="3"/>
  <c r="C5" i="1"/>
  <c r="D5" i="1"/>
  <c r="E5" i="1"/>
  <c r="F5" i="1"/>
  <c r="G5" i="1"/>
  <c r="H5" i="1"/>
  <c r="I5" i="1"/>
  <c r="J5" i="1"/>
  <c r="K5" i="1"/>
  <c r="J21" i="16" l="1"/>
  <c r="J24" i="16" s="1"/>
  <c r="B44" i="16" s="1"/>
  <c r="I27" i="16"/>
  <c r="H43" i="16"/>
  <c r="I39" i="16"/>
  <c r="D39" i="16"/>
  <c r="P127" i="7"/>
  <c r="Q127" i="7"/>
  <c r="D21" i="9"/>
  <c r="B22" i="9"/>
  <c r="D4" i="7"/>
  <c r="G4" i="7"/>
  <c r="J4" i="7"/>
  <c r="F4" i="7"/>
  <c r="H4" i="7"/>
  <c r="K4" i="7"/>
  <c r="C4" i="7"/>
  <c r="I4" i="7"/>
  <c r="E4" i="7"/>
  <c r="L36" i="7"/>
  <c r="L63" i="7" s="1"/>
  <c r="L80" i="7" s="1"/>
  <c r="L108" i="7" s="1"/>
  <c r="L26" i="7"/>
  <c r="C17" i="2"/>
  <c r="C18" i="2"/>
  <c r="B17" i="2"/>
  <c r="B20" i="2" s="1"/>
  <c r="C4" i="2"/>
  <c r="C5" i="2"/>
  <c r="C6" i="2"/>
  <c r="C7" i="2"/>
  <c r="C8" i="2"/>
  <c r="C10" i="2"/>
  <c r="C11" i="2"/>
  <c r="C12" i="2"/>
  <c r="C13" i="2"/>
  <c r="C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C4" i="1"/>
  <c r="C27" i="7" s="1"/>
  <c r="D4" i="1"/>
  <c r="E4" i="1"/>
  <c r="F4" i="1"/>
  <c r="G4" i="1"/>
  <c r="H4" i="1"/>
  <c r="I4" i="1"/>
  <c r="J4" i="1"/>
  <c r="K4" i="1"/>
  <c r="C7" i="1"/>
  <c r="D7" i="1"/>
  <c r="E7" i="1"/>
  <c r="F7" i="1"/>
  <c r="G7" i="1"/>
  <c r="H7" i="1"/>
  <c r="I7" i="1"/>
  <c r="J7" i="1"/>
  <c r="K7" i="1"/>
  <c r="C8" i="1"/>
  <c r="D8" i="1"/>
  <c r="E8" i="1"/>
  <c r="F8" i="1"/>
  <c r="G8" i="1"/>
  <c r="H8" i="1"/>
  <c r="I8" i="1"/>
  <c r="J8" i="1"/>
  <c r="K8" i="1"/>
  <c r="C9" i="1"/>
  <c r="D9" i="1"/>
  <c r="D110" i="7" s="1"/>
  <c r="E9" i="1"/>
  <c r="E110" i="7" s="1"/>
  <c r="F9" i="1"/>
  <c r="F110" i="7" s="1"/>
  <c r="G9" i="1"/>
  <c r="G110" i="7" s="1"/>
  <c r="H9" i="1"/>
  <c r="H110" i="7" s="1"/>
  <c r="I9" i="1"/>
  <c r="I110" i="7" s="1"/>
  <c r="J9" i="1"/>
  <c r="J110" i="7" s="1"/>
  <c r="K9" i="1"/>
  <c r="K110" i="7" s="1"/>
  <c r="C10" i="1"/>
  <c r="D10" i="1"/>
  <c r="E10" i="1"/>
  <c r="F10" i="1"/>
  <c r="G10" i="1"/>
  <c r="H10" i="1"/>
  <c r="I10" i="1"/>
  <c r="J10" i="1"/>
  <c r="K10" i="1"/>
  <c r="C11" i="1"/>
  <c r="D11" i="1"/>
  <c r="E11" i="1"/>
  <c r="F11" i="1"/>
  <c r="G11" i="1"/>
  <c r="H11" i="1"/>
  <c r="I11" i="1"/>
  <c r="J11" i="1"/>
  <c r="K11" i="1"/>
  <c r="C12" i="1"/>
  <c r="D12" i="1"/>
  <c r="E12" i="1"/>
  <c r="F12" i="1"/>
  <c r="G12" i="1"/>
  <c r="H12" i="1"/>
  <c r="I12" i="1"/>
  <c r="J12" i="1"/>
  <c r="K12" i="1"/>
  <c r="C15" i="1"/>
  <c r="D15" i="1"/>
  <c r="E15" i="1"/>
  <c r="F15" i="1"/>
  <c r="G15" i="1"/>
  <c r="H15" i="1"/>
  <c r="I15" i="1"/>
  <c r="J15" i="1"/>
  <c r="K15" i="1"/>
  <c r="A1" i="1"/>
  <c r="J26" i="16" l="1"/>
  <c r="J25" i="16"/>
  <c r="G44" i="16" s="1"/>
  <c r="K16" i="16"/>
  <c r="K21" i="16" s="1"/>
  <c r="K24" i="16" s="1"/>
  <c r="B45" i="16" s="1"/>
  <c r="J11" i="7"/>
  <c r="F11" i="7"/>
  <c r="H11" i="7"/>
  <c r="D11" i="7"/>
  <c r="K44" i="7"/>
  <c r="K10" i="7"/>
  <c r="L10" i="7"/>
  <c r="G44" i="7"/>
  <c r="G10" i="7"/>
  <c r="I11" i="7"/>
  <c r="E11" i="7"/>
  <c r="J44" i="7"/>
  <c r="J10" i="7"/>
  <c r="F44" i="7"/>
  <c r="F10" i="7"/>
  <c r="I44" i="7"/>
  <c r="I10" i="7"/>
  <c r="E44" i="7"/>
  <c r="E10" i="7"/>
  <c r="K11" i="7"/>
  <c r="L11" i="7"/>
  <c r="G11" i="7"/>
  <c r="H44" i="7"/>
  <c r="H10" i="7"/>
  <c r="D44" i="7"/>
  <c r="D10" i="7"/>
  <c r="K89" i="7"/>
  <c r="K23" i="2"/>
  <c r="K90" i="7"/>
  <c r="G89" i="7"/>
  <c r="G90" i="7"/>
  <c r="G23" i="2"/>
  <c r="I27" i="7"/>
  <c r="I28" i="7" s="1"/>
  <c r="I20" i="2"/>
  <c r="I87" i="7"/>
  <c r="I21" i="2"/>
  <c r="I88" i="7"/>
  <c r="E27" i="7"/>
  <c r="E28" i="7" s="1"/>
  <c r="E21" i="2"/>
  <c r="E87" i="7"/>
  <c r="E20" i="2"/>
  <c r="E88" i="7"/>
  <c r="J90" i="7"/>
  <c r="J23" i="2"/>
  <c r="J89" i="7"/>
  <c r="F90" i="7"/>
  <c r="F23" i="2"/>
  <c r="F89" i="7"/>
  <c r="H21" i="2"/>
  <c r="H88" i="7"/>
  <c r="H20" i="2"/>
  <c r="H87" i="7"/>
  <c r="D88" i="7"/>
  <c r="D21" i="2"/>
  <c r="D20" i="2"/>
  <c r="D87" i="7"/>
  <c r="I89" i="7"/>
  <c r="I23" i="2"/>
  <c r="I90" i="7"/>
  <c r="E89" i="7"/>
  <c r="E23" i="2"/>
  <c r="E90" i="7"/>
  <c r="K27" i="7"/>
  <c r="K28" i="7" s="1"/>
  <c r="K87" i="7"/>
  <c r="K20" i="2"/>
  <c r="K21" i="2"/>
  <c r="K88" i="7"/>
  <c r="G27" i="7"/>
  <c r="G28" i="7" s="1"/>
  <c r="G87" i="7"/>
  <c r="G20" i="2"/>
  <c r="G88" i="7"/>
  <c r="G21" i="2"/>
  <c r="H90" i="7"/>
  <c r="H23" i="2"/>
  <c r="H89" i="7"/>
  <c r="D90" i="7"/>
  <c r="D23" i="2"/>
  <c r="D89" i="7"/>
  <c r="J88" i="7"/>
  <c r="J21" i="2"/>
  <c r="J20" i="2"/>
  <c r="J87" i="7"/>
  <c r="F27" i="7"/>
  <c r="F28" i="7" s="1"/>
  <c r="F21" i="2"/>
  <c r="F88" i="7"/>
  <c r="F20" i="2"/>
  <c r="F87" i="7"/>
  <c r="D40" i="16"/>
  <c r="I40" i="16"/>
  <c r="I3" i="11"/>
  <c r="I5" i="11" s="1"/>
  <c r="I13" i="1"/>
  <c r="I69" i="12" s="1"/>
  <c r="I123" i="7" s="1"/>
  <c r="E3" i="11"/>
  <c r="E5" i="11" s="1"/>
  <c r="E13" i="1"/>
  <c r="H3" i="11"/>
  <c r="H5" i="11" s="1"/>
  <c r="H13" i="1"/>
  <c r="D3" i="11"/>
  <c r="D5" i="11" s="1"/>
  <c r="D13" i="1"/>
  <c r="K3" i="11"/>
  <c r="K5" i="11" s="1"/>
  <c r="K13" i="1"/>
  <c r="K69" i="12" s="1"/>
  <c r="K123" i="7" s="1"/>
  <c r="G3" i="11"/>
  <c r="G5" i="11" s="1"/>
  <c r="G13" i="1"/>
  <c r="C3" i="11"/>
  <c r="C5" i="11" s="1"/>
  <c r="C13" i="1"/>
  <c r="J3" i="11"/>
  <c r="J5" i="11" s="1"/>
  <c r="J13" i="1"/>
  <c r="F3" i="11"/>
  <c r="F5" i="11" s="1"/>
  <c r="F13" i="1"/>
  <c r="C86" i="7"/>
  <c r="C112" i="7" s="1"/>
  <c r="B13" i="9"/>
  <c r="C28" i="2"/>
  <c r="C30" i="2" s="1"/>
  <c r="C31" i="2" s="1"/>
  <c r="B23" i="9"/>
  <c r="D22" i="9"/>
  <c r="C44" i="7"/>
  <c r="N44" i="7" s="1"/>
  <c r="J31" i="7"/>
  <c r="J73" i="7" s="1"/>
  <c r="J76" i="7" s="1"/>
  <c r="J7" i="7"/>
  <c r="H30" i="7"/>
  <c r="H6" i="7"/>
  <c r="I29" i="7"/>
  <c r="H3" i="7"/>
  <c r="I31" i="7"/>
  <c r="I73" i="7" s="1"/>
  <c r="I76" i="7" s="1"/>
  <c r="I7" i="7"/>
  <c r="G30" i="7"/>
  <c r="G6" i="7"/>
  <c r="C30" i="7"/>
  <c r="C6" i="7"/>
  <c r="D29" i="7"/>
  <c r="K3" i="7"/>
  <c r="C88" i="7"/>
  <c r="C3" i="7"/>
  <c r="H31" i="7"/>
  <c r="H73" i="7" s="1"/>
  <c r="H76" i="7" s="1"/>
  <c r="H7" i="7"/>
  <c r="D31" i="7"/>
  <c r="D73" i="7" s="1"/>
  <c r="D76" i="7" s="1"/>
  <c r="D7" i="7"/>
  <c r="J30" i="7"/>
  <c r="J6" i="7"/>
  <c r="F30" i="7"/>
  <c r="F6" i="7"/>
  <c r="K29" i="7"/>
  <c r="G29" i="7"/>
  <c r="C29" i="7"/>
  <c r="C110" i="7"/>
  <c r="J3" i="7"/>
  <c r="F3" i="7"/>
  <c r="H27" i="7"/>
  <c r="H28" i="7" s="1"/>
  <c r="J27" i="7"/>
  <c r="J28" i="7" s="1"/>
  <c r="F31" i="7"/>
  <c r="F7" i="7"/>
  <c r="D30" i="7"/>
  <c r="D6" i="7"/>
  <c r="E29" i="7"/>
  <c r="D3" i="7"/>
  <c r="C28" i="7"/>
  <c r="E31" i="7"/>
  <c r="E73" i="7" s="1"/>
  <c r="E76" i="7" s="1"/>
  <c r="E7" i="7"/>
  <c r="K30" i="7"/>
  <c r="K6" i="7"/>
  <c r="H29" i="7"/>
  <c r="G3" i="7"/>
  <c r="K31" i="7"/>
  <c r="K7" i="7"/>
  <c r="G31" i="7"/>
  <c r="G73" i="7" s="1"/>
  <c r="G76" i="7" s="1"/>
  <c r="G7" i="7"/>
  <c r="C31" i="7"/>
  <c r="C90" i="7"/>
  <c r="C7" i="7"/>
  <c r="I30" i="7"/>
  <c r="I6" i="7"/>
  <c r="E30" i="7"/>
  <c r="E6" i="7"/>
  <c r="J29" i="7"/>
  <c r="F29" i="7"/>
  <c r="I3" i="7"/>
  <c r="E3" i="7"/>
  <c r="D27" i="7"/>
  <c r="D28" i="7" s="1"/>
  <c r="E1" i="2"/>
  <c r="E1" i="4"/>
  <c r="E1" i="3"/>
  <c r="C23" i="2"/>
  <c r="C16" i="2"/>
  <c r="C48" i="7" s="1"/>
  <c r="E6" i="1"/>
  <c r="E24" i="2" s="1"/>
  <c r="I6" i="1"/>
  <c r="I24" i="2" s="1"/>
  <c r="J6" i="1"/>
  <c r="J24" i="2" s="1"/>
  <c r="F6" i="1"/>
  <c r="F24" i="2" s="1"/>
  <c r="K6" i="1"/>
  <c r="K24" i="2" s="1"/>
  <c r="G6" i="1"/>
  <c r="G24" i="2" s="1"/>
  <c r="C6" i="1"/>
  <c r="H6" i="1"/>
  <c r="H24" i="2" s="1"/>
  <c r="D6" i="1"/>
  <c r="D24" i="2" s="1"/>
  <c r="H1" i="1"/>
  <c r="C89" i="7" l="1"/>
  <c r="C35" i="7"/>
  <c r="K25" i="16"/>
  <c r="G45" i="16" s="1"/>
  <c r="K26" i="16"/>
  <c r="J27" i="16"/>
  <c r="F73" i="7"/>
  <c r="F76" i="7" s="1"/>
  <c r="K61" i="7"/>
  <c r="K73" i="7"/>
  <c r="K76" i="7" s="1"/>
  <c r="M3" i="11"/>
  <c r="L3" i="11"/>
  <c r="I41" i="16"/>
  <c r="D41" i="16"/>
  <c r="J5" i="7"/>
  <c r="Q86" i="7"/>
  <c r="O86" i="7"/>
  <c r="D61" i="7"/>
  <c r="H61" i="7"/>
  <c r="I61" i="7"/>
  <c r="P86" i="7"/>
  <c r="O48" i="7"/>
  <c r="G61" i="7"/>
  <c r="E61" i="7"/>
  <c r="P44" i="7"/>
  <c r="Q44" i="7"/>
  <c r="P48" i="7"/>
  <c r="J61" i="7"/>
  <c r="Q49" i="7"/>
  <c r="Q48" i="7"/>
  <c r="F61" i="7"/>
  <c r="O44" i="7"/>
  <c r="N112" i="7"/>
  <c r="P112" i="7"/>
  <c r="Q112" i="7"/>
  <c r="O112" i="7"/>
  <c r="H5" i="7"/>
  <c r="D5" i="7"/>
  <c r="K70" i="12"/>
  <c r="I70" i="12"/>
  <c r="F5" i="7"/>
  <c r="F4" i="11"/>
  <c r="F4" i="10"/>
  <c r="C4" i="11"/>
  <c r="C4" i="10"/>
  <c r="E4" i="10"/>
  <c r="E4" i="11"/>
  <c r="J14" i="1"/>
  <c r="J4" i="11"/>
  <c r="J4" i="10"/>
  <c r="D4" i="10"/>
  <c r="D4" i="11"/>
  <c r="H4" i="11"/>
  <c r="H4" i="10"/>
  <c r="F14" i="1"/>
  <c r="C69" i="12"/>
  <c r="G4" i="11"/>
  <c r="G4" i="10"/>
  <c r="G14" i="1"/>
  <c r="E69" i="12"/>
  <c r="C14" i="1"/>
  <c r="H69" i="12"/>
  <c r="K4" i="11"/>
  <c r="K4" i="10"/>
  <c r="I14" i="1"/>
  <c r="I4" i="10"/>
  <c r="I4" i="11"/>
  <c r="K14" i="1"/>
  <c r="D69" i="12"/>
  <c r="F69" i="12"/>
  <c r="E14" i="1"/>
  <c r="G69" i="12"/>
  <c r="J69" i="12"/>
  <c r="B24" i="9"/>
  <c r="D23" i="9"/>
  <c r="D14" i="1"/>
  <c r="F8" i="7"/>
  <c r="H14" i="1"/>
  <c r="D8" i="7"/>
  <c r="I8" i="7"/>
  <c r="C49" i="7"/>
  <c r="N48" i="7"/>
  <c r="C87" i="7"/>
  <c r="K5" i="7"/>
  <c r="J8" i="7"/>
  <c r="E5" i="7"/>
  <c r="C19" i="1"/>
  <c r="C5" i="7"/>
  <c r="G5" i="7"/>
  <c r="I5" i="7"/>
  <c r="C73" i="7"/>
  <c r="G8" i="7"/>
  <c r="E8" i="7"/>
  <c r="C8" i="7"/>
  <c r="K8" i="7"/>
  <c r="H8" i="7"/>
  <c r="J19" i="1"/>
  <c r="E19" i="1"/>
  <c r="I19" i="1"/>
  <c r="H19" i="1"/>
  <c r="F19" i="1"/>
  <c r="C24" i="2"/>
  <c r="G19" i="1"/>
  <c r="D19" i="1"/>
  <c r="K19" i="1"/>
  <c r="C3" i="4"/>
  <c r="D3" i="4"/>
  <c r="E3" i="4"/>
  <c r="F3" i="4"/>
  <c r="G3" i="4"/>
  <c r="H3" i="4"/>
  <c r="I3" i="4"/>
  <c r="J3" i="4"/>
  <c r="K3" i="4"/>
  <c r="C3" i="2"/>
  <c r="D3" i="2"/>
  <c r="E3" i="2"/>
  <c r="F3" i="2"/>
  <c r="G3" i="2"/>
  <c r="H3" i="2"/>
  <c r="I3" i="2"/>
  <c r="J3" i="2"/>
  <c r="K3" i="2"/>
  <c r="C3" i="3"/>
  <c r="D3" i="3"/>
  <c r="E3" i="3"/>
  <c r="F3" i="3"/>
  <c r="G3" i="3"/>
  <c r="H3" i="3"/>
  <c r="I3" i="3"/>
  <c r="J3" i="3"/>
  <c r="K3" i="3"/>
  <c r="C3" i="1"/>
  <c r="D3" i="1"/>
  <c r="E3" i="1"/>
  <c r="F3" i="1"/>
  <c r="G3" i="1"/>
  <c r="H3" i="1"/>
  <c r="I3" i="1"/>
  <c r="J3" i="1"/>
  <c r="K3" i="1"/>
  <c r="H45" i="16" l="1"/>
  <c r="K27" i="16"/>
  <c r="H44" i="16"/>
  <c r="D42" i="16"/>
  <c r="I42" i="16"/>
  <c r="P53" i="7"/>
  <c r="P49" i="7"/>
  <c r="F70" i="12"/>
  <c r="F123" i="7"/>
  <c r="F126" i="7" s="1"/>
  <c r="H70" i="12"/>
  <c r="H123" i="7"/>
  <c r="H126" i="7" s="1"/>
  <c r="J70" i="12"/>
  <c r="J123" i="7"/>
  <c r="J126" i="7" s="1"/>
  <c r="D70" i="12"/>
  <c r="D123" i="7"/>
  <c r="G70" i="12"/>
  <c r="G123" i="7"/>
  <c r="G126" i="7" s="1"/>
  <c r="E70" i="12"/>
  <c r="E123" i="7"/>
  <c r="E126" i="7" s="1"/>
  <c r="C123" i="7"/>
  <c r="O49" i="7"/>
  <c r="I126" i="7"/>
  <c r="F1" i="7"/>
  <c r="F26" i="7" s="1"/>
  <c r="F3" i="10"/>
  <c r="F2" i="11" s="1"/>
  <c r="E1" i="7"/>
  <c r="E26" i="7" s="1"/>
  <c r="E3" i="10"/>
  <c r="E2" i="11" s="1"/>
  <c r="H1" i="7"/>
  <c r="H26" i="7" s="1"/>
  <c r="H3" i="10"/>
  <c r="H2" i="11" s="1"/>
  <c r="D1" i="7"/>
  <c r="D26" i="7" s="1"/>
  <c r="D3" i="10"/>
  <c r="D2" i="11" s="1"/>
  <c r="I5" i="10"/>
  <c r="I6" i="10"/>
  <c r="G5" i="10"/>
  <c r="G6" i="10"/>
  <c r="H5" i="10"/>
  <c r="H6" i="10"/>
  <c r="D5" i="10"/>
  <c r="D6" i="10"/>
  <c r="K1" i="7"/>
  <c r="K36" i="7" s="1"/>
  <c r="K63" i="7" s="1"/>
  <c r="K80" i="7" s="1"/>
  <c r="K108" i="7" s="1"/>
  <c r="K3" i="10"/>
  <c r="K2" i="11" s="1"/>
  <c r="G1" i="7"/>
  <c r="G36" i="7" s="1"/>
  <c r="G63" i="7" s="1"/>
  <c r="G80" i="7" s="1"/>
  <c r="G108" i="7" s="1"/>
  <c r="G3" i="10"/>
  <c r="G2" i="11" s="1"/>
  <c r="C1" i="7"/>
  <c r="C36" i="7" s="1"/>
  <c r="C63" i="7" s="1"/>
  <c r="C80" i="7" s="1"/>
  <c r="C108" i="7" s="1"/>
  <c r="C3" i="10"/>
  <c r="C2" i="11" s="1"/>
  <c r="F5" i="10"/>
  <c r="F6" i="10"/>
  <c r="K5" i="10"/>
  <c r="K6" i="10"/>
  <c r="J5" i="10"/>
  <c r="J6" i="10"/>
  <c r="E5" i="10"/>
  <c r="E6" i="10"/>
  <c r="J1" i="7"/>
  <c r="J36" i="7" s="1"/>
  <c r="J63" i="7" s="1"/>
  <c r="J80" i="7" s="1"/>
  <c r="J108" i="7" s="1"/>
  <c r="J3" i="10"/>
  <c r="J2" i="11" s="1"/>
  <c r="I1" i="7"/>
  <c r="I26" i="7" s="1"/>
  <c r="I3" i="10"/>
  <c r="I2" i="11" s="1"/>
  <c r="B11" i="11"/>
  <c r="M4" i="11"/>
  <c r="B10" i="11"/>
  <c r="B12" i="11" s="1"/>
  <c r="B14" i="11" s="1"/>
  <c r="L4" i="11"/>
  <c r="C5" i="10"/>
  <c r="C6" i="10"/>
  <c r="B25" i="9"/>
  <c r="D24" i="9"/>
  <c r="K126" i="7"/>
  <c r="C53" i="7"/>
  <c r="C52" i="7"/>
  <c r="N49" i="7"/>
  <c r="C76" i="7"/>
  <c r="B7" i="4"/>
  <c r="B6" i="4"/>
  <c r="B5" i="4"/>
  <c r="C11" i="7" s="1"/>
  <c r="B4" i="4"/>
  <c r="C10" i="7" s="1"/>
  <c r="B3" i="4"/>
  <c r="C21" i="2"/>
  <c r="B18" i="2"/>
  <c r="B21" i="2" s="1"/>
  <c r="B13" i="2"/>
  <c r="B12" i="2"/>
  <c r="B11" i="2"/>
  <c r="B10" i="2"/>
  <c r="B8" i="2"/>
  <c r="B7" i="2"/>
  <c r="B6" i="2"/>
  <c r="B3" i="2"/>
  <c r="J14" i="3"/>
  <c r="H14" i="3"/>
  <c r="F14" i="3"/>
  <c r="D14" i="3"/>
  <c r="B12" i="3"/>
  <c r="B11" i="3"/>
  <c r="B10" i="3"/>
  <c r="B9" i="3"/>
  <c r="B8" i="3"/>
  <c r="B7" i="3"/>
  <c r="B4" i="3"/>
  <c r="B3" i="3"/>
  <c r="L15" i="1"/>
  <c r="B3" i="1"/>
  <c r="B3" i="10" s="1"/>
  <c r="B2" i="11" s="1"/>
  <c r="Q52" i="7" l="1"/>
  <c r="I43" i="16"/>
  <c r="D43" i="16"/>
  <c r="K26" i="7"/>
  <c r="Q53" i="7"/>
  <c r="D126" i="7"/>
  <c r="O53" i="7"/>
  <c r="P52" i="7"/>
  <c r="O52" i="7"/>
  <c r="D36" i="7"/>
  <c r="D63" i="7" s="1"/>
  <c r="D80" i="7" s="1"/>
  <c r="D108" i="7" s="1"/>
  <c r="G26" i="7"/>
  <c r="E36" i="7"/>
  <c r="E63" i="7" s="1"/>
  <c r="E80" i="7" s="1"/>
  <c r="E108" i="7" s="1"/>
  <c r="J26" i="7"/>
  <c r="I36" i="7"/>
  <c r="I63" i="7" s="1"/>
  <c r="I80" i="7" s="1"/>
  <c r="I108" i="7" s="1"/>
  <c r="C26" i="7"/>
  <c r="B28" i="2"/>
  <c r="B30" i="2" s="1"/>
  <c r="B31" i="2" s="1"/>
  <c r="F36" i="7"/>
  <c r="F63" i="7" s="1"/>
  <c r="F80" i="7" s="1"/>
  <c r="F108" i="7" s="1"/>
  <c r="H36" i="7"/>
  <c r="H63" i="7" s="1"/>
  <c r="H80" i="7" s="1"/>
  <c r="H108" i="7" s="1"/>
  <c r="J7" i="10"/>
  <c r="E7" i="10"/>
  <c r="F7" i="10"/>
  <c r="D7" i="10"/>
  <c r="G7" i="10"/>
  <c r="C7" i="10"/>
  <c r="K7" i="10"/>
  <c r="H7" i="10"/>
  <c r="I7" i="10"/>
  <c r="D25" i="9"/>
  <c r="B29" i="9" s="1"/>
  <c r="B28" i="9"/>
  <c r="B30" i="9" s="1"/>
  <c r="C66" i="7"/>
  <c r="N52" i="7"/>
  <c r="C67" i="7"/>
  <c r="N53" i="7"/>
  <c r="B23" i="2"/>
  <c r="B16" i="2"/>
  <c r="B24" i="2" s="1"/>
  <c r="B14" i="3"/>
  <c r="E14" i="3"/>
  <c r="I14" i="3"/>
  <c r="C14" i="3"/>
  <c r="G14" i="3"/>
  <c r="K14" i="3"/>
  <c r="K23" i="1"/>
  <c r="C20" i="2"/>
  <c r="L12" i="1"/>
  <c r="K24" i="1"/>
  <c r="L11" i="1"/>
  <c r="L10" i="1"/>
  <c r="L9" i="1"/>
  <c r="L110" i="7" s="1"/>
  <c r="L8" i="1"/>
  <c r="L7" i="1"/>
  <c r="L6" i="1"/>
  <c r="L4" i="1"/>
  <c r="A1" i="3"/>
  <c r="A1" i="2"/>
  <c r="A1" i="4" s="1"/>
  <c r="H23" i="1"/>
  <c r="I24" i="1"/>
  <c r="I23" i="1"/>
  <c r="J24" i="1"/>
  <c r="J23" i="1"/>
  <c r="H24" i="1"/>
  <c r="L88" i="7" l="1"/>
  <c r="L21" i="2"/>
  <c r="L87" i="7"/>
  <c r="L20" i="2"/>
  <c r="L13" i="1"/>
  <c r="L23" i="2"/>
  <c r="L90" i="7"/>
  <c r="L89" i="7"/>
  <c r="L24" i="2"/>
  <c r="I44" i="16"/>
  <c r="O108" i="7"/>
  <c r="T20" i="13"/>
  <c r="T19" i="13"/>
  <c r="P108" i="7"/>
  <c r="Q108" i="7"/>
  <c r="N67" i="7"/>
  <c r="P67" i="7"/>
  <c r="Q67" i="7"/>
  <c r="O67" i="7"/>
  <c r="N66" i="7"/>
  <c r="O66" i="7"/>
  <c r="Q66" i="7"/>
  <c r="P66" i="7"/>
  <c r="B31" i="9"/>
  <c r="B33" i="9" s="1"/>
  <c r="B11" i="10" s="1"/>
  <c r="B10" i="10"/>
  <c r="O5" i="7"/>
  <c r="P5" i="7"/>
  <c r="O6" i="7"/>
  <c r="P6" i="7"/>
  <c r="P7" i="7"/>
  <c r="O7" i="7"/>
  <c r="L29" i="7"/>
  <c r="L30" i="7"/>
  <c r="N6" i="7"/>
  <c r="Q6" i="7" s="1"/>
  <c r="L6" i="7"/>
  <c r="L23" i="1"/>
  <c r="P3" i="7"/>
  <c r="M13" i="13" s="1"/>
  <c r="O3" i="7"/>
  <c r="L3" i="7"/>
  <c r="M14" i="13" s="1"/>
  <c r="N3" i="7"/>
  <c r="M11" i="13" s="1"/>
  <c r="L31" i="7"/>
  <c r="F4" i="16" s="1"/>
  <c r="L7" i="7"/>
  <c r="N7" i="7"/>
  <c r="Q7" i="7" s="1"/>
  <c r="L5" i="7"/>
  <c r="N5" i="7"/>
  <c r="Q5" i="7" s="1"/>
  <c r="L19" i="1"/>
  <c r="L24" i="1" s="1"/>
  <c r="L5" i="1"/>
  <c r="M12" i="13" l="1"/>
  <c r="F24" i="17"/>
  <c r="I45" i="16"/>
  <c r="R5" i="16" s="1"/>
  <c r="R4" i="16"/>
  <c r="R6" i="16" s="1"/>
  <c r="L73" i="7"/>
  <c r="L76" i="7" s="1"/>
  <c r="L61" i="7"/>
  <c r="H6" i="13" s="1"/>
  <c r="D40" i="22" s="1"/>
  <c r="H40" i="22" s="1"/>
  <c r="J40" i="22" s="1"/>
  <c r="M31" i="7"/>
  <c r="M61" i="7" s="1"/>
  <c r="N6" i="13"/>
  <c r="B24" i="13"/>
  <c r="N5" i="13"/>
  <c r="N4" i="13"/>
  <c r="N3" i="13"/>
  <c r="P5" i="13"/>
  <c r="P4" i="13"/>
  <c r="P110" i="7"/>
  <c r="P3" i="13"/>
  <c r="O110" i="7"/>
  <c r="Q110" i="7"/>
  <c r="N110" i="7"/>
  <c r="P6" i="13"/>
  <c r="P7" i="13" s="1"/>
  <c r="P89" i="7"/>
  <c r="Q89" i="7"/>
  <c r="O89" i="7"/>
  <c r="Q31" i="7"/>
  <c r="O31" i="7"/>
  <c r="P31" i="7"/>
  <c r="Q88" i="7"/>
  <c r="O88" i="7"/>
  <c r="P88" i="7"/>
  <c r="P87" i="7"/>
  <c r="Q87" i="7"/>
  <c r="O87" i="7"/>
  <c r="N30" i="7"/>
  <c r="O30" i="7"/>
  <c r="P30" i="7"/>
  <c r="Q30" i="7"/>
  <c r="O90" i="7"/>
  <c r="P90" i="7"/>
  <c r="Q90" i="7"/>
  <c r="N29" i="7"/>
  <c r="P29" i="7"/>
  <c r="Q29" i="7"/>
  <c r="O29" i="7"/>
  <c r="B14" i="10"/>
  <c r="B15" i="10"/>
  <c r="O4" i="7"/>
  <c r="P4" i="7"/>
  <c r="B6" i="13"/>
  <c r="A30" i="13" s="1"/>
  <c r="D13" i="22" s="1"/>
  <c r="H13" i="22" s="1"/>
  <c r="L69" i="12"/>
  <c r="P8" i="7"/>
  <c r="N13" i="13" s="1"/>
  <c r="O8" i="7"/>
  <c r="L14" i="1"/>
  <c r="L25" i="1" s="1"/>
  <c r="L8" i="7"/>
  <c r="Q3" i="7"/>
  <c r="Q14" i="7"/>
  <c r="Q13" i="7"/>
  <c r="N8" i="7"/>
  <c r="L27" i="7"/>
  <c r="N4" i="7"/>
  <c r="Q4" i="7" s="1"/>
  <c r="L4" i="7"/>
  <c r="N31" i="7"/>
  <c r="E22" i="14" s="1"/>
  <c r="F22" i="14" s="1"/>
  <c r="G22" i="14" s="1"/>
  <c r="H22" i="14" s="1"/>
  <c r="J13" i="22" l="1"/>
  <c r="C15" i="17"/>
  <c r="D5" i="22"/>
  <c r="H5" i="22" s="1"/>
  <c r="C33" i="13"/>
  <c r="J5" i="17" s="1"/>
  <c r="D33" i="13"/>
  <c r="J6" i="17" s="1"/>
  <c r="M19" i="17" s="1"/>
  <c r="G30" i="13"/>
  <c r="C24" i="17" s="1"/>
  <c r="F27" i="17"/>
  <c r="F3" i="16"/>
  <c r="R7" i="16"/>
  <c r="R9" i="16" s="1"/>
  <c r="M5" i="17" s="1"/>
  <c r="A24" i="13"/>
  <c r="C14" i="17" s="1"/>
  <c r="K5" i="13"/>
  <c r="K4" i="13"/>
  <c r="K3" i="13"/>
  <c r="H3" i="13"/>
  <c r="H5" i="13"/>
  <c r="G33" i="13" s="1"/>
  <c r="J9" i="17" s="1"/>
  <c r="H4" i="13"/>
  <c r="N12" i="13"/>
  <c r="C27" i="13"/>
  <c r="B5" i="13"/>
  <c r="J5" i="13" s="1"/>
  <c r="B4" i="13"/>
  <c r="J3" i="13" s="1"/>
  <c r="B3" i="13"/>
  <c r="J4" i="13" s="1"/>
  <c r="N11" i="13"/>
  <c r="L123" i="7"/>
  <c r="J25" i="1"/>
  <c r="J6" i="13"/>
  <c r="C30" i="13" s="1"/>
  <c r="B8" i="13"/>
  <c r="N7" i="13"/>
  <c r="N14" i="13"/>
  <c r="Q73" i="7"/>
  <c r="P73" i="7"/>
  <c r="O73" i="7"/>
  <c r="K6" i="13"/>
  <c r="O27" i="7"/>
  <c r="P27" i="7"/>
  <c r="Q27" i="7"/>
  <c r="E62" i="14"/>
  <c r="F62" i="14" s="1"/>
  <c r="G62" i="14" s="1"/>
  <c r="H62" i="14" s="1"/>
  <c r="B17" i="10"/>
  <c r="B19" i="10" s="1"/>
  <c r="K25" i="1"/>
  <c r="Q8" i="7"/>
  <c r="E20" i="14"/>
  <c r="F20" i="14" s="1"/>
  <c r="G20" i="14" s="1"/>
  <c r="L70" i="12"/>
  <c r="I25" i="1"/>
  <c r="H25" i="1"/>
  <c r="N73" i="7"/>
  <c r="L28" i="7"/>
  <c r="N28" i="7" s="1"/>
  <c r="N27" i="7"/>
  <c r="J5" i="22" l="1"/>
  <c r="J3" i="22" s="1"/>
  <c r="E4" i="17" s="1"/>
  <c r="F4" i="17" s="1"/>
  <c r="H3" i="22"/>
  <c r="F29" i="17"/>
  <c r="D38" i="22"/>
  <c r="H38" i="22" s="1"/>
  <c r="D15" i="22"/>
  <c r="H15" i="22" s="1"/>
  <c r="J15" i="22" s="1"/>
  <c r="F27" i="13"/>
  <c r="F18" i="17" s="1"/>
  <c r="F16" i="17"/>
  <c r="K7" i="13"/>
  <c r="G27" i="13"/>
  <c r="F19" i="17" s="1"/>
  <c r="M11" i="17" s="1"/>
  <c r="R10" i="16"/>
  <c r="R11" i="16"/>
  <c r="M30" i="13"/>
  <c r="D39" i="22" s="1"/>
  <c r="H39" i="22" s="1"/>
  <c r="J39" i="22" s="1"/>
  <c r="B7" i="13"/>
  <c r="Q123" i="7"/>
  <c r="P123" i="7"/>
  <c r="O123" i="7"/>
  <c r="L126" i="7"/>
  <c r="J7" i="13"/>
  <c r="J8" i="13"/>
  <c r="N76" i="7"/>
  <c r="P76" i="7"/>
  <c r="Q76" i="7"/>
  <c r="O76" i="7"/>
  <c r="P28" i="7"/>
  <c r="Q28" i="7"/>
  <c r="O28" i="7"/>
  <c r="H20" i="14"/>
  <c r="I17" i="14"/>
  <c r="C3" i="14" s="1"/>
  <c r="H37" i="22" l="1"/>
  <c r="J38" i="22"/>
  <c r="J37" i="22" s="1"/>
  <c r="E9" i="17" s="1"/>
  <c r="F23" i="17"/>
  <c r="E61" i="14"/>
  <c r="F61" i="14" s="1"/>
  <c r="G61" i="14" s="1"/>
  <c r="H61" i="14" s="1"/>
  <c r="I4" i="13"/>
  <c r="I3" i="13"/>
  <c r="I6" i="13"/>
  <c r="Q126" i="7"/>
  <c r="O126" i="7"/>
  <c r="P126" i="7"/>
  <c r="D3" i="14"/>
  <c r="F9" i="17" l="1"/>
  <c r="I60" i="14"/>
  <c r="C8" i="14" s="1"/>
  <c r="D8" i="14" s="1"/>
  <c r="B30" i="13"/>
  <c r="D14" i="22" s="1"/>
  <c r="H14" i="22" s="1"/>
  <c r="I7" i="13"/>
  <c r="I8" i="13"/>
  <c r="J14" i="22" l="1"/>
  <c r="J12" i="22" s="1"/>
  <c r="E5" i="17" s="1"/>
  <c r="F5" i="17" s="1"/>
  <c r="H12" i="22"/>
  <c r="F8" i="17"/>
  <c r="F28" i="17"/>
  <c r="M14" i="17" s="1"/>
  <c r="C1" i="14"/>
  <c r="D1" i="14" s="1"/>
  <c r="E11" i="17" l="1"/>
  <c r="F11" i="17" s="1"/>
  <c r="M4" i="17" s="1"/>
  <c r="C44" i="16" l="1"/>
  <c r="D44" i="16"/>
  <c r="O4" i="16"/>
  <c r="O6" i="16" s="1"/>
  <c r="C45" i="16"/>
  <c r="D45" i="16"/>
  <c r="O5" i="16" l="1"/>
  <c r="O7" i="16" s="1"/>
  <c r="O9" i="16" s="1"/>
  <c r="M6" i="17" l="1"/>
  <c r="M7" i="17" s="1"/>
  <c r="M9" i="17" s="1"/>
  <c r="O10" i="16"/>
  <c r="M10" i="17" s="1"/>
  <c r="O11" i="16"/>
</calcChain>
</file>

<file path=xl/comments1.xml><?xml version="1.0" encoding="utf-8"?>
<comments xmlns="http://schemas.openxmlformats.org/spreadsheetml/2006/main">
  <authors>
    <author>Kumar Saurabh</author>
    <author/>
  </authors>
  <commentList>
    <comment ref="A43" authorId="0" shapeId="0">
      <text>
        <r>
          <rPr>
            <b/>
            <sz val="9"/>
            <color indexed="81"/>
            <rFont val="Tahoma"/>
            <family val="2"/>
          </rPr>
          <t>Kumar Saurabh:</t>
        </r>
        <r>
          <rPr>
            <sz val="9"/>
            <color indexed="81"/>
            <rFont val="Tahoma"/>
            <family val="2"/>
          </rPr>
          <t xml:space="preserve">
asset/(shareholder equity + liability)</t>
        </r>
      </text>
    </comment>
    <comment ref="A44" authorId="0" shapeId="0">
      <text>
        <r>
          <rPr>
            <b/>
            <sz val="9"/>
            <color indexed="81"/>
            <rFont val="Tahoma"/>
            <family val="2"/>
          </rPr>
          <t>Kumar Saurabh:</t>
        </r>
        <r>
          <rPr>
            <sz val="9"/>
            <color indexed="81"/>
            <rFont val="Tahoma"/>
            <family val="2"/>
          </rPr>
          <t xml:space="preserve">
borrowing/pat</t>
        </r>
      </text>
    </comment>
    <comment ref="A45" authorId="0" shapeId="0">
      <text>
        <r>
          <rPr>
            <b/>
            <sz val="9"/>
            <color indexed="81"/>
            <rFont val="Tahoma"/>
            <family val="2"/>
          </rPr>
          <t>Kumar Saurabh:</t>
        </r>
        <r>
          <rPr>
            <sz val="9"/>
            <color indexed="81"/>
            <rFont val="Tahoma"/>
            <family val="2"/>
          </rPr>
          <t xml:space="preserve">
working capital/pat</t>
        </r>
      </text>
    </comment>
    <comment ref="A46" authorId="1" shapeId="0">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shapeId="0">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shapeId="0">
      <text>
        <r>
          <rPr>
            <sz val="9"/>
            <color indexed="8"/>
            <rFont val="Tahoma"/>
            <family val="2"/>
            <charset val="1"/>
          </rPr>
          <t xml:space="preserve">
</t>
        </r>
      </text>
    </comment>
    <comment ref="A50" authorId="0" shapeId="0">
      <text>
        <r>
          <rPr>
            <b/>
            <sz val="9"/>
            <color indexed="81"/>
            <rFont val="Tahoma"/>
            <family val="2"/>
          </rPr>
          <t>Kumar Saurabh:</t>
        </r>
        <r>
          <rPr>
            <sz val="9"/>
            <color indexed="81"/>
            <rFont val="Tahoma"/>
            <family val="2"/>
          </rPr>
          <t xml:space="preserve">
how quickly cash is being collcted from debtors</t>
        </r>
      </text>
    </comment>
    <comment ref="A51" authorId="0" shapeId="0">
      <text>
        <r>
          <rPr>
            <b/>
            <sz val="9"/>
            <color indexed="81"/>
            <rFont val="Tahoma"/>
            <family val="2"/>
          </rPr>
          <t>Kumar Saurabh:</t>
        </r>
        <r>
          <rPr>
            <sz val="9"/>
            <color indexed="81"/>
            <rFont val="Tahoma"/>
            <family val="2"/>
          </rPr>
          <t xml:space="preserve">
how quickly inventory is converted to sales</t>
        </r>
      </text>
    </comment>
    <comment ref="A52" authorId="1" shapeId="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shapeId="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shapeId="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2.xml><?xml version="1.0" encoding="utf-8"?>
<comments xmlns="http://schemas.openxmlformats.org/spreadsheetml/2006/main">
  <authors>
    <author>Vishal</author>
    <author>Safal Niveshak</author>
  </authors>
  <commentList>
    <comment ref="A10" authorId="0" shape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shapeId="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comments3.xml><?xml version="1.0" encoding="utf-8"?>
<comments xmlns="http://schemas.openxmlformats.org/spreadsheetml/2006/main">
  <authors>
    <author>Kumar Saurabh</author>
  </authors>
  <commentList>
    <comment ref="B95" authorId="0" shapeId="0">
      <text>
        <r>
          <rPr>
            <b/>
            <sz val="9"/>
            <color indexed="81"/>
            <rFont val="Tahoma"/>
            <family val="2"/>
          </rPr>
          <t>Kumar Saurabh:</t>
        </r>
        <r>
          <rPr>
            <sz val="9"/>
            <color indexed="81"/>
            <rFont val="Tahoma"/>
            <family val="2"/>
          </rPr>
          <t xml:space="preserve">
COGS or Sales?</t>
        </r>
      </text>
    </comment>
    <comment ref="B98" authorId="0" shapeId="0">
      <text>
        <r>
          <rPr>
            <b/>
            <sz val="9"/>
            <color indexed="81"/>
            <rFont val="Tahoma"/>
            <family val="2"/>
          </rPr>
          <t>Kumar Saurabh:</t>
        </r>
        <r>
          <rPr>
            <sz val="9"/>
            <color indexed="81"/>
            <rFont val="Tahoma"/>
            <family val="2"/>
          </rPr>
          <t xml:space="preserve">
COGS or Sales?</t>
        </r>
      </text>
    </comment>
  </commentList>
</comments>
</file>

<file path=xl/comments4.xml><?xml version="1.0" encoding="utf-8"?>
<comments xmlns="http://schemas.openxmlformats.org/spreadsheetml/2006/main">
  <authors>
    <author>Kumar Saurabh</author>
  </authors>
  <commentList>
    <comment ref="A17" authorId="0" shapeId="0">
      <text>
        <r>
          <rPr>
            <b/>
            <sz val="9"/>
            <color indexed="81"/>
            <rFont val="Tahoma"/>
            <family val="2"/>
          </rPr>
          <t>Kumar Saurabh:</t>
        </r>
        <r>
          <rPr>
            <sz val="9"/>
            <color indexed="81"/>
            <rFont val="Tahoma"/>
            <family val="2"/>
          </rPr>
          <t xml:space="preserve">
Trades Receiavbles</t>
        </r>
      </text>
    </comment>
  </commentList>
</comments>
</file>

<file path=xl/comments5.xml><?xml version="1.0" encoding="utf-8"?>
<comments xmlns="http://schemas.openxmlformats.org/spreadsheetml/2006/main">
  <authors>
    <author>Kumar Saurabh</author>
  </authors>
  <commentList>
    <comment ref="A52" authorId="0" shapeId="0">
      <text>
        <r>
          <rPr>
            <b/>
            <sz val="9"/>
            <color indexed="81"/>
            <rFont val="Tahoma"/>
            <family val="2"/>
          </rPr>
          <t>Kumar Saurabh:</t>
        </r>
        <r>
          <rPr>
            <sz val="9"/>
            <color indexed="81"/>
            <rFont val="Tahoma"/>
            <family val="2"/>
          </rPr>
          <t xml:space="preserve">
Trades Receiavbles</t>
        </r>
      </text>
    </comment>
    <comment ref="A57"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6.xml><?xml version="1.0" encoding="utf-8"?>
<comments xmlns="http://schemas.openxmlformats.org/spreadsheetml/2006/main">
  <authors>
    <author>Vishal</author>
    <author>Safal Niveshak</author>
  </authors>
  <commentList>
    <comment ref="A5" authorId="0" shapeId="0">
      <text>
        <r>
          <rPr>
            <b/>
            <sz val="9"/>
            <color indexed="81"/>
            <rFont val="Tahoma"/>
            <family val="2"/>
          </rPr>
          <t xml:space="preserve">Safal Niveshak: </t>
        </r>
        <r>
          <rPr>
            <sz val="9"/>
            <color indexed="81"/>
            <rFont val="Tahoma"/>
            <family val="2"/>
          </rPr>
          <t xml:space="preserve">Normalize!
It's better to take a 3-5 years average FCF as this starting number instead of the latest year's FCF. This is for the simple reason that the latest year can be a best/worst number.
FCF can be calculated from the Cash Flow Statement in the annual report.
</t>
        </r>
        <r>
          <rPr>
            <b/>
            <sz val="9"/>
            <color indexed="81"/>
            <rFont val="Tahoma"/>
            <family val="2"/>
          </rPr>
          <t xml:space="preserve">FCF formula = Net Cash from/(used in) Operating Activities </t>
        </r>
        <r>
          <rPr>
            <b/>
            <i/>
            <sz val="9"/>
            <color indexed="81"/>
            <rFont val="Tahoma"/>
            <family val="2"/>
          </rPr>
          <t>minus</t>
        </r>
        <r>
          <rPr>
            <b/>
            <sz val="9"/>
            <color indexed="81"/>
            <rFont val="Tahoma"/>
            <family val="2"/>
          </rPr>
          <t xml:space="preserve"> Purchase of Fixed Assets</t>
        </r>
        <r>
          <rPr>
            <sz val="9"/>
            <color indexed="81"/>
            <rFont val="Tahoma"/>
            <family val="2"/>
          </rPr>
          <t xml:space="preserve">
</t>
        </r>
      </text>
    </comment>
    <comment ref="A7" authorId="0" shape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8"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9"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10"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13" authorId="1" shapeId="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comments7.xml><?xml version="1.0" encoding="utf-8"?>
<comments xmlns="http://schemas.openxmlformats.org/spreadsheetml/2006/main">
  <authors>
    <author>Vishal</author>
    <author>Safal Niveshak</author>
  </authors>
  <commentList>
    <comment ref="A3" authorId="0" shapeId="0">
      <text>
        <r>
          <rPr>
            <b/>
            <sz val="9"/>
            <color indexed="81"/>
            <rFont val="Tahoma"/>
            <family val="2"/>
          </rPr>
          <t xml:space="preserve">Safal Niveshak:
</t>
        </r>
        <r>
          <rPr>
            <sz val="9"/>
            <color indexed="81"/>
            <rFont val="Tahoma"/>
            <family val="2"/>
          </rPr>
          <t>L = Latest Year
L-1 = Previous year
…and so on</t>
        </r>
      </text>
    </comment>
    <comment ref="A16" authorId="0" shapeId="0">
      <text>
        <r>
          <rPr>
            <b/>
            <sz val="9"/>
            <color indexed="81"/>
            <rFont val="Tahoma"/>
            <family val="2"/>
          </rPr>
          <t xml:space="preserve">Safal Niveshak: </t>
        </r>
        <r>
          <rPr>
            <sz val="9"/>
            <color indexed="81"/>
            <rFont val="Tahoma"/>
            <family val="2"/>
          </rPr>
          <t>Valuation is an imprecise art (yes, however smart you may think you are!). Also, the future is inherently unpredictable.
Thus, it’s important to bring in the most-important investing concept of “margin of safety” into the picture.
This is what Graham wrote about margin of safety in The Intelligent Investor…
"</t>
        </r>
        <r>
          <rPr>
            <i/>
            <sz val="9"/>
            <color indexed="81"/>
            <rFont val="Tahoma"/>
            <family val="2"/>
          </rPr>
          <t xml:space="preserve">Confronted with the challenge to distill the secret of sound investment into three words, we venture the motto, MARGIN OF SAFETY."
</t>
        </r>
        <r>
          <rPr>
            <sz val="9"/>
            <color indexed="81"/>
            <rFont val="Tahoma"/>
            <family val="2"/>
          </rPr>
          <t xml:space="preserve">
Margin of safety is simply the discount factor that you use with your intrinsic value calculation. So if you arrive at an intrinsic value of Rs 100 for a stock that trades at Rs 80, you might think that you have found a bargain.
But what if your intrinsic value calculation is wrong? Yes, it will be wrong, at least 100% of the times!
Thus, you will do yourself a world of good by buying the stock only at say 50% discount to your intrinsic value calculation, or around Rs 50.
Now when you bring your intrinsic value assumption down to Rs 50 – by giving a 50% discount to the original calculated value of Rs 100, don’t think that you are trying to be ultra-conservative.
What you are doing is providing yourself protection against:
1. Bad luck
2. Bad timing, and
3. Bad judgment.
Margin of safety was, and will always be, the bedrock of value investing. You can’t ignore this at any cost…or it will turn out to be a costly affair!</t>
        </r>
      </text>
    </comment>
    <comment ref="A17" authorId="1" shapeId="0">
      <text>
        <r>
          <rPr>
            <b/>
            <sz val="9"/>
            <color indexed="81"/>
            <rFont val="Tahoma"/>
            <family val="2"/>
          </rPr>
          <t xml:space="preserve">Safal Niveshak: </t>
        </r>
        <r>
          <rPr>
            <sz val="9"/>
            <color indexed="81"/>
            <rFont val="Tahoma"/>
            <family val="2"/>
          </rPr>
          <t xml:space="preserve">This is the fair value or comfortable buying price of the stock after adjusting for Margin of Safety.
</t>
        </r>
      </text>
    </comment>
    <comment ref="A19" authorId="0" shapeId="0">
      <text>
        <r>
          <rPr>
            <b/>
            <sz val="9"/>
            <color indexed="81"/>
            <rFont val="Tahoma"/>
            <family val="2"/>
          </rPr>
          <t xml:space="preserve">Safal Niveshak: </t>
        </r>
        <r>
          <rPr>
            <sz val="9"/>
            <color indexed="81"/>
            <rFont val="Tahoma"/>
            <family val="2"/>
          </rPr>
          <t xml:space="preserve">Here are the definitions...
</t>
        </r>
        <r>
          <rPr>
            <b/>
            <sz val="9"/>
            <color indexed="81"/>
            <rFont val="Tahoma"/>
            <family val="2"/>
          </rPr>
          <t>Premium =</t>
        </r>
        <r>
          <rPr>
            <sz val="9"/>
            <color indexed="81"/>
            <rFont val="Tahoma"/>
            <family val="2"/>
          </rPr>
          <t xml:space="preserve"> Stock Price is more than the Fair Value, which means the stock is expensive.
</t>
        </r>
        <r>
          <rPr>
            <b/>
            <sz val="9"/>
            <color indexed="81"/>
            <rFont val="Tahoma"/>
            <family val="2"/>
          </rPr>
          <t>Discount =</t>
        </r>
        <r>
          <rPr>
            <sz val="9"/>
            <color indexed="81"/>
            <rFont val="Tahoma"/>
            <family val="2"/>
          </rPr>
          <t xml:space="preserve"> Stock Price is less than the Fair Value, which means the stock is cheap.
</t>
        </r>
        <r>
          <rPr>
            <b/>
            <sz val="9"/>
            <color indexed="81"/>
            <rFont val="Tahoma"/>
            <family val="2"/>
          </rPr>
          <t>Warning:</t>
        </r>
        <r>
          <rPr>
            <sz val="9"/>
            <color indexed="81"/>
            <rFont val="Tahoma"/>
            <family val="2"/>
          </rPr>
          <t xml:space="preserve"> Valuation must only be looked after assessing the quality of a business. Otherwise, if the business is bad, or getting bad, a cheap stock can be a "value trap".</t>
        </r>
      </text>
    </comment>
  </commentList>
</comments>
</file>

<file path=xl/sharedStrings.xml><?xml version="1.0" encoding="utf-8"?>
<sst xmlns="http://schemas.openxmlformats.org/spreadsheetml/2006/main" count="1249" uniqueCount="981">
  <si>
    <t>COMPANY NAME</t>
  </si>
  <si>
    <t>SCREENER.IN</t>
  </si>
  <si>
    <t>Narration</t>
  </si>
  <si>
    <t>Sales</t>
  </si>
  <si>
    <t>Expenses</t>
  </si>
  <si>
    <t>Operating Profit</t>
  </si>
  <si>
    <t>Other Income</t>
  </si>
  <si>
    <t>Depreciation</t>
  </si>
  <si>
    <t>Interest</t>
  </si>
  <si>
    <t>Profit before tax</t>
  </si>
  <si>
    <t>Tax</t>
  </si>
  <si>
    <t>Net profit</t>
  </si>
  <si>
    <t>RATIOS:</t>
  </si>
  <si>
    <t>Price to earning</t>
  </si>
  <si>
    <t>Dividend Payout</t>
  </si>
  <si>
    <t>OPM</t>
  </si>
  <si>
    <t>TRENDS:</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</si>
  <si>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</si>
  <si>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</si>
  <si>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</si>
  <si>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</si>
  <si>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</si>
  <si>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</si>
  <si>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</si>
  <si>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</si>
  <si>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</si>
  <si>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</si>
  <si>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</si>
  <si>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</si>
  <si>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</si>
  <si>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</si>
  <si>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</si>
  <si>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</si>
  <si>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</si>
  <si>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</si>
  <si>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</si>
  <si>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</si>
  <si>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</si>
  <si>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</si>
  <si>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</si>
  <si>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</si>
  <si>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</si>
  <si>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</si>
  <si>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</si>
  <si>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</si>
  <si>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</si>
  <si>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</si>
  <si>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</si>
  <si>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</si>
  <si>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</si>
  <si>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</si>
  <si>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</si>
  <si>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</si>
  <si>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</si>
  <si>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</si>
  <si>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</si>
  <si>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</si>
  <si>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</si>
  <si>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</si>
  <si>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</si>
  <si>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</si>
  <si>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</si>
  <si>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</si>
  <si>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</si>
  <si>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</si>
  <si>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</si>
  <si>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</si>
  <si>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</si>
  <si>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</si>
  <si>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</si>
  <si>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</si>
  <si>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</si>
  <si>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</si>
  <si>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</si>
  <si>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</si>
  <si>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</si>
  <si>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</si>
  <si>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</si>
  <si>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</si>
  <si>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</si>
  <si>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</si>
  <si>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</si>
  <si>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</si>
  <si>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</si>
  <si>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</si>
  <si>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</si>
  <si>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</si>
  <si>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</si>
  <si>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Revenue Growth Rate</t>
  </si>
  <si>
    <t>Expense Growth Rate</t>
  </si>
  <si>
    <t>Operating profit Growth Rate</t>
  </si>
  <si>
    <t>PBT Growth Rate</t>
  </si>
  <si>
    <t>PAT Growth Rate</t>
  </si>
  <si>
    <t>Expense as a % of Revenue</t>
  </si>
  <si>
    <t>Interest as a % of Revenue</t>
  </si>
  <si>
    <t>Operating profit Margin</t>
  </si>
  <si>
    <t>PBT Margin</t>
  </si>
  <si>
    <t>PAT Margin</t>
  </si>
  <si>
    <t>Return on Capital Employed</t>
  </si>
  <si>
    <t>Return on Invested Capital</t>
  </si>
  <si>
    <t>Profit Margin</t>
  </si>
  <si>
    <t>Asset turnover</t>
  </si>
  <si>
    <t>Financial Leverage</t>
  </si>
  <si>
    <t>Dividend Yield</t>
  </si>
  <si>
    <t>Dividend Payout Ratio</t>
  </si>
  <si>
    <t>EPS Growth Rate</t>
  </si>
  <si>
    <t>Debt Equity Ratio</t>
  </si>
  <si>
    <t>Interest Coverage Ratio</t>
  </si>
  <si>
    <t>Cashflow to Debt Ratio</t>
  </si>
  <si>
    <t>Return on Asset</t>
  </si>
  <si>
    <t>Current Ratio</t>
  </si>
  <si>
    <t>Quick Ratio</t>
  </si>
  <si>
    <t>Cash Ratio</t>
  </si>
  <si>
    <t>Cash Conversion Cycle</t>
  </si>
  <si>
    <t>Fixed Asset Turnover</t>
  </si>
  <si>
    <t>Revenue per Employee</t>
  </si>
  <si>
    <t>Operating Cycle</t>
  </si>
  <si>
    <t>Operating Cash flow to Sales Ratio</t>
  </si>
  <si>
    <t>Free Cash Flow to Sales Ratio</t>
  </si>
  <si>
    <t>P/E Ratio</t>
  </si>
  <si>
    <t>P/B Ratio</t>
  </si>
  <si>
    <t>EV/EBITDA</t>
  </si>
  <si>
    <t>PEG Ratio</t>
  </si>
  <si>
    <t>Market Cap to Sales Ratio</t>
  </si>
  <si>
    <t>Enterprise Value</t>
  </si>
  <si>
    <t>Book Value</t>
  </si>
  <si>
    <t>Inventory Growth</t>
  </si>
  <si>
    <t>Accounts Receivable Growth</t>
  </si>
  <si>
    <t>NIM</t>
  </si>
  <si>
    <t>Gross NPA %</t>
  </si>
  <si>
    <t>Net NPA %</t>
  </si>
  <si>
    <t>Capital Adequacy Ratio</t>
  </si>
  <si>
    <t>CEO Salary as a % of PAT</t>
  </si>
  <si>
    <t>CEO Salary as a % of OCF</t>
  </si>
  <si>
    <t>CEO Salary as a % of FCF</t>
  </si>
  <si>
    <t>Promoter's Share</t>
  </si>
  <si>
    <t>Pledged Share</t>
  </si>
  <si>
    <t>Unnecessary expenses</t>
  </si>
  <si>
    <t>Unnecessary Diversification</t>
  </si>
  <si>
    <t>Cash per Share</t>
  </si>
  <si>
    <t>Share Price</t>
  </si>
  <si>
    <t>ROE by Dupont Analysis</t>
  </si>
  <si>
    <t>Days Payable Outstanding</t>
  </si>
  <si>
    <t>Market Cap</t>
  </si>
  <si>
    <t>Indicator 1</t>
  </si>
  <si>
    <t>Indicator 2</t>
  </si>
  <si>
    <t>YoY Change</t>
  </si>
  <si>
    <t>COGS/Net Revenue from Operations</t>
  </si>
  <si>
    <t>Operating profit/Net Revenue from Operations</t>
  </si>
  <si>
    <t>Interest/Net Revenue from Operations</t>
  </si>
  <si>
    <t>PBT/Net Revenue from Operations</t>
  </si>
  <si>
    <t>PAT/Net Revenue from Operations</t>
  </si>
  <si>
    <t>PAT/Total Assets</t>
  </si>
  <si>
    <t>Return on Real Assets</t>
  </si>
  <si>
    <t>PAT/Shareholder's Equity</t>
  </si>
  <si>
    <t>Dividend Paid/Net Revenue from Operations</t>
  </si>
  <si>
    <t>Dividend Paid/Share Price</t>
  </si>
  <si>
    <t>Profit Margin*Asset Turnover*Financial Leverage</t>
  </si>
  <si>
    <t>Total Debt/Total Equity</t>
  </si>
  <si>
    <t>Share Price on Recorded Date</t>
  </si>
  <si>
    <t>Share Price* No. of Equity Shares</t>
  </si>
  <si>
    <t>Share Price/Diluted EPS</t>
  </si>
  <si>
    <t>(P/E)/EPS Growth Rate</t>
  </si>
  <si>
    <t>Market Capitalization/Net Revenue from Operations</t>
  </si>
  <si>
    <t>Cash and Bank Balance/no. of Outstanding Equity Shares</t>
  </si>
  <si>
    <t>PAT/Sales</t>
  </si>
  <si>
    <t>Sales/Asset</t>
  </si>
  <si>
    <t>Asset/Shareholder's Equity</t>
  </si>
  <si>
    <t>Capital Employed</t>
  </si>
  <si>
    <t>Working Capital as a % of Sales</t>
  </si>
  <si>
    <t>Capital Employed as a % of Sales</t>
  </si>
  <si>
    <t>Working Capital Growth Rate</t>
  </si>
  <si>
    <t>Capital Employed Growth Rate</t>
  </si>
  <si>
    <t>EBIT/Capital Employed</t>
  </si>
  <si>
    <t>(Total Asset - Current Liabilities) or (Shareholder's Equity + Debt Liabilities)</t>
  </si>
  <si>
    <t>Working Capital/Sales</t>
  </si>
  <si>
    <t>Capital Employed/Sales</t>
  </si>
  <si>
    <t>Working Capital as a % of PAT</t>
  </si>
  <si>
    <t>Capital Employed as a % of PAT</t>
  </si>
  <si>
    <t>Working Capital as a % of CFO</t>
  </si>
  <si>
    <t>Capital Employed as a % of CFO</t>
  </si>
  <si>
    <t>Working Capital/PAT</t>
  </si>
  <si>
    <t>Working Capital/CFO</t>
  </si>
  <si>
    <t>Capital Employed/CFO</t>
  </si>
  <si>
    <t>Working Capital Ratio</t>
  </si>
  <si>
    <t>Current Assets - Current Liabilities</t>
  </si>
  <si>
    <t>Current Assets/Current Liabilities</t>
  </si>
  <si>
    <t>EBIT/Interest Expense</t>
  </si>
  <si>
    <t>(Current Assets - Inventories)/Current Liabilities</t>
  </si>
  <si>
    <t>(Cash + Cash Equivalent + Invested Funds)/ Current Liabilities</t>
  </si>
  <si>
    <t>DIO+DSO-DPO</t>
  </si>
  <si>
    <t>(Inventory/COGS)*365</t>
  </si>
  <si>
    <t>Sales/Inventory</t>
  </si>
  <si>
    <t>(Sales/Net Block)*365</t>
  </si>
  <si>
    <t>Saless/No. of Employees</t>
  </si>
  <si>
    <t>(Accounts Receivable/Total Credit Sales)*365</t>
  </si>
  <si>
    <t>(Accounts Payable/Cost of Sales)*365</t>
  </si>
  <si>
    <t>CEO Salary/PAT</t>
  </si>
  <si>
    <t>CEO Salary/OCF</t>
  </si>
  <si>
    <t>CEO Salary/FCF</t>
  </si>
  <si>
    <t>Calculation</t>
  </si>
  <si>
    <t>Operating Cashflow/Total Debt</t>
  </si>
  <si>
    <t>Operating Cashflow/Net Sales</t>
  </si>
  <si>
    <t>Free Cashflow/Net Sales</t>
  </si>
  <si>
    <t>Operating Cashflow Growth Rate</t>
  </si>
  <si>
    <t>Free Cashflow Growth Rate</t>
  </si>
  <si>
    <t>Short Term Debt Coverage</t>
  </si>
  <si>
    <t>CAPEX Coverage</t>
  </si>
  <si>
    <t>Operating Cash flow/Short Term Debt</t>
  </si>
  <si>
    <t>Operating Cash Flow/CAPEX</t>
  </si>
  <si>
    <t>Market Value of Common Stock + Market Value of Preferred Stock + Market Value of Debt + Minority Interest - Cash and Investments</t>
  </si>
  <si>
    <t>Share Price/Book Value per Share</t>
  </si>
  <si>
    <t>Enterprise Value/EBITDA</t>
  </si>
  <si>
    <t>(Interest Return - Interest Expense)/Average Earning Assets</t>
  </si>
  <si>
    <t>As per Annual Report</t>
  </si>
  <si>
    <t>No. of Employees</t>
  </si>
  <si>
    <t>For IT Companies</t>
  </si>
  <si>
    <t>Operating Cash flow</t>
  </si>
  <si>
    <t>CAPEX</t>
  </si>
  <si>
    <t>Free Cash Flow</t>
  </si>
  <si>
    <t>Total Dividend Paid</t>
  </si>
  <si>
    <t>No. of Shares Outstanding(Crores)</t>
  </si>
  <si>
    <t>Value</t>
  </si>
  <si>
    <t>Working Capital1</t>
  </si>
  <si>
    <t>Working Capital2 (Without Cash)</t>
  </si>
  <si>
    <t>Invested Capital1 (Equity + Long Debt)</t>
  </si>
  <si>
    <t>Invested Capital2 (Equity + Long Debt- Cash)</t>
  </si>
  <si>
    <t>invested Capital3(Net Block + Work in Progress + WC w/o cash)</t>
  </si>
  <si>
    <t>invested Capital4(Net Block  + WC w/o cash)</t>
  </si>
  <si>
    <t>EBIT</t>
  </si>
  <si>
    <t>Return on Invested Capital1</t>
  </si>
  <si>
    <t>Return on Invested Capital2</t>
  </si>
  <si>
    <t>Return on Invested Capital3</t>
  </si>
  <si>
    <t>Return on Invested Capital4</t>
  </si>
  <si>
    <t>Days Inventory Outstanding/Inventory Days</t>
  </si>
  <si>
    <t>Days Sales Outstanding/Debtor Days</t>
  </si>
  <si>
    <t>Current Assets - Current Liabilities - Cash and Cash Equivalents</t>
  </si>
  <si>
    <t>Change in Net Block + Change in WIP + Depreciation</t>
  </si>
  <si>
    <t>Derived Numbers</t>
  </si>
  <si>
    <t>Return Ratios</t>
  </si>
  <si>
    <t>Operating Ratio</t>
  </si>
  <si>
    <t>Leverage Ratio</t>
  </si>
  <si>
    <t>Valuation Ratio</t>
  </si>
  <si>
    <t>Corporate Governance Ratio</t>
  </si>
  <si>
    <t>Banking Ratio</t>
  </si>
  <si>
    <t>Growth Ratio</t>
  </si>
  <si>
    <t>Margin Ratio</t>
  </si>
  <si>
    <t>PAT/Capital Employed</t>
  </si>
  <si>
    <t>P&amp;L Items</t>
  </si>
  <si>
    <t>Cash Flow Items</t>
  </si>
  <si>
    <t>Balance Sheet Items</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</si>
  <si>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</si>
  <si>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</si>
  <si>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</si>
  <si>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</si>
  <si>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</si>
  <si>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</si>
  <si>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</si>
  <si>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</si>
  <si>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</si>
  <si>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Cash as a % of Share Price</t>
  </si>
  <si>
    <t>Cash per Share/Share Price</t>
  </si>
  <si>
    <t>CAGR Overall</t>
  </si>
  <si>
    <t>CAGR 5 Years</t>
  </si>
  <si>
    <t>CAGR 3 Years</t>
  </si>
  <si>
    <t>Accounts Recievable as a % of Sales</t>
  </si>
  <si>
    <t>Accounts Receivable/Sales</t>
  </si>
  <si>
    <t>Inventory as a % of Sales</t>
  </si>
  <si>
    <t>Inventory/Sales</t>
  </si>
  <si>
    <t>Reciebales and Inventory as a % of Sales</t>
  </si>
  <si>
    <t>(Receivables+Inventory)/Sales</t>
  </si>
  <si>
    <t>Cash as a % of Long Term Debt</t>
  </si>
  <si>
    <t>Cash/Long Term Debt</t>
  </si>
  <si>
    <t>Interest as a % of Long Term Debt</t>
  </si>
  <si>
    <t>Historical Quick Resignations</t>
  </si>
  <si>
    <t>Hero Motocorp: 2-Stage DCF</t>
  </si>
  <si>
    <t>Figures in Rs Crore | Enter values only in red cells</t>
  </si>
  <si>
    <t>Initial Cash Flow</t>
  </si>
  <si>
    <t>Years</t>
  </si>
  <si>
    <t>FCF Growth Rate</t>
  </si>
  <si>
    <t>Discount Rate</t>
  </si>
  <si>
    <t>Terminal Growth Rate</t>
  </si>
  <si>
    <t>Shares Outstanding (Crore)</t>
  </si>
  <si>
    <t>Net Debt Level</t>
  </si>
  <si>
    <r>
      <rPr>
        <b/>
        <sz val="15"/>
        <color rgb="FFC00000"/>
        <rFont val="Arial"/>
        <family val="2"/>
      </rPr>
      <t xml:space="preserve">Why DCF?        </t>
    </r>
    <r>
      <rPr>
        <b/>
        <sz val="12"/>
        <color rgb="FFC00000"/>
        <rFont val="Arial"/>
        <family val="2"/>
      </rPr>
      <t xml:space="preserve">                                     </t>
    </r>
    <r>
      <rPr>
        <b/>
        <sz val="11"/>
        <color theme="1"/>
        <rFont val="Arial"/>
        <family val="2"/>
      </rPr>
      <t>The value of a business is simply the present value of cash that investors can take out of the business over its lifetime.</t>
    </r>
  </si>
  <si>
    <t>Year</t>
  </si>
  <si>
    <t>FCF</t>
  </si>
  <si>
    <t>Growth</t>
  </si>
  <si>
    <t>Present Value</t>
  </si>
  <si>
    <t>1-5</t>
  </si>
  <si>
    <t>6-10</t>
  </si>
  <si>
    <t>Final Calculations</t>
  </si>
  <si>
    <t>Terminal Year</t>
  </si>
  <si>
    <t>PV of Year 1-10 Cash Flows</t>
  </si>
  <si>
    <t>Terminal Value</t>
  </si>
  <si>
    <t>Total PV of Cash Flows</t>
  </si>
  <si>
    <t>Number of Shares</t>
  </si>
  <si>
    <t>DCF Value / Share (Rs)</t>
  </si>
  <si>
    <t>Fixed Asset</t>
  </si>
  <si>
    <t>Non-Current Investment, Lona Advances, Other non-current asset an current assets</t>
  </si>
  <si>
    <t>Loans and Advances</t>
  </si>
  <si>
    <t>Hero Motocorp - Fair Value Calculation</t>
  </si>
  <si>
    <t>(Enter values only in red cells)</t>
  </si>
  <si>
    <t>Diluted EPS (Rs)</t>
  </si>
  <si>
    <t>High P/E (x)</t>
  </si>
  <si>
    <t>Low P/E (x)</t>
  </si>
  <si>
    <t>Average P/E (x)</t>
  </si>
  <si>
    <t>Valuation - Different Methods (Rs)</t>
  </si>
  <si>
    <t>Avg P/E Ratio Valuation</t>
  </si>
  <si>
    <t>DCF</t>
  </si>
  <si>
    <t>Fair Value Range (Rs/Share)</t>
  </si>
  <si>
    <t>High End</t>
  </si>
  <si>
    <t>Low End</t>
  </si>
  <si>
    <t>Margin of Safety (MoS)</t>
  </si>
  <si>
    <t>Fair Value after MoS</t>
  </si>
  <si>
    <t>Current Mkt. Price (CMP, Rs)</t>
  </si>
  <si>
    <t>Premium / (Discount)</t>
  </si>
  <si>
    <r>
      <rPr>
        <b/>
        <sz val="20"/>
        <color rgb="FFC00000"/>
        <rFont val="Arial"/>
        <family val="2"/>
      </rPr>
      <t xml:space="preserve">Remember!  </t>
    </r>
    <r>
      <rPr>
        <b/>
        <sz val="12"/>
        <color rgb="FFC00000"/>
        <rFont val="Arial"/>
        <family val="2"/>
      </rPr>
      <t xml:space="preserve"> </t>
    </r>
    <r>
      <rPr>
        <b/>
        <sz val="12"/>
        <color theme="1"/>
        <rFont val="Arial"/>
        <family val="2"/>
      </rPr>
      <t xml:space="preserve">                                                                                            Give importance to a stock's fair value only "after" you have answered in "Yes" to these two questions - (1) Is this business simple to be understood? and (2) Can I understand this business?
Don't try to quantify everything. In stock research, the less non-mathematical you are, the more simple, sensible, and useful will be your analysis and results. Great analysis is generally "back-of-the-envelope".
Also, your calculated "fair value" will be proven wrong in the future, so don't invest your savings just because you fall in love with it. Don't look for perfection. It is overrated. </t>
    </r>
    <r>
      <rPr>
        <b/>
        <sz val="12"/>
        <color rgb="FFC00000"/>
        <rFont val="Arial"/>
        <family val="2"/>
      </rPr>
      <t>Focus on decisions, not outcomes. Look for disconfirming evidence. Pray!</t>
    </r>
  </si>
  <si>
    <t>High Price</t>
  </si>
  <si>
    <t>Low Price</t>
  </si>
  <si>
    <t>Expected Return Model</t>
  </si>
  <si>
    <t>Hero Motocorp</t>
  </si>
  <si>
    <t>CAGR (10-Yr)</t>
  </si>
  <si>
    <t>CAGR (5-Yr)</t>
  </si>
  <si>
    <t>Profit After Tax (Rs Cr)</t>
  </si>
  <si>
    <t>Earnings per Share (Rs )</t>
  </si>
  <si>
    <t>Net Profit Margin</t>
  </si>
  <si>
    <t>Calculations</t>
  </si>
  <si>
    <t>Esti. CAGR in EPS over next 10 years</t>
  </si>
  <si>
    <t>Esti. EPS after 10 years</t>
  </si>
  <si>
    <t>Current P/E</t>
  </si>
  <si>
    <t>Esti. Stock Price @ 20x P/E</t>
  </si>
  <si>
    <t>CMP (Rs)</t>
  </si>
  <si>
    <t>Esti. CAGR Return in 10 Years</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</si>
  <si>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</si>
  <si>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</si>
  <si>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</si>
  <si>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</si>
  <si>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</si>
  <si>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</si>
  <si>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</si>
  <si>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</si>
  <si>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</si>
  <si>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</si>
  <si>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</si>
  <si>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</si>
  <si>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</si>
  <si>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Power and fuel</t>
  </si>
  <si>
    <t>Miscellaneous expenses</t>
  </si>
  <si>
    <t>R&amp;D Cost</t>
  </si>
  <si>
    <t>Capex</t>
  </si>
  <si>
    <t>Gross Profit</t>
  </si>
  <si>
    <t>EBITDA</t>
  </si>
  <si>
    <t>Depreciation &amp; Amortisation</t>
  </si>
  <si>
    <t>PBT</t>
  </si>
  <si>
    <t>PAT</t>
  </si>
  <si>
    <t>Dividends</t>
  </si>
  <si>
    <t>Current Market Cap</t>
  </si>
  <si>
    <t>Equity</t>
  </si>
  <si>
    <t>Reserves &amp; Surplus</t>
  </si>
  <si>
    <t>Networth</t>
  </si>
  <si>
    <t>Secured Loans</t>
  </si>
  <si>
    <t>Unsecured Loans</t>
  </si>
  <si>
    <t>Net Fixed Assets</t>
  </si>
  <si>
    <t>Net Other Assets</t>
  </si>
  <si>
    <t>Invested Capital</t>
  </si>
  <si>
    <t>Total Assets</t>
  </si>
  <si>
    <t>Operating Cash Flow</t>
  </si>
  <si>
    <t>Tax Rate</t>
  </si>
  <si>
    <t>MktCap+Dividend</t>
  </si>
  <si>
    <t>Retained Profit</t>
  </si>
  <si>
    <t>Price/Book</t>
  </si>
  <si>
    <t>Price/Sales</t>
  </si>
  <si>
    <t>Z-Weights</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</si>
  <si>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</si>
  <si>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</si>
  <si>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</si>
  <si>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</si>
  <si>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</si>
  <si>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</si>
  <si>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</si>
  <si>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</si>
  <si>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</si>
  <si>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Cash</t>
  </si>
  <si>
    <t>Current Asset</t>
  </si>
  <si>
    <t>NOPAT</t>
  </si>
  <si>
    <t>Price/operating CashFlow</t>
  </si>
  <si>
    <t>Price/Free Cashflow</t>
  </si>
  <si>
    <t>Total Liability</t>
  </si>
  <si>
    <t xml:space="preserve"> </t>
  </si>
  <si>
    <t>DELTA NETWORTH</t>
  </si>
  <si>
    <t>DELTA MKTCAP</t>
  </si>
  <si>
    <t>IMPACT*</t>
  </si>
  <si>
    <t>HISTORICAL VALUATIONS</t>
  </si>
  <si>
    <t>PRE-TAX BOND</t>
  </si>
  <si>
    <t>P/E</t>
  </si>
  <si>
    <t>P/B</t>
  </si>
  <si>
    <t>P/SALES</t>
  </si>
  <si>
    <t>LongTerm Bond</t>
  </si>
  <si>
    <t>MIN</t>
  </si>
  <si>
    <t>LTB Quote</t>
  </si>
  <si>
    <t>5 YR</t>
  </si>
  <si>
    <t>MAX</t>
  </si>
  <si>
    <t>Quoting @</t>
  </si>
  <si>
    <t>3 YR</t>
  </si>
  <si>
    <t>1 YR</t>
  </si>
  <si>
    <t>* IMPACT – Every Rupee retained added xx.yy in incremental market value</t>
  </si>
  <si>
    <t>SALES</t>
  </si>
  <si>
    <t>GROSS PROFIT</t>
  </si>
  <si>
    <t>DIVIDEND</t>
  </si>
  <si>
    <t>EPA</t>
  </si>
  <si>
    <t>MKTCAP</t>
  </si>
  <si>
    <t>CFO</t>
  </si>
  <si>
    <t>NETWORTH</t>
  </si>
  <si>
    <t>TOTAL RETURNS</t>
  </si>
  <si>
    <t>10 YR CAGR</t>
  </si>
  <si>
    <t>5 YR CAGR</t>
  </si>
  <si>
    <t>3 YR CAGR</t>
  </si>
  <si>
    <t>1 YR GROWTH</t>
  </si>
  <si>
    <t xml:space="preserve">    </t>
  </si>
  <si>
    <t>Long term debt/Earning</t>
  </si>
  <si>
    <t>Current liablility/Earning</t>
  </si>
  <si>
    <t>Total liability/Earning</t>
  </si>
  <si>
    <t>Debt/Equity</t>
  </si>
  <si>
    <t>Interest Coverage</t>
  </si>
  <si>
    <t>Inventory Days</t>
  </si>
  <si>
    <t>Inventory turnover</t>
  </si>
  <si>
    <t>Cash In/Cash Out Ratio</t>
  </si>
  <si>
    <t>CFO/PAT</t>
  </si>
  <si>
    <t>Gross Margin</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</si>
  <si>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</si>
  <si>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</si>
  <si>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</si>
  <si>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</si>
  <si>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</si>
  <si>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</si>
  <si>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</si>
  <si>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</si>
  <si>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</si>
  <si>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</si>
  <si>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</si>
  <si>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</si>
  <si>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</si>
  <si>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</si>
  <si>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</si>
  <si>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</si>
  <si>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</si>
  <si>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</si>
  <si>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</si>
  <si>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</si>
  <si>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</si>
  <si>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EPA/Sales</t>
  </si>
  <si>
    <t>MktCap</t>
  </si>
  <si>
    <t>MktCap Change</t>
  </si>
  <si>
    <t>MktCap Change - EPA</t>
  </si>
  <si>
    <t>Capex/Cash Flows 10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</si>
  <si>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</si>
  <si>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</si>
  <si>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</si>
  <si>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</si>
  <si>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</si>
  <si>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</si>
  <si>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</si>
  <si>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</si>
  <si>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</si>
  <si>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</si>
  <si>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</si>
  <si>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PEG</t>
  </si>
  <si>
    <t>Capex/Cash Flows 7 yr</t>
  </si>
  <si>
    <t>Capex/Cash Flows 5 yr</t>
  </si>
  <si>
    <t>Capex/Cash Flows 3 yr</t>
  </si>
  <si>
    <t>Financial Attractiveness</t>
  </si>
  <si>
    <t>Corporate Governance</t>
  </si>
  <si>
    <t>Dividend Increament History</t>
  </si>
  <si>
    <t>Equity Dilution</t>
  </si>
  <si>
    <t>Market Potential</t>
  </si>
  <si>
    <t>Valuation Attractiveness</t>
  </si>
  <si>
    <t>MOAT</t>
  </si>
  <si>
    <t>Business Performnce/Strength</t>
  </si>
  <si>
    <t>Industry Market Cap/Industry Market Size</t>
  </si>
  <si>
    <t>Cuurent Leverage</t>
  </si>
  <si>
    <t>Avg. Return on Equity (3 Years)</t>
  </si>
  <si>
    <t>Avg. Working Capital/Sales (3 Years)</t>
  </si>
  <si>
    <t>Avg. Asset turnover (3 Years)</t>
  </si>
  <si>
    <t>Increase in Market Share CAGR (3 Years)</t>
  </si>
  <si>
    <t>Industry Projecte Growth Rate for next 5 Years</t>
  </si>
  <si>
    <t>Avg. Net Profit Margin (3 Years)</t>
  </si>
  <si>
    <t>Historic Revenue Growth</t>
  </si>
  <si>
    <t>Historic PAT Growth</t>
  </si>
  <si>
    <t>Historic EPS Growth</t>
  </si>
  <si>
    <t>Historic Return on Equity Growth</t>
  </si>
  <si>
    <t>Historic Net Profit Margin Growth</t>
  </si>
  <si>
    <t>Historic Reduction in Leverage</t>
  </si>
  <si>
    <t>Historic Asset Utilization Growth</t>
  </si>
  <si>
    <t>Historic Increase in CFO</t>
  </si>
  <si>
    <t>Historic Increase in FCF</t>
  </si>
  <si>
    <t>Unrelated Diversificification</t>
  </si>
  <si>
    <t>Weightage</t>
  </si>
  <si>
    <t>Score</t>
  </si>
  <si>
    <t>Historic Financial Performance (CAGR 10 or 5 Years)</t>
  </si>
  <si>
    <t>Avg. Wrong Guidance (Deviation)</t>
  </si>
  <si>
    <t>Count of Wrong Guidance</t>
  </si>
  <si>
    <t>Misuse of Capital (% of Reserve)</t>
  </si>
  <si>
    <t>Trailing PEG</t>
  </si>
  <si>
    <t>Forward PEG</t>
  </si>
  <si>
    <t>Market Share Rank (Top percentile in Organized)</t>
  </si>
  <si>
    <t>Pricing Power(Avg. Price Hike per Unit)</t>
  </si>
  <si>
    <t>Choose Business Type (Growing/Moderate/Saturated)</t>
  </si>
  <si>
    <t>Company Projecte Growth Rate above industry for next 5 Years</t>
  </si>
  <si>
    <t>Avg. CFO/PAT (3 Years)</t>
  </si>
  <si>
    <t>Avg FCF/PAT (3 Years)</t>
  </si>
  <si>
    <t>Avg. CAPEX/FCF (3 Years)</t>
  </si>
  <si>
    <t>Higher the Score Better</t>
  </si>
  <si>
    <t>Max Score</t>
  </si>
  <si>
    <t>Parameters</t>
  </si>
  <si>
    <t>Allocated Score</t>
  </si>
  <si>
    <t>Achieved Score</t>
  </si>
  <si>
    <t>% Achieved</t>
  </si>
  <si>
    <t>Historic Improvement in Working Capital Utlization</t>
  </si>
  <si>
    <t>FCF/PAT</t>
  </si>
  <si>
    <t>CAPEX/FCF</t>
  </si>
  <si>
    <t>Average Dividend Payout</t>
  </si>
  <si>
    <t>Qualitative</t>
  </si>
  <si>
    <t>Quantitative</t>
  </si>
  <si>
    <t>Market Rank</t>
  </si>
  <si>
    <t>Company Expected Growth Rate</t>
  </si>
  <si>
    <t>Industry Expected Growth Rate</t>
  </si>
  <si>
    <t>PY5</t>
  </si>
  <si>
    <t>PY4</t>
  </si>
  <si>
    <t>PY3</t>
  </si>
  <si>
    <t>PY2</t>
  </si>
  <si>
    <t>CY</t>
  </si>
  <si>
    <t>FY1</t>
  </si>
  <si>
    <t>FY2</t>
  </si>
  <si>
    <t>FY3</t>
  </si>
  <si>
    <t>FY4</t>
  </si>
  <si>
    <t>FY5</t>
  </si>
  <si>
    <t>Market Share (Top Percentile)</t>
  </si>
  <si>
    <t>Price/Unit</t>
  </si>
  <si>
    <t>Industry Market Cap</t>
  </si>
  <si>
    <t>Industry Market Size</t>
  </si>
  <si>
    <t>Consolidated Score</t>
  </si>
  <si>
    <t>Achieved</t>
  </si>
  <si>
    <t>Reputation</t>
  </si>
  <si>
    <t>Name</t>
  </si>
  <si>
    <t>SSGR</t>
  </si>
  <si>
    <t>CFO-Capex</t>
  </si>
  <si>
    <t>Gross Asset</t>
  </si>
  <si>
    <t>Net Fixed Asset</t>
  </si>
  <si>
    <t>Depreciation as a % of NPAT</t>
  </si>
  <si>
    <t>NFAT</t>
  </si>
  <si>
    <t>DIVIDEND YIELD</t>
  </si>
  <si>
    <t>Min</t>
  </si>
  <si>
    <t>Max</t>
  </si>
  <si>
    <t>Avg.</t>
  </si>
  <si>
    <t>CAGR</t>
  </si>
  <si>
    <t>Sum 9 Years</t>
  </si>
  <si>
    <t>Sum 5 Years</t>
  </si>
  <si>
    <t>Sum 3 Years</t>
  </si>
  <si>
    <t>AVERGE</t>
  </si>
  <si>
    <t>TAX</t>
  </si>
  <si>
    <t>CURRENT</t>
  </si>
  <si>
    <t>INTEREST COVERAGE</t>
  </si>
  <si>
    <t>DEBT/EQUITY</t>
  </si>
  <si>
    <t>Earnings Yield</t>
  </si>
  <si>
    <t>SALARY/PAT</t>
  </si>
  <si>
    <t>PROMOTER SHAREHOLDING</t>
  </si>
  <si>
    <t>FII</t>
  </si>
  <si>
    <t>DII</t>
  </si>
  <si>
    <t>FCF/CFO</t>
  </si>
  <si>
    <t>CURRENT RATIO</t>
  </si>
  <si>
    <t>CREDIT RATING</t>
  </si>
  <si>
    <t>OPERATING AND FINANCIAL PARAMETERS</t>
  </si>
  <si>
    <t>COGS</t>
  </si>
  <si>
    <t>SALARY</t>
  </si>
  <si>
    <t>WC/SALES</t>
  </si>
  <si>
    <t>INVENTORY DAYS</t>
  </si>
  <si>
    <t>DEBTOR DAYS</t>
  </si>
  <si>
    <t>INVENTORY TURNOVER</t>
  </si>
  <si>
    <t>DEBTOR TURNOVER</t>
  </si>
  <si>
    <t>ASSET TURNOVER</t>
  </si>
  <si>
    <t>ROA</t>
  </si>
  <si>
    <t>LEVERAGE</t>
  </si>
  <si>
    <t>ROE</t>
  </si>
  <si>
    <t>ROCE</t>
  </si>
  <si>
    <t>ACCOUNTS RECIVABLE %</t>
  </si>
  <si>
    <t>SALES GROWTH</t>
  </si>
  <si>
    <t>EPS GROWTH</t>
  </si>
  <si>
    <t>AR GROWTH</t>
  </si>
  <si>
    <t>INVENTORY GROWTH</t>
  </si>
  <si>
    <t>Accounts Receivable as a % of Revenue</t>
  </si>
  <si>
    <t>Inventory as a % of Revenue</t>
  </si>
  <si>
    <t>INVENTORY %</t>
  </si>
  <si>
    <t>DISCOUNT TO AVG.</t>
  </si>
  <si>
    <t>10/9 YR</t>
  </si>
  <si>
    <t>BEST PRACTICE DISCOUNT</t>
  </si>
  <si>
    <t>S.No</t>
  </si>
  <si>
    <t>Criteria</t>
  </si>
  <si>
    <t>Criteria Matched</t>
  </si>
  <si>
    <t>FINANCIAL ANALYSIS</t>
  </si>
  <si>
    <t>Sales growth</t>
  </si>
  <si>
    <t>CAGR &gt;15% for last 7-10 years</t>
  </si>
  <si>
    <t>Growth should be consistent year on year. Ignore companies where a sudden spurt of sales in one year is confounding the 10 years performance.
Very high growth rates of &gt;50% are unsustainable.</t>
  </si>
  <si>
    <t>10 years sales growth is 22%. Though it saw a sudden increase in sales from 2013 to 2014 of 52%</t>
  </si>
  <si>
    <t>Yes</t>
  </si>
  <si>
    <t>Profitability</t>
  </si>
  <si>
    <t>NPM &gt;8%</t>
  </si>
  <si>
    <t>Look for companies with sustained operating &amp; net profit margins over the years - See more at: http://www.drvijaymalik.com/2015/01/selecting-top-stocks-to-buy-part-10.html#sthash.swZnrKBv.dpuf</t>
  </si>
  <si>
    <t>10 year average OPM is 7.38%. It has been mostly stable and increasing from 4.88% in 2006 to 7.25% in 2015. Though rice is commodity and price fluctuate company is able to increase OPM driven by its practice of maintaining low inventory, which helped it to mitigate the impact of falling paddy prices during the year. The trailing OPM stands at 12.76% due to increase in sales and managing cost and branding and marketing effort. Despite Iran sanctions, there is no impact on OPM as company policy of 10% exposure to Iran. With sanctions removed this could further increase.</t>
  </si>
  <si>
    <t>Tax payout</t>
  </si>
  <si>
    <t>&gt;30%</t>
  </si>
  <si>
    <t>The tax rate should be near general corporate tax rate unless some specific tax incentives are applicable to the company.</t>
  </si>
  <si>
    <t>Since 2009 company is maintaining tax rate of &gt; 30%
Minimum tax rate is 18% in 2008, 23% in 2007 and 28% in 2006.</t>
  </si>
  <si>
    <t>Interest coverage</t>
  </si>
  <si>
    <t>&gt;3</t>
  </si>
  <si>
    <t>5.68 for 2015 and has been more than 3 in last 5 years.Rating upgraded to BBB+/Stable/CRISIL A2' from 'CRISIL BBB/Stable/CRISIL A3+'. marked by low gearing and a strong interest coverage ratio</t>
  </si>
  <si>
    <t>Debt to Equity ratio</t>
  </si>
  <si>
    <t>&lt; 0.5</t>
  </si>
  <si>
    <t>Look for companies with D/E ratio of as low as possible. Preferably zero debt.</t>
  </si>
  <si>
    <t>0.63 for 2015, reduced from 1.32 in 2011. It is close to reaching the range of &lt; 0.5 this year based on good earnings. According to CRISIL "The rating upgrade also factors in CLSE's healthy liquidity, with expected cash accruals of Rs.230 million to Rs.250 million per annum, against nil debt repayment obligations, in 2015-16 and 2016-17. Moreover, the company has efficiently managed its working capital requirements as reflected in its gross current assets of 99 days, with receivables at 40 days and inventory at 50 days, as on March 31, 2015. Also, the average utilization of its working capital facility has been low at 30 per cent over the past 12 months through March 2015. CRISIL believes that CLSE will maintain its business risk profile and liquidity over the medium term, supported by its increasing scale of operations and efficient working capital management"</t>
  </si>
  <si>
    <t>Current ratio</t>
  </si>
  <si>
    <t>&gt;1.25</t>
  </si>
  <si>
    <t>Cash flow</t>
  </si>
  <si>
    <t>CFO &gt; 0</t>
  </si>
  <si>
    <t>Positive CFO is necessary. It’s great if CFO meets the outflow for CFI and CFF</t>
  </si>
  <si>
    <t>10 year cCFO is 20.2 cr. It has been positive and negative in alternate years. Seems it stuck in working capital.</t>
  </si>
  <si>
    <t>No</t>
  </si>
  <si>
    <t>Cumulative PAT vs. CFO</t>
  </si>
  <si>
    <t>cPAT ~ cCFO</t>
  </si>
  <si>
    <t>Cumulative PAT and CFO are similar for last 10 years</t>
  </si>
  <si>
    <t>10 year cPAT is 82.77 cr. 10 year cCFO is 20.2 cr. The company is not able to convert profits into cash. Need to check further. Inventory turnover has increased from 2.51 to 7.46. Receivable days see no improvement and remain at 34 days since last 10 years with some cyclical ranging from 33 to 53.</t>
  </si>
  <si>
    <t>VALUATION ANALYSIS</t>
  </si>
  <si>
    <t>P/E ratio</t>
  </si>
  <si>
    <t>&lt; 10</t>
  </si>
  <si>
    <t>Such companies provide good margin of safety</t>
  </si>
  <si>
    <t>P/E to Growth ratio (PEG ratio)</t>
  </si>
  <si>
    <t>&lt; 1</t>
  </si>
  <si>
    <t>Earnings Yield (EY)</t>
  </si>
  <si>
    <t>&gt; 10 year G-Sec yield</t>
  </si>
  <si>
    <t>EY should be greater than long term government bond yields or bank fixed deposit interest rates</t>
  </si>
  <si>
    <t>P/B ratio</t>
  </si>
  <si>
    <t>However, I find P/B ratio irrelevant for sectors other than financial services</t>
  </si>
  <si>
    <t>Price to Sales ratio (P/S ratio)</t>
  </si>
  <si>
    <t>&lt; 1.5</t>
  </si>
  <si>
    <t>James O’Shaughnessy: Buy if P/S ratio is &lt; 1.5 and sell if &gt;3</t>
  </si>
  <si>
    <t>Dividend Yield (DY)</t>
  </si>
  <si>
    <t>&gt; 0%</t>
  </si>
  <si>
    <t>Higher the better. DY of &gt;5% is very attractive. However, do not focus a lot on DY for companies in fast growth phase</t>
  </si>
  <si>
    <t>BUSINESS &amp; INDUSTRY ANALYSIS</t>
  </si>
  <si>
    <t>Comparison with industry peers</t>
  </si>
  <si>
    <t>Sales growth &gt; peers</t>
  </si>
  <si>
    <t>The Company must show sales growth higher than peers. If its sales growth is similar to peers, then there is no Moat</t>
  </si>
  <si>
    <t>KRBL which sells India gate basmati rice is the biggest player with sales of 3113 cr and PAT of 280 cr has a sales growth of 17% in last 10 years compared to 22.73% of Chaman Lal.
LT Foods with Daawat basmati rice has 2015 sales of 2734 cr with PAT of 76 cr has 10 years sales growth of 22.4%
Kohinoor foods with sales of 1158 cr in 2015 and PAT of -72.55 cr has sales growth of 8.86% in 10 years.
So Chaman Lal is growing at better rate than peers and matches growth rate of LT Foods</t>
  </si>
  <si>
    <t>Increase in production capacity and sales volume</t>
  </si>
  <si>
    <t>Production capacity &amp; sales volume CAGR ~ Sales CAGR</t>
  </si>
  <si>
    <t>Company must have shown increased market penetration by selling higher volumes of its product/service</t>
  </si>
  <si>
    <t>The capacity of 14 MT/hr. in 2011 as per Crisil report. The same capacity till 2015.
Actual Production 2015 = 31325.2 MT
Actual Production 2010 = 32499.5 MT
Surprising to see the sales coming from export in 2015  as 393cr compared to 112cr in 2010 with the same production.</t>
  </si>
  <si>
    <t>Conversion of sales growth into profits</t>
  </si>
  <si>
    <t>Profit CAGR ~ Sales CAGR</t>
  </si>
  <si>
    <t>A Moat would result in increasing profits with increasing sales. Otherwise, sales growth is only a result of unnecessary expansion or aggressive marketing push, which would erode value in long term.</t>
  </si>
  <si>
    <t>Profit growth at 31% compared to sales growth of 22%</t>
  </si>
  <si>
    <t>Conversion of profits into cash</t>
  </si>
  <si>
    <t>If cPAT &gt;&gt; cCFO, then either the profits are fictitious or the company is selling to any John Doe for higher sales without having the ability to collect money from them.</t>
  </si>
  <si>
    <t>10 year cPAT is 82.77 cr. 10 year cCFO is 20.2 cr. The company is not able to convert profits into cash. Need to check further. Inventory turnover has increased from 2.51 to 7.46. Receivable days see no improvement and remain at 34 days for last 10 years with some cyclical ranging from 33 to 53.
Crisil expects healthy liquidity, with expected cash accruals of Rs.230 million to Rs.250 million per annum, against nil debt repayment obligations, in 2015-16 and 2016-17</t>
  </si>
  <si>
    <t>Creation of value for shareholders from the profits retained</t>
  </si>
  <si>
    <t>The increase in MCap in last 10 yrs. &gt; Retained profits in last 10 yrs.</t>
  </si>
  <si>
    <t>Otherwise, company is destroying wealth of shareholders</t>
  </si>
  <si>
    <t>67.72 cr is retained earnings in 10 years.
268 cr is increased in market cap in 10 years.
For Re 1 retained Rs 3.95 market cap value created.</t>
  </si>
  <si>
    <t>MANAGEMENT ANALYSIS</t>
  </si>
  <si>
    <t>Background check of promoters &amp; directors</t>
  </si>
  <si>
    <t>Web Search</t>
  </si>
  <si>
    <t>There should not be any information questioning the integrity of promoters &amp; directors</t>
  </si>
  <si>
    <t xml:space="preserve">Chaman Lal is headed by an experienced management who brings along more than 25 years of experience in the rice production and processing industry. It is
led by Mr Chaman Lal Setia (chairman and managing director) who looks after
the overall management of the company. His two sons Mr Vijay Setia (executive director) 
looks after procurement, processing and production of rice, while Mr Rajeev
Setia (executive director) looks after marketing and finance activities.
Vijay Setia having experience of more than 35 years in Rice Milling Industry. About 20 research papers, two technologies under patent. President All India Rice Exporters Association (Regd.). He is also engaged by Gerson Lehrman Group as a consultant in the field of food technology.
</t>
  </si>
  <si>
    <t>Management succession plans</t>
  </si>
  <si>
    <t>Good succession plan should be in place</t>
  </si>
  <si>
    <t>Salary being paid to potential successors should be in line with their experience</t>
  </si>
  <si>
    <t xml:space="preserve">The second generation promoters
have also joined the operations and are actively involved in the business
activities. Mr Vijay Setia’s son Ankit Setia is a qualified food technologist and
supports the company in R&amp;D activities. Mr Sukarn Setia is driving the
company’s marketing initiative and is looking after strengthening Chaman Lal’s
position in the domestic as well export market. As per our interaction with the
management, the company is expected to remain a family-run business
</t>
  </si>
  <si>
    <t>Salary of promoters vs. net profits</t>
  </si>
  <si>
    <t>No salary increase with declining profits/losses</t>
  </si>
  <si>
    <t>promoter should not have a history of seeking increase in remuneration when the profits of the company declined in past</t>
  </si>
  <si>
    <t>Each of the senior MDs is getting 50 lacs/year. While second generation Sukarn and Sankesh Setia 6 lacs/year. While Ankit 62 lacs/year which includes the commission of 50 lac.
Overall the remuneration seems to be on the higher side to a tune of 2.32 cr which is 12% of the profit of 19.5 cr.</t>
  </si>
  <si>
    <t>Project execution skills</t>
  </si>
  <si>
    <t>Green/brownfield project execution</t>
  </si>
  <si>
    <t>The company should have shown good project execution skills with cost and time overruns.Exclude capacity increase by mergers &amp; acquisitions.</t>
  </si>
  <si>
    <t xml:space="preserve">The Company has developed a Novel and innovative process which involves recycling of most of the hot water used for soaking
of paddy during parboiling of rice, thereby generating little waste water and still having a high quality product.
The company’s novel and innovative products viz ; Bhatti Sella, Pesticide Residue free rice and quick cooking rice and Rice for
Diabetic People having moderate G.I Sale is picking up in various directions of the World markets particularly the Maharani Rice
suitable for Diabetic people
</t>
  </si>
  <si>
    <t>Consistent increase in dividend payments</t>
  </si>
  <si>
    <t>Dividend CAGR &gt; 0</t>
  </si>
  <si>
    <t>Dividends should be increasing with increase in profits of the company</t>
  </si>
  <si>
    <t>The company is reducing dividend % from 112% to 11% in last 10 years. It is retaining earnings in company for growth which it seems to achieve</t>
  </si>
  <si>
    <t>Promoter shareholding</t>
  </si>
  <si>
    <t>&gt; 51%</t>
  </si>
  <si>
    <t>Higher the better</t>
  </si>
  <si>
    <t>Promoter buying the shares</t>
  </si>
  <si>
    <t>Insider buying ++</t>
  </si>
  <si>
    <t>If promoter of a company buys its shares, investors should buy too</t>
  </si>
  <si>
    <t>Promoters stake remains constant</t>
  </si>
  <si>
    <t>FII shareholding</t>
  </si>
  <si>
    <t>~ 0%</t>
  </si>
  <si>
    <t>the lower the better</t>
  </si>
  <si>
    <t>OTHER BUSINESS PARAMETERS</t>
  </si>
  <si>
    <t>Product diversification</t>
  </si>
  <si>
    <t>Pure play</t>
  </si>
  <si>
    <t>The company should be either a pure play (only one business segment) or related products. Pure play model ensures that the management is specialized in what they are doing. Entirely different unrelated products/services are a strict NO. An investor should rather buy stocks of different companies if she wants such diversification.</t>
  </si>
  <si>
    <t>It’s a pure basmati rice processing company. Branding, packaging and exporting of rice. 80% revenue from exports.</t>
  </si>
  <si>
    <t>Govt. influence</t>
  </si>
  <si>
    <t>No govt. interference in profit making</t>
  </si>
  <si>
    <t>No cap on profit returns or pricing of the product.No compulsion to supply to certain clients.</t>
  </si>
  <si>
    <t>Govt. can influence but has less impact on basmati rice export as most of the basmati rice in India falls in the premium segment and used for exporting.</t>
  </si>
  <si>
    <t>Margin of Safety</t>
  </si>
  <si>
    <t>EY &gt; 10 Yr. G-Sec Yield</t>
  </si>
  <si>
    <t>Higher the EY than 10 Yr. G-Sec Yield, the better. This is the margin of safety in the purchase price.</t>
  </si>
  <si>
    <t>13.3% &gt; 7.5% so that provides a MoS of 5.8%</t>
  </si>
  <si>
    <t>SSGR &gt; Achieved Sales Growth Rate</t>
  </si>
  <si>
    <t>Higher the SSGR than achieved Sales Growth, the better</t>
  </si>
  <si>
    <t>SSGR coming as 64% for 2015. 10 yr. the average comes at 28%. I am bit not sure on my calculation. Please refer sheet SSGR.</t>
  </si>
  <si>
    <t>Free Cash Flow (FCF)</t>
  </si>
  <si>
    <t>FCF/CFO &gt;&gt; 0</t>
  </si>
  <si>
    <t>Higher the FCF as proportion of CFO, the better</t>
  </si>
  <si>
    <t xml:space="preserve">CFO and FCF alternating as positive and negative every year. Not sure if the ratio makes any sense.
6 year cCFO = 11.11 cr
6 year cFCF = -11.19 cr
6 year Capex = 22.30 cr
6 year Div Paid= 9.56 cr
Capex + Div = 31.86 cr while CFO = 11.11 cr
20.75 cr has to be supplied using debt.
</t>
  </si>
  <si>
    <t>Credit Rating</t>
  </si>
  <si>
    <t>Credit Rating History</t>
  </si>
  <si>
    <t>BBB- &amp; above</t>
  </si>
  <si>
    <t>Current credit rating should be minimum BBB- Credit rating should have been improving over the years</t>
  </si>
  <si>
    <t>Credit rating improved from CRISIL CRISIL BBB/Stable/CRISIL A3+ to BBB+/Stable/CRISIL A2</t>
  </si>
  <si>
    <t>EY</t>
  </si>
  <si>
    <t>Sales Growth vs Peers</t>
  </si>
  <si>
    <t>Sustainable SSGR</t>
  </si>
  <si>
    <t>Promoter Share</t>
  </si>
  <si>
    <t>Dividend CAGR</t>
  </si>
  <si>
    <t>PAT/NPM Margin</t>
  </si>
  <si>
    <t>Receivable as a % of Sales</t>
  </si>
  <si>
    <t>PAT CAGR/Sales CAGR</t>
  </si>
  <si>
    <t>X years Salary/X Years PAT</t>
  </si>
  <si>
    <t>Market Cap to Retained Earings</t>
  </si>
  <si>
    <t>Sales Volume to Sales Growth</t>
  </si>
  <si>
    <t>Goal</t>
  </si>
  <si>
    <t>Actual</t>
  </si>
  <si>
    <t>Weight</t>
  </si>
  <si>
    <t>PARAMETER</t>
  </si>
  <si>
    <t>WEIGHT</t>
  </si>
  <si>
    <t>Weighted Ma. Score</t>
  </si>
  <si>
    <t>Weighted Actual Score</t>
  </si>
  <si>
    <t>WEIGHTED SCORE</t>
  </si>
  <si>
    <t>PERCENTAGE</t>
  </si>
  <si>
    <t>Financial Anlaysis</t>
  </si>
  <si>
    <t>Valuation Analysis</t>
  </si>
  <si>
    <t>Industry Analysis</t>
  </si>
  <si>
    <t>Management Analysis</t>
  </si>
  <si>
    <t>Other Parameters</t>
  </si>
  <si>
    <t>Credit rating</t>
  </si>
  <si>
    <t>TOTAL</t>
  </si>
  <si>
    <t>Research Score</t>
  </si>
  <si>
    <t>VALUATION</t>
  </si>
  <si>
    <t>Valuation Min. Price</t>
  </si>
  <si>
    <t>Valuation Max. Price</t>
  </si>
  <si>
    <t>Valuation Avg. Price</t>
  </si>
  <si>
    <t>TTM EPS</t>
  </si>
  <si>
    <t>TTM P/E</t>
  </si>
  <si>
    <t>Cashflow from Operations - CAPEX- Dividend Payout</t>
  </si>
  <si>
    <t>Historical FCF Growth Rate</t>
  </si>
  <si>
    <t>10 Year FCF Growth Rate</t>
  </si>
  <si>
    <t>FCF Growth Rate Conservative</t>
  </si>
  <si>
    <t>Discount Rate Conservative</t>
  </si>
  <si>
    <t>CONSERVATIVE</t>
  </si>
  <si>
    <t>MODERATE</t>
  </si>
  <si>
    <t>Dividend</t>
  </si>
  <si>
    <t>Cashflow from Operations - CAPEX</t>
  </si>
  <si>
    <t>FCF without Div.</t>
  </si>
  <si>
    <t>Free Cash Flow without dividend</t>
  </si>
  <si>
    <t>Sl. No.</t>
  </si>
  <si>
    <t>Question</t>
  </si>
  <si>
    <t>Response</t>
  </si>
  <si>
    <t>Comment</t>
  </si>
  <si>
    <t>Has management shown unquestionable integrity?</t>
  </si>
  <si>
    <t>Has manageemnt been fair in rewards and compensation?</t>
  </si>
  <si>
    <t>Does company has good revenue growth rate historically?</t>
  </si>
  <si>
    <t>Does company has good revenue growth rate in recent years?</t>
  </si>
  <si>
    <t>Does company has good profit margins?</t>
  </si>
  <si>
    <t>Are profit margins cyclical or stable or increasing?</t>
  </si>
  <si>
    <t>Is company generating required sustainable growth rate?</t>
  </si>
  <si>
    <t>Is company generating sustainable ecomic value (EVA)?</t>
  </si>
  <si>
    <t>Is company able to convert PAT into CFO?</t>
  </si>
  <si>
    <t>Is company able to convert CFO into FCF?</t>
  </si>
  <si>
    <t>Is company able to grow its free cashflow?</t>
  </si>
  <si>
    <t>Has company been paying taxes at normal rates?</t>
  </si>
  <si>
    <t>Is company adequately leveraged to pay interest on time?</t>
  </si>
  <si>
    <t>Is company in comfortable leverage position?</t>
  </si>
  <si>
    <t>Is company comfortably positioned to manage current working capital?</t>
  </si>
  <si>
    <t>Is company operating in a highly working capital intensive environment?</t>
  </si>
  <si>
    <t>Are receivables building up?</t>
  </si>
  <si>
    <t>Are inventories piling up?</t>
  </si>
  <si>
    <t>Is company sitting on lot of cash?</t>
  </si>
  <si>
    <t>Is company PE available at cheaper valuations?</t>
  </si>
  <si>
    <t>Is company PB available at cheaper valuations?</t>
  </si>
  <si>
    <t>Is company P/S available at cheaper valuations?</t>
  </si>
  <si>
    <t>Is company providing good divident yield?</t>
  </si>
  <si>
    <t>Has company been increasing dividend payments?</t>
  </si>
  <si>
    <t>Has company outperformed peers in revenue growth?</t>
  </si>
  <si>
    <t>Has company been able to grow PAT more than revenue?</t>
  </si>
  <si>
    <t>Has company been able to create value for shareholder?</t>
  </si>
  <si>
    <t>Are company yields on safer side?</t>
  </si>
  <si>
    <t>ROIC</t>
  </si>
  <si>
    <t>ROIIC</t>
  </si>
  <si>
    <t>d6d4b5338a5ec97e10780aef8356fe8f_x0004__x0005_ÐÏ_x0011_à¡±_x001A_á_x0004__x0004__x0004__x0004__x0004__x0004__x0004__x0004__x0004__x0004__x0004__x0004__x0004__x0004__x0004__x0004_&gt;_x0004__x0003__x0004_þÿ	_x0004__x0006__x0004__x0004__x0004__x0004__x0004__x0004__x0004__x0004__x0004__x0004__x0004__x0002__x0004__x0004__x0004__x0001__x0004__x0004__x0004__x0004__x0004__x0004__x0004__x0004__x0010__x0004__x0004__x0002__x0004__x0004__x0004__x0001__x0004__x0004__x0004_þÿÿÿ_x0004__x0004__x0004__x0004__x0004__x0004__x0004__x0004_q_x0004__x0004__x0004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ýÿÿÿþÿÿÿþÿÿÿ_x0014__x0001__x0001__x0001__x0005__x0001__x0001__x0001__x0006__x0001__x0001__x0001__x0007__x0001__x0001__x0001__x0008__x0001__x0001__x0001_	_x0001__x0001__x0001__x0002__x0001__x0001__x0001__x000B__x0001__x0001__x0001__x000C__x0001__x0001__x0001__x000D__x0001__x0001__x0001__x000E__x0001__x0001__x0001__x000F__x0001__x0001__x0001__x0010__x0001__x0001__x0001__x0011__x0001__x0001__x0001__x0012__x0001__x0001__x0001__x0013__x0001__x0001__x0001__x0003__x0001__x0001__x0001__x0015__x0001__x0001__x0001__x0016__x0001__x0001__x0001__x0017__x0001__x0001__x0001__x0018__x0001__x0001__x0001__x0019__x0001__x0001__x0001__x001A__x0001__x0001__x0001__x001B__x0001__x0001__x0001__x001C__x0001__x0001__x0001__x001D__x0001__x0001__x0001__x001E__x0001__x0001__x0001__x001F__x0001__x0001__x0001_ _x0001__x0001__x0001_!_x0001__x0001__x0001_"_x0001__x0001__x0001_#_x0001__x0001__x0001_$_x0001__x0001__x0001_%_x0001__x0001__x0001_&amp;_x0001__x0001__x0001_'_x0001__x0001__x0001_(_x0001__x0001__x0001_)_x0001__x0001__x0001_*_x0001__x0001__x0001_+_x0001__x0001__x0001_,_x0001__x0001__x0001_-_x0001__x0001__x0001_._x0001__x0001__x0001_/_x0001__x0001__x0001_0_x0001__x0001__x0001_1_x0001__x0001__x0001_2_x0001__x0001__x0001_3_x0001__x0001__x0001_4_x0001__x0001__x0001_5_x0001__x0001__x0001_6_x0001__x0001__x0001_7_x0001__x0001__x0001_8_x0001__x0001__x0001_9_x0001__x0001__x0001_:_x0001__x0001__x0001_;_x0001__x0001__x0001_&lt;_x0001__x0001__x0001_=_x0001__x0001__x0001__x0001__x0002_&gt;_x0001__x0001__x0001_?_x0001__x0001__x0001_@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Q_x0001__x0001__x0001_R_x0001__x0001__x0001_S_x0001__x0001__x0001_T_x0001__x0001__x0001_U_x0001__x0001__x0001_V_x0001__x0001__x0001_W_x0001__x0001__x0001_X_x0001__x0001__x0001_Y_x0001__x0001__x0001_Z_x0001__x0001__x0001_[_x0001__x0001__x0001_\_x0001__x0001__x0001_]_x0001__x0001__x0001_^_x0001__x0001__x0001___x0001__x0001__x0001_`_x0001__x0001__x0001_a_x0001__x0001__x0001_b_x0001__x0001__x0001_c_x0001__x0001__x0001_d_x0001__x0001__x0001_e_x0001__x0001__x0001_f_x0001__x0001__x0001_g_x0001__x0001__x0001_h_x0001__x0001__x0001_i_x0001__x0001__x0001_j_x0001__x0001__x0001_k_x0001__x0001__x0001_l_x0001__x0001__x0001_m_x0001__x0001__x0001_n_x0001__x0001__x0001_o_x0001__x0001__x0001_p_x0001__x0001__x0001_r_x0001__x0001__x0001_ýÿÿÿs_x0001__x0001__x0001_t_x0001__x0001__x0001_u_x0001__x0001__x0001_v_x0001__x0001__x0001_w_x0001__x0001__x0001_x_x0001__x0001__x0001_y_x0001__x0001__x0001_z_x0001__x0001__x0001_{_x0001__x0001__x0001_|_x0001__x0001__x0001__x0003__x0004_}_x0003__x0003__x0003_~_x0003__x0003__x0003__x0003__x0003__x0003__x0003__x0003__x0003_R_x0003_o_x0003_o_x0003_t_x0003_ _x0003_E_x0003_n_x0003_t_x0003_r_x0003_y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0016__x0003__x0005__x0003_ÿÿÿÿÿÿÿÿ_x0001__x0003__x0003__x0003__x0003__x0003__x0003__x0003__x0003__x0003__x0003__x0003__x0003__x0003__x0003__x0003__x0003__x0003__x0003__x0003__x0003__x0003__x0003__x0003__x0003__x0003__x0003__x0003__x0003__x0003__x0003__x0003_@C!_x0003_%þÑ_x0001_þÿÿÿ_x0003__x0003__x0003__x0003__x0003__x0003__x0003__x0003_R_x0003_S_x0003_K_x0003_L_x0003_I_x0003_B_x0003_ _x0003_D_x0003_a_x0003_t_x0003_a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0018__x0003__x0002__x0001_ÿÿÿÿÿÿÿÿÿÿÿÿ_x0003__x0003__x0003__x0003__x0003__x0003__x0003__x0003__x0003__x0003__x0003__x0003__x0003__x0003__x0003__x0003__x0003__x0003__x0003__x0003__x0003__x0003__x0003__x0003__x0003__x0003__x0003__x0003__x0002__x0003__x0002__x0002__x0002__x0002__x0002__x0002__x0002__x0002__x0004__x0002__x0002__x0002_ã_x0001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ÿÿÿÿÿÿÿÿÿÿÿÿ_x0002__x0002__x0002__x0002__x0002__x0002__x0002__x0002__x0002__x0002__x0002__x0002__x0002__x0002__x0002__x0002__x0002__x0002__x0002__x0002__x0002__x0002__x0002__x0002__x0001__x0002__x0001__x0001__x0001__x0001__x0001__x0001__x0001__x0001__x0001__x0001__x0001__x0001__x0001__x0001__x0001__x0001__x0001__x0001__x0001__x0001__x0001__x0001__x0001__x0001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0002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_x0001__x0005_ÿÿÿÿÿÿÿÿÿÿÿÿÿÿÿÿÿÿÿÿÿÿÿÿÿÿÿÿÿÿÿÿXå_x0002_¼âÊÁ?Ô^¥-ä»?_x0001_"_x0004_&lt;ü¹?ôRÖNÐ¾?j_x000F__x0017_cëÀ?WÂÇ`_x001E_1¾?_x0017__x001C__¢&lt;®¼?rN°v_x001C_À?_x000B_»ìñ0Á?-äèÛFÀ?_x000E_ÀOho»?Áöbùh_x000D_¾?=TyHd¼?_x0004_Á_x0004_E#¦º?£9ÃlkÂ?Ï_x000B_uÊ6¾?_x0006_:±¬_x0015_3¿?¨½9BQgÀ?kH(v_x000B_À?c%_x000D_]¼?@e´£ø¼?;_x001C_(?MLÁ?S²pÌu½?°SôÇOo¾?_x000E_,ø`¶¾?+ý#_x0016__x0003_!¿?_x0014_¥%rê_x001A_À?ä'F_x0001__x0002__x001E_[À?CrU_x0017_DÈ¼?éMLm_x0006_LÀ?a±Þ¾?ÌÖ¶_x0008__x0004_ª¿?×6Ô_x001B_v¿?¿ð%I|¥¿?_x0008_î£Qd_x001A_À?¤_x0010_qög»?4Ë¬j¡À?¯_x0012__x000B_cÁ?GNyZ¦IÁ?µÏ1XÁ?ýç,³_x0019_r¾?í_x0012_or¿?Ôç[Ý°{»?oY£$½?¬6mMÁ»?÷ªk@d¿?_x0019_hWiI½?&amp;_x0012_? ÐÁ?Î÷G*Ôþ½?_x0006__x0012_²oN¿?×¼2#»? .Ãÿã¾?_x000B_jÜ·C¥½?Û\_x001C_¿?_x0010_·xD¹?î»eqkÁ?õö-pvÏ½?r&gt;bYj_x0019_º?_x001E_-¹æ1»?_x0004__x0006_!U¨_x000E_À?­¹Pã_x000C_ôÀ?o_x0018_ ï¾»?Ê½_x001F_v¹?_x0005_ãäÏ{é½?_x0001__x0004__x0004_h#¼Wi#¼W_x0001__x0004__x0004__x0004__x0001__x0004__x0004__x0004_è_x0003__x0004__x0004_è_x0003__x0004__x0004_è_x0003__x0004__x0004__x0003__x0004__x0004__x0004__x0002__x0004__x0004__x0004__x000B__x0004__x0004__x0004__x0004__x0004__x0004__x0004__x000B__x0004__x0004__x0004__x0001__x0004__x0004__x0004__x0002_æGE_x0001__x0004__x0004__x0004__x0004__x0004__x0004__x0004__x0004__x0004__x0004__x0004__x001F_Ñè_x0004__x001A_?jiew_x001E_?ff_x000C_foÎ?y_x001D_N|þa?æX¢2ü|?-ò°ùØ=?]å¸(ð?_x0008__x0006_ãlC?_x001C_4ûÇÖÎ?¨9UT9?W(R=±m?À_x0014__o©k?ÙElªÑ?_x0012_\;V°?0h_x000D__x001E_?_x0004_eH^Ù?t_x0007_:\wÚ?Úö*_x0001__x0004_S?*_x000F_.Ël?ÁÏ_x0013_-u÷?ÆWxFUò?_x0015_¦dE[?_x0006_ê_ØÍ?`;¸÷L_x000F_?'_x0016_r{¦)¡?"2ÏJ?_x0004_e£ù®?_x001E__x001D_u¿äp?ë6°ìâ?xÒÁ.Hó?H¨ñv´_x000B_?`¤#_x0002_õ4?«Ñ_x0005__x000B_»m?Ò¾*}_x0003_?òó_x000D_&gt;K?¶_x001C_èÅ	à?aTIxB?_x0016_[Ïà_x000E_?jÑ[Ô¸_x001E_?RK®?¯[X½?¥éÄ`Ò?_x0005_ïj¦÷?_x0013_N_x0011__x0002_	|?V_x001B_õÆ ?½Sc_x0016_ª?_x001E_L¥EA?¶­ªþ	?uÊÈ¸_x001E__?_x0005__x0007_ ª_x001C__x0003_¥?ÿ_x001A_,2Jm?çªËõ½?h`_x001F_ì)Ö?ñ:2_x0004_ ?ù_x0015__x0001_¹¼?(Øá;Çe?r,øAi@?ðÆvV?_x0018__x0006__x0016_¥×Å?©u*ç_x0011_?_x0008_Á¢î:Ï ?&gt;SØÊhÖ ?å_x0016_Né*:?9®ä&gt;V? ®zì	o?ô Md= ?uµO`?×/~^F ?ÝÛ_x0015_Ûý?_x0011_!mÐ?_x0006_¯Í]Þ3?&amp;¿(_x0017_h[?Òþ[_x001C_µ_x0002_?'ãP_x0014_?àÇöÆ[É?ø_x000E_%N?ÇIÐZ?I_x0014_sM¸¡?ù^_x0013_g?äØ!É½¤?4Ý£_x0002__x0004__x0004_ü?ßz&gt;_x0004_?ê_x001B_:ó¡?û§0B?ò9í,}#?9{$ç\¾?å8ç_x001A_æ?½5CmQµ?õTB«½n?ôw$3 _x0017_?9¥£ê_x0005_ ?½ñQ¿p?:QC_/C?H£2_x0002_F?_x0002_eò­¦ ?¨rX¿_x001B_2?ê¢³å_x000F_?ýXP]_x0003_?e¦ÙªÅ0?üsI¶?ó_x0017_·û?â4b[F_x000D_?z&amp;m:ª?R\_x001A_Ò?ÎGù_x0007_?Òr¬ºMå?$k=ü_ø?¶0¹ªZ?zÁèåÕ¡?:_x0001_jÑ*y?$³DÝ£?&lt;_x0015_×4_x000F__x001E_?_x0002__x0004__x001A_VóØ?òº*óª_?ûûÅf ?çÊaÐ_x001C_c?Ârgý¢?µË	_x0012_z?ÚQU(mF?_x000D_%_x0005_DÞ5?dÿy·e5?2¹êj¢?VªÀ5d?¥9åà@¬?Ã¯ë¼fS?Å½ÒàK?@ý_x0018_hed?Ä)Ç×a?:sôó[?Ì_x001C__x001C_ú½Ô?òj¬_x0019_¿ä?q²g_x001B__x0003_ç?Ý-ýH?Æ¢?¿ûró¡?_x0012__x0012_5Ú ?@gï°ñ?úÐ+_x0002_p¢?(Wðhhà?SÀüú@º?¸V¾3n?8¤§À_x001E_o?(¦¦Çèü?6Ñ_x0001_?ÍI?`ò_x0001__x0003__x0007_Êü?_x0015_pû¦ì?M»­T?ÌÞ´Õ_x0004_?âìCtU?î©ñ_x0010_¤I?òÓN$_x0012_ª?±h¨î?_x0015_úÈf?_x0012_0âk²¨?«HµõªÕ?½_x001C_é}_x0015_?º Hè ,?sqÃªû?³nÛ_x000C_ ?4'DZ_x001B__x0001_?Y+IÜ¹Ð?!M_x0002_?ùÑÎ&gt;? «é_x0008_ ?v0ÓÓ¤r?Y¿YdT_x0006_?Æ_x001C_oÌ?É×oMR?_mD¹éV?h--å¹_x001D_?h$}ÈVw?¹¤Æ_x000C_ú?¶l´0Ò_x0005_?§#,	_x0013_?h_x0017_cV_x001D_?y [}¿?_x0004__x0005_}ïèu?E_x000F_8§§?ýÔ}_x001C_ÌÆ?¢¨¦O?®G¶Ù_x000C_?òzêw³ ?_x0008__x0005_[P¦?nèð_x000C__x0016_?åaG_x0015_ 7¡?¥_x000B_Éþ?É¥,íx|?§¦(löJ?í_x001E_èi?-TF&lt;ª?PyË)é?^_x0001_&gt;Z¿?Ukõb_x001E_O?zjøjÑ_x0018_? _x000F_õq¿?·qø_x0003_?Q_x000C__x000E_p?þÓB_x0018_¡?ÁZ­)_x0010_?åej/_x0019_?_x0014_`­3?_x0002_-_x0014_U»?R_µÝ&lt;?Kiß·úË?Å_x0015__x001F_¢á?jØ·ÿ!?¹ì\_x0014_?2_x001E_ÌW_x0001__x0002_?ü?p_x0011_ºv?þ,_x0004_õX?àB©pÏq ?æ_x000F__x0018_£'¥?$ÞÓi+_x0001_?»&lt;_x001E_vÂ8?¤áG_x0019_°r?t°w5â?¹AYT¶7?*³ Ã?_x0019__x0005_7j*¡?ÑW{mgJ?r÷L_x0004_P?üi:ËWÊ?:¼Ð÷²?wï_x001C__x0003_Ì?(pRò§l?¥Lähæm?_x0008_·]&lt;?_x001C_ßK{?8Â_x001E_»ï?Kx_x0018__x0013_G?Ám_x0003_N?7]ü:_x001A_2?ìùC*´N? ë27íî?öÏã¨N?qMy^í:?Æìà¾ñ?ñ_x0001_0¶zÑ?Å±dA)_x0001_?_x0002__x0005__x001A_Á¾Å?N¥ÏO¹?'Axôv?ÚÍ#?¼zmh_x0015_?ódVê	'?T¼?Ø£Á?;:Ùküÿ?zs0ä?_x000D_U_x0001_ëd?é:_x0019_ ?n÷ºD?üÝ_x001F_8y?0Di_x0001__x000E_'?¶Ñkh3_x0011_?XdiV_x0004_È?%WWrc?_x0016_¬Øãì¡?þôTÙ?èbGûì?®_x001E_M_x0007_ÝÙ?Ï8_x0016_ò?;Ö¹Þ_x0019_ø?¼fÓa?dgaÅ^X?¦N g?¡p/R{í?¨è"1=_x001B_?Ù\õFÙa?Ó¯gYlë?D_x0003_©Z?Èm+º_x0002__x0006__x0002_?]àº¤x?p:k&amp;#?3WG.©?¸[àSaS?·|5?_x0001_(_x0007_õã?_x0003_N¬òÊ_x0018_?ø `dAE?_x0018_jô_x0019_vÃ?_x000D_×#é?åöNÍ?·Ü_x0015_Ü?ö*54å?c-_x000F_4?_x0015_ôÃ¥E2 ?_x0018_%_x0006_£±3?¼Sd4Õ§?ßMc6ß?üÒùW¶?ºSà_x0004_Ü?5´Z_x000C_f?m8_x0018_¶o?ÐëÖ_x0018_º ??VÕ®?; þpw ?üOû,_x0005__x0019_?O}8 ?IE8&lt;r?=áKUa?KãD5_x0006_?Q8VRyJ?_x0001__x0002_K_x0013_dwñÒ?,¯É?[×Ùþ³?F_:î_x0007_?Â+^_x0004_Ä?)_x000F_(_x0007_?uHîj)?_x0017_KkË]?_x0004_Qí_x001C_?Ñ9_x0005_CÁ?YÁ^k?:Ë~_x0002_Ux?5´-` ?ÀË¼È_x0014_A?j3_x001F__x000E_ah?É%a_x001D__x001B__x0008_?1_x0003_ì ¨?ö°¨_x0001_Ú?_x0007_Æ²ñ3?ZóÔK?Ï_x001B_J÷å.?RÈ%2&amp;??R_x001E_3=ñ?$Ö8ã;¿¡?¶£¦?JïÀ_x0008__x0001_l?b®1_x0019_ñ3?J_x000F_&lt;¿?ù_x0003_ò_x0006_À?:C-Jã×?ùëÁ¯Þ?OÓ¢$_x0001__x0003_C_x0013_?#7ÿÉ®?[¤¬le?_x001D_@´°Þ:?»ö¦s?ê±ézl&gt;?÷_x0015_]½Ô?_x000B_ç»U£×?MéÑ_x0013_¼?¼Ô!U¢®?G_x001F_þjA0 ?a_x000C__x001C_b?/Y%Ì,?:û|H_x0019_ã?WC)Äë'?_x0010_z[_x0016_?Xn´_x0014__x0008_ð?=î@M²Û?ôu¼ç?¼_x000C_à8³?{»PÕñ?Ë_x0002_+_Ê¯?·¸Úð"û?¯ TÕ_x0006_ç?FW7_x000D_Ê?5Ø_x001F__x0011_R?eZ&lt;_°Ý?T$z¼¥ ?dE¶é??ÇÝ_x000E_HßÈ?£_x0001__x0002_ê~ ?|5_x0016_*BX¡?_x0006__x0007_t/.·õ?F|q@'?B¸_x0011_ó¦?:Ðë¤§_x0011_?(?a'¼?_x001F__x0004__x001B_\m?ù&lt;$Ï¬Õ?ÀÝ(X?±_x0012__x001F_ø-Ø?&amp;_x0001_g­_x0010_?Ì¯ _x0008_s_x0007_?Má_x0001_ßYß?Ã®iär?*ì F9??&lt;êÑ_x001A_ÈÈ?õ=Q_x000D_è?ÙþÌW{?äÆíù?&gt;­ß7Xî?_x0018_¢û_x0008_º?J(Ñøl?h TÄ_x0004_?[¼«&lt;_x0014_?#_x0013_(:ç_x0006_?ÅOmO?®Ûí_x0003_`v?ó_x000F_k_x0006_½?Hð¦Â¯_x000B_?¾ÝÁêÊ?V_x000B__x0005_Ð_x0002_L?fE¿Eà­?fU_x000F__x0002__x0003_F_x0004_?_x000C_Vf®¡³?_x001F_Ï_x0015_¿Ñ?òËdÁ&lt;k?_x0008_ª_x0014_ðN?Ðsí0aÛ?l]_x000C_,@¶?(Ìì±s?¯²x´?J|M_x0006__x0004_X?_x0012_³©'ð/?A»î_x000B_÷?hßÛR:Ñ?cÉ¬þÆÓ?:bø´xí?8e_x000E_N?»_x0016_õ$_x000C_O?dÒW_x0001__x000E_?,|Pv¥?aòtcfæ?Àÿ¾ù»» ?&lt;u!ày?Þýª YÚ?ìs~¡e_?Ò|ÕÍH·?:Ûãt7?X·0ã,?YÃÅúÆÅ?.¬=ï«?|fjõ_x000D_ö?·Gð×§5 ?°r/_x0007_ì?_x0003__x0004_V#ïbQ?_x0004_ZbÔ8K?á^_x000D_b_x001D_Z?î³iµÓÄ?þ_x0010_äÌ1?á9ëÌ&gt;?ju¸Ñ]?6_x0011__x0001_te=?_x0015_3¯ã?ØÇH×î¤?âhÙBp	?V¯%ÃaN?J4_x0018_Û!_x0006_¡?3_x0015_Õ_x0012_?E¿ë ?;!)TH?î®µeh?Áé0ï$ã?¢lKÉT?_x000C_Ç;Ê?:_x0006_ýò|/?c@_x0002_¢%Ë?sÛª7¡?xw _x000C_¯Û?ìJ_x0011_ñ|?r`æ^*ß?©_x001E_·@?ö^ÌRÙ¼?ðX+% ?_x0017_cMjë?·_x000C_Ü_x0011_Ã?q#SX_x0001__x0002_Åá?_x0007_?íÄ_x0007_?B¶_x0001_+_x000B_º?'!=}í&lt;?àÊÕ;/?¼æÕi_x0001__x0015_?¸§u7ýç?I3±®_x0007_¼?_x000E_Z¬6?&amp;_x000C_hÓ_¬?åeE\__x000C_?A±ÙbôÀ?Ûú&gt;l-e?Ë)RÍFH?Ò:ò~q_x0014_?Åî¬]¯ ?úLc9(?0_x0019_Û¼ê?ãëEBSÀ?ê`ä¹í_x0016_?óL_x000C_ªT?HW_x000E_ÑJÏ?[¬mÌL?ñÝmå_x0005_?á¥fj¡?_x0017_K:uxù?_x0007_Îúy0?¯Þáü/§?:þm_x001A_?ªÍ[-¹?Dn¨ì¡_x0010_ ?ð_x0018_Ü©vk?_x0001__x0002_±ÿ$?×÷×_x0011_?æT÷ B\?Â3E­âµ?)£Ý_x000C_?ÿ)_x0001__x0015_?j_x0019_*x7I?N5âó?_x0005_d¢_x000F_&amp;?6Á|_x000F_-Á?Þ_x000E_*:(? {mò"D?rùD ?"xUÆ_x0003_?_x0011_ÁÑÐ&gt;q?Ü61¸×¶?_x0012_Ñ/íz¯?+þ_x001A_³âs?¹­_æ_x001E_ ?C=_x000C_LF«?_x0001_Þô¯_x0004__x0018_?öæÆ*¥?®cî8êi?_x0016_×©m`É?¿_x000E_C)_x0013_ü?B&gt;@îìA?®¯ýô0:?àÁØ´¯O?_x0014_øÙÇmÏ?Ê_x0013__x0001_`?N	&lt;I½\?:á¤_x0002__x0004_tk?£ì_x001C_]ìs?°KÚéN£?ðó_x000B_Ô`?Ø¿¦ª:ö?Hu¯6_x0016_¶?U´x¯Ø?à_x0019__x0012_Ê?È¥=G?²Åí?ªp$È¼t?ÎÃÂð_x001B_?Fj&gt;µ?KY_x0007_p©ç?¼$û^:?´EdT&amp;?|3_x0001__x0019_çê?x_x001E_Rý£?_x0016_[I-Ñ?Ë)_x0003_`lÃ?I_x0015__x0005_òÓ¾?À#_x0010_)ö?Y."Ë"?ÄcÕÁ&gt;n?Ñ:ö·??_x000F_9å¯T?XÚ­öÌ?_x0002_yx,?_Ö_x001B_§'?qyõ´Í? Brë|?&lt;®P_x0004_]_x000C_?_x0001__x0007_0¶ ®P?®Ô_x001D_ë§ ?N@¼(?Ë	F_x0005_?r¨Xlv ?Â_x0005_Ñ¤9'?÷ï:ù&lt;?÷ W¹_x0006_+?Þä²gî?X_x001A__x0016_.y?¾ñbÃûj?´è'g,C?Íè_Dô?_x0014_Y¸Úâ?MUÔl_x0012_?h6Ä3#_x000E_?._x0010_,çQ?_x0013_`UçÚ_x0003_?`Â2_x0016_k¶?8£:j®?i¥$_x0010_+Q?Ï_x0014_àeG?EZNGTi?ëxÔ_x0018_»ú?ñ`e_x0014_&gt;d?T\+Ë_x001A_`?p_x0011_F7»[?À_x000B_ïÝâ_x0001_?¯_x0004_²«ú¸?Ð¢±ugN ?+jv_x0002_½_x0007_?_x0007__x0018_ê_x0001__x0006_Ó5? 7¼#¢ ?Ï_x0017_àçoz?ÆÓ_x000E_ì?8åÖ6?Éã_x0005_Â_x0004_?o¹¬ròW?w÷d¹ZR ?_x0014_+ôÆ¼?KsòÇé?êß¯¼­?*ßºü@?dÈ×lÛî?~9æ_x0014_ÞS?VkÎ°Ak?:_x000C_½´¤w?#¢yA¢?_x0002_2ûX;±?nb2±8u?x (s?%Á_x000F_3e~?rÕ?Aú_x0003_Á¥;?&gt;ç'¨Ý?¹ö JÚ_x0008_?ê_x0017_`_x001F_ý?Uï4zø?²É_x0008__x000D_?"¹¸_x0016_V_x0007_?_x0012_v5ý_x000B_?pc_x001E_W+?Úå ©?_x0003_	Ð×w_x001C_y6?t_x0005_o_x0017_êü?ö­|H+?væL°1¢?ÙÙüa³s?!_x0008_Ìk¨´?²=º¦Cö?]P[w¸+?Æ÷«:Þí?_x0008_Ì?ª_x0017_Ý/â&lt;?"ÃÞ?Ññ¢Ü ?»w[u?ìÅOåØ?è.$_¡?Ð|¡_x0001_¼?ö#_x0003_GÔC?Yrëq2?ßS»!;_x0004_?iHW_x001D_i?_x0006_rÐ¯;h?«wDÕÅ?p[¬Q`%?±Ó2iç?Å_x001B_Ä)?+\C_x0002__x001B_s?t_x0015_]I¡® ?§3_x001E_	_x0007_?È_x0017_Z_x0014_?H{jâç?ð=) _x0006__x0007_Ýh?ºYHö_x000C_æ?_x0003_kãõË?_x0006_4_x0001__x001B_?OeÆ6­A?&lt;·¹¢_x0012_¡?âÍÚPµÖ?v_x0006_½²d?:\õ?_x0006__x001E_té?_x0004_²*ú_x0012_ ?@8*_x0018_?«¶m¹¢?=_x0012_Õgê ?dyë-_x001D_?0KÀÜ4Ç?.wH_x0018_Ó?^¡@ö_x0007_?Ýzu®^?MÙ·_x000B_&gt;?³Øâ_x0012_:F?Úi_x0005_µ?_E_x001E_Àô?**HÐ£ß?E®cª±Ù?_x000E_h«Wë?_x0019_,_x0003_Õd?Ä´¾ZÀ?U»ÐÕ·?¸w_x001E_ô_x000C_?q¶û¤ã?_x0002_[Ðû?_x0001__x0002__x0002_ à9~#?ÖàfÓì?ËD_x000C_v?Øî¯Ü?A	XÓ!_x000F_?ýæó_x001F_?¹üÆëÑ2?è1]_x0018_3_x0004_?_x000C_+D_x0008_Òö?d_x001F_éQïß?_x0004_SCX®ç?Ét®Je?ãâ5'!?Âj_x0016_`ç²?k¦	_x001F_?C_x000D_²H{?ú_x0001_ÌD?l&amp;j	_x001A_?³3²_x0016_?,;v}§?òJ_x000B_ñÖ?V_x0012__x000D_/Kº?_x0016_K¾-KÞ?ãk59?1¾l®£?_x000B__x001E__x001B_?¯y$_x0017_¢?ÚM_x0001_àÙW?k»ôÀ?1K2&amp;+Ó?YúË_x0006_¼L?ém_x001F_¢_x0002__x0003_j]?Ñ4$ßöÒ?±Pç)&lt;»?Ùö©·ã?tÝÓ	íö?Ì%¤ÑÁÆ?&amp;sÝöw?"_x000C_:Xj]?`w_x000D__x0006_Í_x0017_?æº¿³3?¢ÉØí"?mâ_x0001_ô¨?_x0013_lÂéæ?ÃÂÐéð1?XêÐ?³ÁVà\[?ùe Áä°?_x0007_¥¿NS?Ø¨ö§%?ÃT=7?ºÃ#?í?Vß¨Ê]?Dú}« ?m¿¯§ké?(2¥'3,?Ù°ÛÂ.?ú_x0002_ÔiÈ?²«Ædô_x0005_?z+ö_x0017_kê?¤Þ9.9?ToàI¥Ç?¶ÄÀÕo_x0012_?_x0001__x0003_gM°º§?#´µ_x000D_Gå?7UÅE_r?r¹_x000E_Òz¹?_x0018_ñ~¡?ÿ§y_x0013__x0002_y?_x000C_;*½ò?Li¦H¿ð?bgYG?wÇ_x001F__x0015_/?eÂ_ðy?õQ5Z{Y ?ÍñHEÈ¸?_Ð¿?@]p¦e? L B#_x001D_?z·&lt;j4?"4güñ%?UvÒË©?_x000F_¸41î?YÁºÊÐ_x000D_?_x001A_¢Ðü?tÂÅEr?o_x0005_ON]_x0007_?ðÞS*;+?Ä°Ó_x0007_t7?X®@¥Á°?_x001B_Øu_x0008_«	?elköýÖ?_x0018_ÿDàNá?·Nd?ÌØ0_x0001__x0003__x0007_£?3PìÒk?êô_x0018__x0017_z­?E½Ã?H_é?r9)BÁ?_x0012_Õm_x001C_xS?	D&lt;c?x_x0007_k_x0018_?~$¬ë_ó?¶åø¤C?ù/5;C3?+¤*{óc?4»åÀUw?(£#_x0010__x0010_Å?_x001D_ø_x0012_üv&gt;?æ_x001E__x001C_IsÖ?XE6#?°xïrj_x0017_?7N_x0018_\_x0013_H¡?ì_x0007_HÝÑ?f_x0015_v_x0006_(?°z¤)~_x0001_?H%Ø?íl?^_x0015_ËuÄ?]d_x0013__x0002_ç?åoË~r«?A_x0004_ýe­?_x0016__x000E_K·?_x001A_K&lt;_x0016_£?Fü@ëd?®Yu:?_x0001__x0002_]ÁHÿ'~?µà¿ü­Í?GFÈùº¶?/ÑÔ_x0018_U°?tG8x?/µDi_x0008_N?ñ4s)3_x001C_?G"/¯_x0014_?&amp;²÷©=ÿ?_x0001_Ì÷_x000B__x001D_?zN_x0015_èKÄ?û®ÍÁ£?ö;xÌh?_x0018_ëg¢J]?ÙDj=Û?_x0019_9þ?qA_x0013_û'Ê?@äó+!?lÿåÀ?~_x0012_¢?÷ÿO±J?Àí¢Ðs?_x0012_&amp;ÌE%?ÑVi²7?tE_x001A_"·¾?`ÆÇn¤?6_x000F_Ê_x001D_Ò?_x001A_ç´_x0015_?_x0018_H@Í×?Å=g_x0008_Ãã?Ý¶`·h.?_x0015_âÑ_x0001__x0004_-c?_x000C__x000C_Ý¿@?r¨p­G?(µÔ_x0015_á_x0019_?2GÒ¡z?¼~Éöe?·À_x001F_)J?½&amp; ¦?n¸_x001F_ê?´W¿â5u?!ÜþâQú?Ë}0è_x0004_Q?G._x000D_¡Xd?þ_x0017_ö(ñ?_x0002_óOo`?;¡¶V?d_x0010_¬_x000B_N?@¯W6(?S/jÜØ?ê_x000B_ú_x0004_¾?!='ö_x000B_?×)_x0007_D³?ñ_x0018__x000D_/ô{?øñ_x0005_HÔ?8_x0017_Ì¿?_x0014_wce\µ?~[lÝ^Ê?¢%ZW?õõøð?tÆ_x001B__x0019_?@·ý_x001D_A_x0018_?o{Ñ_x0003_,?_x0003__x0006_eBcéÉ~?	Í&amp;Øö?`Zô_A?õÁ_x001F_'Y?B;éC?Ï_x001C_Rã_x001C_?(RÂ²@Î?lqyæ¿k ?"Ñ±_x0012__x0005_U?§"8_x0019_è.?í_x0018__x001F_oÈÇ?_x0001_Ðz Ä?ð_x0012_b»Y?Í¯2_x0002_äË?_x000B_ ã&gt;Âù?gúÈv©?ÂQSÌe?%T­_x0008_½à?û5_x000E_hR&amp;?}7õÅ?_x000C__x000D_v2_x0004_¥?&lt;_Äöõ8?Ì ¸Óü?ÈJ£]?_x0008_jóÄÑ? _x000B__x0006_§PÓ?¹Í,ô¸ï?%ÙCA}î ?áÅÂPZ? V,_x0001_?ûÌ_x001B_RÛ?I_x000C_çÿ_x0003__x0005__x000B_ô?zè-6/_x0001_?^bDv?'P3_x000C_ð	?@ÂêöÙÈ?Í&gt;_x0014_dã%?MýdÜz?_x0007_Â:ÿ?ñº_ø¼Ë?¦_x0006_ã8Dì?Y_¹H_x0013_²?á²æ¸?êÇ@iøî?pjÍÞ&gt; ?H_x0015_	ÙÁ?	KÃz_x000E_s?_x000E_X§P«ÿ?«ÛtªÀz?vÈ_x0006_Íó?_x0002__x000B_%[»R?Ç ¾E$?«¸ _x0016_d?!ìFVQ?ÑC_x0013_"ÇÏ?Z%TxÀ ?_x0010_zÐi×Ç?é2_x0003_B-}?_x0002_µ?·í£ÒyÍ?_x001B_×¸_x0017_?mhzõ¹?ØéØw_x0004_?_x000B__x0014_UÑ¼ÉÕ_x001E_?_x0005_}_x0006_ç`ú?Xñþ»¡/?ãF¬±G?_x0001_MÜ?«ñ(A_x0008_,?ôTÀj?J_x0003_$?w_x0012_a´_x0010_?_x001F_XÎ]]×?¤©54?Oïíæ_x000D_?[ó_x0002_½h?"ørkhÝ?·çïË&gt;w?R_x001E_ÓÈI' ?_x000C_®Æ_x000E_à?³ÑÍ_x0007_¨3?Þ¨ìX_x001B_W?îìAªÎ_?»_x000F_×ìÙô?qz¯¶³?C3|Dá?k]­ÕI?_x0004__x0004_4Ñ#?_x001C__x000C_ùN_x0013_*?¶_x0011__x000B_³?Òð0¥(]?©g~)ß?Iè_x000B__x0008_?ë	"[?qefu_x0002__x0003_åx¡?úÚ ?F!í[§?²§Û,`_x0001_?DMVòÁ?Ý_x0018_Û_x000B_;?pÆø_x0011_ß?Y·.x3?]M5í(J?Â3ó&gt;?d«ÉÎE6?7:9^½Y?v_x001A_T_x0016_æ_x0017_?^¢Y²_x001D_?1òá°[?5}OÄ_x001F__x0012_?1q¬ù?pEjý ?_x001A_ìfX¼?X[¥?m_x0006_0°ù?gO°JÊe¡?&gt;ÉG?ìFëå_x0013_s?÷ô_x0006_É?h³#Í£v?GXDóý­?ÓZ=_x001F_©ó?¦¼@ºÕ?­Ç1Y_x001D__x000C_?F {öN?×9_x0010_¢X!?_x0002__x0003_¬®_x001A_ÞE?ÀyÐ?×3uQÆJ?ËC_x0008_ú_x001E_?dUàáª?·Öä&gt;1?(ö[ü¾?_x001C_×å_x001B__x0013_õ½?þ@³3«_x0015_½?ËvwRf(À?æÍx_x001E_Ç0¼?_x0011_¿odñGÀ?rÏ _x0011_kSÀ?Z\OEk¯¾? \ßÕá_x0002_¾?ê²8ê£½?$r[óÎ¸?³U~×RwÁ?`áç£½C½?$Þ¶{]º?{yf/ñ_x000C_À?;±ÑHä5¾? &lt;x4¿¸?[+#$_x0016_¿?X¿ÿü¼?XNåÃ_x0007_½?nÓ?Ç_x0015__x000B_À?DÓÒ&amp;½?´ß¨ñ¶?_x0001_oSé@½?§Pþ"ºÀ?3_x0018_¨_x0001__x0004_Iè¿?_x0008_Éîç»?¦8Z_x000D__x0002_À?eÍ_x0018_b_x0007_À?d8ðÁ?¥_x0017_éö¼?°äA=öGÁ?¸u·Å_x0019_½?¹Z_x001E_XÏ$Â?KjL5«Ì»?"æXÜ·rÁ?CÃ«V_x001C_UÁ?©P¶á/¼?_x0010_oÕåS½?øý_x0006_(p_x0014_½?_x0016_Èæ#âÝ½?Óè·mÉ½?ä_x0006_E_x0015_8F¿?'#s&amp;¼?mýK¹·?Îúsl²¿?»²t@Ã×À?Ù_x0010_µ¥Ó½?´Í)_x0018_ÊY¾?ÙC? ­	º?= _x001B__x0018_Bf¾?5_x0001_È±_x0007_ò»?SçE&amp;X¿?_x0019_ßÎ3¾½?Sb_x0004_½F9Â?B`G@_x0003_½?ÿì	Ý_x001F_­Á?_x0007__x000D_TÃÉ¶ÑsÀ?_x0004_ìËª_x0013_»?~o£jà³½?_x001C__x0018_sø½?ÓÇ_x0005_) Á?&lt;5Î_x0012_¢E»?_x0016_ÕG`tjÁ?à_x001F_ä_x0008_ü+½?@£Ô_x001A_½?p µô'À?×_x0002_ÔËÄ?N·Co²À?~(m¼ð_x000B_½?ÞÑâiÝÛ¿?_x0012__x0017__x0006_º?_x0001_ÔÕâé©Á?YêÂ8¹?À¡IH_x0002_Á?ù}@ÝÁ?b3!_x0003_(¢À?EýwþÒi¹?	 _x0013_}Â¿?äF!_x000C_»¾?Æx_x0003_Èu^¿?0H_x0002_9À?òò­_x0007_¡·?6[N_x001B_ÓÀ?_x001F_$A¤_x0001_E¾?JDãè8_x000B_¿?ÂqPB| ¾?~¶Ñ(_x0007_XÀ?.øª_x0002__x0004_8_x0003_À?_x0013__x0015_øuMÁ?om¨Cê»?Ú_x0007_®Y¿?_|_x000F__x001A_¼F½?_x0012_süÃ.¹?X#äE¨º?©ð¿?ú%ÃY_x0008_ÈÁ?T_x0007_1SA¹?jú{_x000E__x0019_å¼?Õ!J_x000D_ÉË¿?_x0001_?_x0018_~ÀfÁ?_x0003_aÚ_x0011_À?ùc,æCU¼?~!=SàÀ?9*"yá»?Ýÿé]_x0005_À?_x001C_û»½¥¾?8U Ãð¸?b!ó¥Î_x0008_À?³Æ_x000F_ìªÀ?Ãn¹Ï_x001D_¹Á?Üj_x0002_¯Â7·?Wí\_x0012__x0003_4»?K_x0008_÷ÔH¼?ÿV¼ß¹?ÑBÞ×à½?nç\À?G[TâJÀ?zb_x0013_,5¿?u_x000F_ÒàÀ?_x0002__x0003_:[Lás_x0001_¾?Á_x0008__¾?ñþÑ_x001C_á¿?úÑÊ$B¹¾?Vó_x0013_ù_x0003_Ù½?Êè"_x000F_»?¢_x0014_b$À?è÷%_x001A_l¿?®/NyçÀ?2m_x0011_ð+¼?ºÒÙ_x0008_¼?}¨¤4Ä_x0012_À?xd¦½?ºöó+BÂ?_x0002_ù©À? Ø_x0013_c¼?b.ÓÛ¸SÁ?q1P_x0003_LäÁ?×2Áíé¾?½Kòdb¿?ÃZv_x0010_ÈÂ½?¼UN_x000B_ »?rÇM0Dº?yæþk	»?[És"4À?ã(¤¿?(þg	»º?Ê²ÓÅ_x000E_t¿?k[ýÆÝ¼?Øúf(j¿?Üõ_x000E_þô6À?þJZÎ_x0001__x0002_?ü»?ßÅ__x0013_Â?mÑÒ&amp;UÀ?î!©ÅQ¼?_x0005_ÈÇ©Á"¼?á_x0019_ U_x001D_Â?_x001A_Ìû_x001A_¾?ÜYF`Eíº?êû±K÷þ¿?¥_x0014_~¬¾?GæáÄ_x0007_¿?Úo±_x001D_!4º?_x0001_e~m_x0011_W¹?hÜ9 ¾?¬sÑ4v½? _x0018_7]5¶Á?8Zÿ_x001D_uÂ?q´À¬_x0018_¯º?÷ÿ¿7DÀ?Ü_x0018_Ôé_x001D_À?C7s_x000C_J¿?Kâp'wï»?þ&gt;cdË½?_x0018__x0001_.{AÀ?v_x0004_}Á8¼?e`{_x0011_AL»?¹êÐ_x000E_5Á?_x000E_c_x0002_a_x000D_º?_x0007_Ç_x0017_¾¼?9J%¿»?_x001B_A_x0013_Ç?6½?&lt;}Ä%z«»?_x0001__x0007__x000E_¯_x0015_Z½?X5ñF_¼?6É6_x0011__º?Må$Ö_x0019_=À?"_x0015_«R{_x001B_¼?__½\½?x&lt;º_x0006_1*À?&gt;÷;1¯´À?æS§_x0013_º?ú_x0013_&lt;O²¹?ãâ¢@_x0001_3½?Ê_x0004_ï(¾?`²XåNf¿?¥¥ÀÜÁ?×Ìi¬0À?ò'ü_x001A_Fn¾?K_x000F_,mä½?Ä_x000E_ÉÛ»?(*ñ3uÀ?_x0014_òÎvØ÷¿?2eÅ4_x001D_Á?­íµý»?Ew n1¼?)å{/ó¼?Ä_x0005_µÍAÁ?úÆT_x0005_Xó¾?,jò»%Á?_x0002__x0016_ò¬_x0013_¹?øâPÁþ¿?æù_x0001_h¡¾?_x0013_ÏùÁ?_x0003_ÇÁ~_x0003__x0008__x000F__x0012_Á?§&lt;6qÀ?ç'I	)è¾?_x000F_¬_x0003_\¿?z",_x001D_À?_x001D_Fª_x0019_dÀ??¢ÄB_x0016_¿?ÔZ4~³hÀ?R_x0016_lt_x001D_sÀ?æ_x0008__x000C_p&lt;À?0ó»èñQ¿?W&lt;ÅVòË¼?Üó_x0001_'èÀ?_x0006_]ÖÕ{_x0005_¿?èØ_x0018_%ý¼?Is;Cñ¿?$±Õ)c¼?«O×Á+÷»?0GOn³»À?7Ü§_x0001__x000F_eÀ?ÓÖë_x0008_ó¾?æÔ1ü_x0007_¿?Ï§Ç_x000C__x000B_a»?_x0016__x001B_cY:8½?_x001D_*_x000E__x0002_Á?9²­_x0004_;_x0001_½?_x001B_WQÁ.WÀ?°RÑ_x0006_Á?,®}µ§¾?§Â×«¼?i!ßív}½?òðRõ¾?_x0002__x0003_ñ-_x0007_fÀ?_x0007_B	Võ½?sæG¢ä¥À?r{ß4^J¾?_x0016__x000B_©{À?Õ©ñß °½?Dáª_x0008_u_¾?_x0016_qIÕÔ¼?à»}ñZû¼?ß_x0008__x0016_Ã?m¼?Í|ã-Ã?Vwyù¿?Ó~ù¿4_x0005_¼?Kßxipå½?î_x0016_~/_x0014_ù¾?¹É@%&gt;¾?cÂg·ÓÁ?½ÏTHkÀ?H»ü7ª»?9ä*ÔÁ?ëÈOd_x000E_Â?=_x001B_µÈQ_x0001_¼?8¦Sh¿?_x001E_bogV¼?I~ß{¨¿?¸.$@û¹?_x000E_ë_Û_x000F_«¼?_x000B_ÎñÊ6W½?Þ!_x0008_ö_x000F_½?4×3_x001B_¾?~l5?TC¾?ûhvD_x0001__x0005_5ÄÁ?`¿É¨£T¾?X§*_x000F_¶¼?&lt;_x0011_ ÇNÁ?sh_x0005_ÉÐ»?_x0019_Ø¶''½?7PW_x0004_:µ¾?ö ë¥û¾?ýÕ3&gt;øùÀ?Àç+Zo¶À?¦õ7I"Uº?z²ÓÜ_x0001_À?#_x001B__x0003_jrð½?û/ÙÅ_x0012_¯À?XêÉ½?/Ûµ¨Â¢¾?EU9ÊTÀ?é8Na_x001B_Þ¿?hP&lt;²X¼?Þ!c÷HK¼?öFþâ_x0004_8Á?WzîQ¾?åäÖÉwòº?üÜ¤uw_x0006_À?!\³_x0002_!ó¿?._x001C_[ê@»?+ðÙ&gt;%Ì¾?_x0006_/c@RµÂ?Þ_x0016_çÓ¾?T´O6'Á?¦5_x0019_&gt;_x0003_I¿?v3Rÿ_x0016_¼?_x0001__x0005_L¬BYcE½?&lt;÷ê(³¼?IÏ`]Ó¡¿?_x001D_Uå_x0019_H¾?Ë¿H2;2¿?wr0#ó¼?Rh®ÇÇ¿?_x0004_å³ÿ Â?VEÜ1À?©ô_x001A_Ñ½?ÿW{¡&gt;*¾?Ú%¡I_x0018_Á?¼×É"f×º?Ðl9ßãz¾?À_x0016_ºèqPÁ?+`¦¼A¿?_x0011_.èÑ_x000E_À?_x001A_ áa²r½?9E_x0002_åüÁ?rh_x000C_ú¾RÀ?//Ýá·?¢¿lø_x0017_Ä¹?Jô_x001F_¾?8K½_Ò¼?i_x0004_Öâ&lt;Á?.±¿_x001D_½?:l_x000D_o&amp;d»?_x0003_£©3²_x001F_Á?|ä·½é¼?¨qXÑZsº?4éè_x001D__x000C_?¼?Í _x0001__x0002_Üu¾?_x0010__x001B_ÓG¨À?ü_x000C_m¼_x000F_Ò¾?k»6ÄÇÀ?ñ'Ý@¾?X*Ð¨Î»?m_x001F_O_x0014_ü&amp;»?òe_x0013__x0002_ï¸?Up_x0004_[ãÀ?TK_Õ®d½?U¬Uws»?E_x001D_1w½?_x000B_÷_x0010__x0004_À?Õ@í,QÁ?_x001B_OÿõS¸?g6SA½?E­£yñ_x001A_¿?:±¼Æ	q»?êï¡r OÀ?Ýæ_x0014_ûÀ?uÉ\m¿?¸3[DüÙÁ?üÜ¡»£»?ø(U¢Ez¿?_x0019_0'ð!£¿?_x0012_}zôó¶À?òË®,·½?ÞÌ5!°¼?¢~c¢½?ÅÑ_x0008_e!?º?8¥«þÀ??ba.ög¾?_x0001__x0004_Lë%þî_x0013_À?8öp`×J½?Ä]3ª)Á?æ§RÃ?¥Ðò_x0002_¾?ÞK§¯ÊyÁ?'%XK_x0003_Õ½?ù5Y¼?D"L_x0001_Ä¼?_x0015__Ó¢»Ð¼?ns_x0008_ÿ9~¿?À!¢*TÚº?m·!_x0004_³Á?Ö_x0004_8R_x001E_À?Ícv_x000E_&amp;ú»?iwu_x000F_Æ»?a,%èg_x0016_À?H-YVß	À?Å_x0016_®¦în½?õ.!ú©ØÀ?_x0016_Y£iÂ?¿_x0014_»¿?åÍÇ &gt;x¿?çÃÈPÖ¯¿?°_x000B_ÜrÒÎ¾?Ö9Ï(è+¾?_x000B_ãîÞ0¿?ÎìÙcf½?Ã__x0015_U½Á¾?@\WÂB_x0003_º?Ú.°W_x001E_Ï¼?¤jb_x0007_	¨¤À?Öü_x0004_k_x000D_Æ¿?M	Dç»?K¸Ý_x0005_-¿?_x0011_G) l¾?SË[çli¸?ô_x001B__x001A_rJÀ?l=Hl¼½?è+¸eö_x000D_¾?ìîÓrû¸?¬@¯	ñ_x0008_Á?ôÿ@n-pÁ?\ò­î1À?ð :ÙWÒ½?æßº¬{Zº?´_x000E__x0006_æãZ´?/~WO»?l©_x001A_ÊÜ»?´kÆO_x0001_Â?q_x0001_£~óì½?Àüü_x000C_µ¿?Ð_x0007_q_x0016__x001E_¼?ÒÃ+s»ª¸?_x0007_-`&amp;¸È¾?N¯ÝG»?`_x001C_'º?É&amp;_x0003_&gt;PÂ?Éi_x0002__x0006_©bÀ?ÍO©4k(¼?3)ß1ó½?ï¬põÙ¾À?k[SìD9º?_x0001__x0002_¶å]%¿?ulj_x0016_e¹?Fl.!ÑÑ¿?×Jë¹?2 ,Ü;Á?ðbÝ_x000E__x000C_½?ç@î¯Á?ìP_x0016_ç¿¿?§iR¨¹??&lt;¥­ÆàÁ?Ý»_x001D_âÑº?_x0014_²Í¿bÈ¸?%JôÆÀ?_x001C_Þ-8m¢¹?±0×ö§Â?^C­¹ºVÂ?=òþ&amp;À?í-á®oÀ?¿&amp;S&gt;À?äâsÅE3À?¸åGç_x001E_¹?ñ@òäÉí¿?"O_-_À?tÈ%À?&amp;m:C_¿?¿Ë_x000B_ª	z½?_x0017__x001F_YM½?m¯¼«aÀ?ö *dò½?ãÙ|~n}À?ªæó®¼?_x0003_|Ó_x0001__x0002_t_»?_x0012_ñôG/1»?å®_x0014_;³À?à·àKÊÀ?½z%Õú&gt;½?(A²ã ¼?ÊÛ&amp;È@L¾??A_x0019_Ê(_x0004_Á?þ_x0013_W(þÂ?ý\0^"_x0014_À?3º-Dm_x001D_Ã?al`ä¬@À?q*9K´_x001F_À?.@×êGÀ?_x000B_-`)¦â¹?_x0017_GNá'À?½_x0014_BHÀ?ìãB_x001F_½?Í¨¢ù_x000B_{¼?ÒáöVâg¼?_x001C_Û¡\fª½?Gô-Íª¾?°åý%aº?°ì¹o,À?Nóó¹I+»?uQ)B¿?:¹ÊÛ»?3_x0001_ñÖwÑ·?é~Å_x0003_@ Á?!nÖÞ£¼?ÌÙ§_x0019__x0001_ß½? ]r}åº?_x0001__x0002_¢_x000C_WnP¾Á?&amp;Zªª¡³º?_x000C__x001E_|Á?Ô{jTÙl½?&gt;ºqºÈEÁ?ÐÝ^Ðõ¿?ûZ-_x0014_;í»?ô´écÂ?ýö&amp;äU¿?ÿy	÷¾?xµ_x0014_Ù¼?üMÍ_x001E_=_x0004_¿?ò _x0019__x001F_ã¿?_x0018__x0017_/hÂÁ?|_x0006_¿x3tÁ?g^:¶º¼?_qâîs¾?q$Z5bÏ¿?/]°üi±»?ÈòáÒ:_x0019_Á?¸Ïa½(¿?_x0004_\L oÀ?_x000E__x001A_dÍ_x0018_À?ùlèP¿?_ALwã¼?¯_x001B_¼ÒÂ?ÿÇôÊ¦_x0019_·?¢v·6'Jº?Ó¾_x000F_ÎóÄ¾?ÄàaÏÀ?îâ[O-À?Î*Û_x0003__x0004__x0006_½?_x0007_øú4_x001C_½?ÃX±ñï_x0008_Â?ÝÑ_x0017_Ë_x000D_ì¼?èÈC_x001A_¢¼?]¢½þéÃÀ?ÞHÆL¹?_x0007_Þ@í·»?¼_x001E_RÂ?wJÅø¿?Åîdá$¿?_x001C_7GPLº?Wh#¿¤_x0003_¿?àÊÞÌÀ?,_x0014_ç)Äùº?û_x000C_èÞÀ?æS³ÉÐì¿?åíÝQ_x001F_¾?MÌ_x000D_®_x0007_À?çæ_x001B_Üù{À?Xdtå4À?Þy!í|ÂÂ?¤cª¢´Ú¹?¥h°¾¾?Õ¶¼jVÝÀ?÷øý(¼pº?«×ÙU&gt;_x0001_Á?V,¦_x000B_9FÂ?ï_x001B__x0012_,Á?.a_x000E__x0015_yÀ?Æ-_x0002_ÇÂ?ÏhnXyVÁ?_x0001__x0003__x0003_Õ_x0001_»? _x0013_§É-»?&lt;w¶÷¼?_x0018_yþlæÀ?_x0017_g_x000D_x÷Í½?UÀ?¿?&lt;G_x000F_o¼?8çzL¿?_x0015_dÇG |À?Å% Q¾?þ¨)2_x0004_ê¸?)_x0001_8iá_x0013_Â?\±\6Åº?í¹ÝNaýº??Ë®f_x000E_¿?3M'_x0017_¼?]_x000D__x000D_ËcÀ½?«¡ÈHê-½?Éû¼_x000D_&lt;`½?~_x001D_!?ÁQÀ?_x0005_´_x0002__x0013_/?À?_x0011__x0018_lY_x0013_¼?*Òqî¥_x000C_¿?óïÁ`ºzÀ?Ù#vnÂ3À?K"_x0016_:¿? ­nÁJ!¿?pIZÓ-¿?úì-ûÎÀ¼?8¸Õ¿?_x001F_RÄ.ª¼?&lt;J=û_x0001__x0002_rØ¼?_RechÀ?ìÈ¤º?âré_x000F_¾?6ÁÃÄ î¾?_x001F_¸a³=_x0010_Á?OÍ_x0016_¸?Ûõæg"½?Ôñ²'7¿?VSfÿ_x0010_Ö»?ÐV[¢Ô¾?¤úîüÀ?]_x001C_ÊûÀ?_x0010_h£ÅD_x001E_º?ÎQÑpÈíÁ?_x0013_Øc:\ê¿?_x0007_Ñ_x0016_¼¼?_x0016_7Ã;_x0008_öÀ?Ëô-ç °À?7ú±5«Ó¿?¢ÙÉ¦_x0001_æ¾?lC¥n_x0011_&amp;¾?#|3Ë_x001E_¿?èÌ!ø_x0015_Åº?ÅtÎ­¡!À?t&lt;ær_x0016_D¿?ú§S_x0018_À_x000B_Ã?!@_x001B_þ¶W»?x_x001C_ßáj¼?ØîÑ_x001A_lÀ?_x001C_êCÉ½8Á?õ"_x000F__x0007_¾?_x0001__x0005_ø2ð82¶?÷ë'F¼?wÊ¾B$¾?àtê_x0005_!n¿?ÁÛMöN*¿?2¸ñq¼?¦ma[FªÃ?%®_x001A_{ö¼?äòå_x0005_ï9»?5w./S$Á?ZõïÔÌ_x0002_¿?Q_x0010_dù_x000D_9½?·CÌì$¸?oöCò_x0014_7¿?6 ¡P÷À?¼	_x001F_RD½À?²Â½_x0019_Â?ÚY«Ù@¿?ððDE!À?ö°¡Å}¿?Ä_x0003_¬v¼?_x0012_a_x0014_ó¦NÀ?)Ü è½?}kÕåKÑ¹?ìïC_Ú_x0017_À?h?®êP¹?;M_x000E_öÂ¶?WßüÞÂ?N³a«ç´»?gnâ¼?&amp;uw»_x0003_¾?È_x0002__x0004_C_x0001__x0002_æ}Á?ÕZ«9eB»?nOáùT¿?Ìß¯z»¿?lÑE5ê¹?jf%9¿?ù_x0004_Ò¥¨§½? Áê§À?Ç¢ñGOCÀ?ó_x0019_`æ/À?ÜgÐKÇ¾?_x0013__x000C__x0006_sè·¸?JZC_x0011_ýéº?ýÊmÎ8S½?³s×Ø%_x0008_»?#_x0018_ÂÏ*À?("R_x0016__x0012__x000C_Á?uC9}ãPÃ?oÒOÈ_x0011_¿½?;W&lt;À?xP_x0014__x001B_üß¾?åfÌï_x0019_À?ô}Ï¸·Ë¾?Ä§¯e	½?Õ¬¿´X¾?sG_x0002_b±¾?¥´Wâ¶ö¾?½ø.ÛÝÀ?Ôx½{_x001A_»?ÿ8K)(6À?ðE_x0005_~£õ¹?©øÚ]Fï¼?_x0001__x0002_é=ªr_x0006_¼?v§2Ó;_x0011_½?SÂ¼Â¥.Â?_x001E_kÈ6ç§Á?¾8zÿEÀ?µ@gg~¾?{_x0018_­ã½?!ÁÜáñ~½?Ð,_x001F_¿x¼?_x000E_ïN8_x0018_À?4ùÁ?lª°ä;»?þùu³½?¯&gt;ryu¼?NÄ¼_x001E_?Å¿?í¨éV|¾?Z_x0005_aÐ-Á?ý(vÜøi¾?i´}Ä_x0016_¾?µÏëô_x000F_À?_x0008_bðáÀ?Ûè½O&amp;_x0012_Ä?ä_x000E_î¸½?_x000B_[_x0013_pk[¼?_x001E__x001A_Øë_x0013_,º?W}ê®zÎº?Ê1ðåp½?ôi6Lºj»?_x0014_¥¤qÝÁÀ?6_x0007_S_x0004_e_x0018_¾?p_x0005_8_x0018_[*½?B[_x0001__x0002_GYÁ?×.vÉ_x0015_G¾?_x001F__x0016_|¬À?]yü_x001B__x0014_Á?á¸y_x0012_ä½?w}ì&amp;¦®»?_x001F_~«[¾?)ö_x0015_xsÂ?4òm½_x001F_¦»?ëDK¼ôêÀ?0'Ù_x0013_(Ù¿?GÕ_x0005_Qû½?E0rM'_¾?)i©_x0001_uð¾?¢_x0008_æ_x001E_j®¾?K%_x001C_ôv_x001E_»?ùn^ÿ;À?þ©x¾?èÈ¢«½Y»?__x0012_d«_x0005_wÀ?hV«_x000E_¯¿?hºô_x000F_^X½?¼2HÅî½?]5C2~"¾?´¿¦çú¾?g0¼NGä¾?_x0004_d-_x000E_|_x000C_Á?É_x001D__x0019_\_x001B_Á?êÄÕÀ?_x001F_ÂnÞ¾?5Ñõ_x0014_¸.À?E_x0003_&lt;Â?_x0001__x0003_(¿__x0013_lP¼?_x0010_e_x0006_ &lt;¾?¨÷)`£F¼?÷Ñ	4G»?	_x0005__x0013_îæ¼?'B&lt;_x0011_¿¿?ÿ_x0019_7fõº?»dÂ7'É¹?9zVK_x0005_®½?&gt;Qrb_x001C_Ý¾?òcï0rQ»?ÄGÄ*&amp;	¾?VÈÈ_x0015_¯DÁ?õÜYHª¾?_x001F_¡Ì¯¼?¿óÒF_x001A__x0006_Á?úC:·Þ¸?&gt;ö¨!¹íÀ?+_x000F_êµÄÀ?®_x0004_'÷¶º?ëKº_x0003_p¹À?Ä«¨_x0017_«¿?k_x0017_ýõê-¾?ó{üûC_x0016_À?Ç|ß_x000C_[^Â?®b}Úu»?¯_x000E_ú´_x001B_Ñ¾?±+í Ö¿?­8£óë¾?þ)ÒÙ2¾?³ù»¼ÑÖ½?_x0002_1/_x0004__x0008_v_x0016_Á?Î_x0002_`Á4¼?_x0006_8­_x0016__x001B_ÓÀ?Ý©û_x0010_«À?Ài_x0015_È_x001F_¬¿?Ùc_x0005_W_¹?Xü±×¾?JäjàA¸?Î_x0012_C©cº?á/_x001C_1úà¿?:ëx¶?+_x0017__x0013_$±Á?s8~_x0011_N¾?ÓQË­À?õ_x0001_Ä4:¼?0·3Ü½?X]Ð× Ì¿?¸ðL®Ü¼?k¼±_x0003_¾Ç½?b!5¶ÚÀ?:l%É¸¹?ÎGÙ(aÁ?&gt;5jpT_x0014_¿?*.ÿ ´¿?ô:½àKòÀ?øØÐÀ?W8Jg_x000F_Á?ÝÞnºå¬¿?à__x0007_íÀ¹?Ñþ_é7:À?_x0016_äLJÖÅ¼?$²×Ò_x0011_¹?_x0003__x0006_æ×,ñ'9À?)u_x0005_j_x001A_nÀ?9`_x0001_æZÂ¾?_x0004_ìÇ¢É_x000B_¼?ñê¥º?Bé½ÿß]À?Ú[8þ²¾?~_x0013_ÇÊëïÀ?À&gt;np_x000B_N¼?_x0004_ÊûÚaéÂ?÷¨Î°ÉÀ?ÍnYwÀ?_x001F_-Jå¿?O9ê8À?BWÜÍ±½?ü·é÷¿À?«i½?îà	@Úµ?J°_x0007_c&gt;¿?9Tá]ü¿?¿kEUº¿?Ó/	ºÀ`½?_x0004_ú_x0011_Í»½?t ÀGÀ?_x0003_õeýç3Â?ÌÀ^ö_x0002_yº?WsE¿?ºBù&gt;ÎÀ?¡æ½èvÀ?_x0004_ú¶_x001B_-ò¼?T=ÅÛ_x000B_¾?ÁÆ9_x0002__x0003_nÀ?q¹m·?ÔdoCUh½?a ÇMÀ?&amp;Ì%_x001D_ º?_x0011_²v²¦¼?4ÈÏWÁ?ªöâm\Á?XI;|£À?T_x001D_-ªO#À?_x001C_èÍ_x0017_×»?ÚÒC¥p|Á?äé_Ä»?_x0014_÷gsQ¾?ËB5 _x0014_½¾?5ý»»3þ¾?ØH:-_x0018_¿?6A|r%¾?M_x0010_ÈRÅU¾?®_x0008__x001A_:ü Â?Û$å_x0010_9·¼?ÊçÃ.YÀ?õ_x000D_s_x001C_hé¼?5	~à¼?~ÞØOb8¾?U«ñ&lt;Ö.Á?g~(ö° Á?2àVrÃ?_x0016_ôb&gt;}1½?S_x0019__x001A_`_À?QW_x0017__x0001_îÄ½?_x001D_]5¤Uþ¼?_x0001__x0002_Q]Äû/Pº?éE!_x001B_´3¾?_x0010__x001F_&amp;C½?Õ×9e	_x0006_Â?¹UÂq&lt;¼?ßÉ÷_x0002_¹&lt;½?_x000D__x0017__x0015_»?pL _x0008_r|½?W_x0010_£èe½?.¸?-ôÁ? V_x000B_ë)_x0003_¹?'D_x001E_Á?2­béñÀ?EÂMà2Á?)B_x001C_w;¾?F4CÉõÂº?&amp;8¦&amp;ï_x0010_¿?÷=p`¾É»?à7_x0015_:`_x0011_¿?û'Mv@Á?²ÈZjÙ¾?ÿJw¸çÙ¾?Í¿ÁêÔ_x0006_½?_x0011_&lt;6Þ[À?_x000D__sô+¿?Ë9ÓßK·¿?m_x0017_&gt;"ú½?t=¡=_x0014_¾?Á·¬´Ëº?H_óE×¿?àMÂ""_x0003_¸?ZÐÞ_x0002__x0003_~áº?S_x0012_a_x0019_.c¾?öm#ÿ_x0017__Á?_x0015_O_x0015___x0013_«½?Tì5Ê¤o¿?_x001B_}½ühº?¶U]d¾?HU_x001F_a_x000D_¦Á?+ÛØ"½»?|_x0001_»RUêÁ?ÄeOdÁ?çÛý_x0019_TÜÀ?¿@Ø»?ð}ðÜ±¾?rémj	¾?é[Ui_x0012_IÀ?_x0004__x000B_ÁD_x0002_·?~"'cKÁ?e_x0014_)À?[(_x0010_¼?ô²]àÀ?W_x0008_Ú²siÀ?_x0018_Sý£d&lt;¿?öRÍ­oC¼?_x0017_Cßî|ª¾?_x0018_Wêêx»?GÎ\gG_x0013_¾?MPö_x001F_LY¸?ìÐ±eO½?rÐÎCmm»?ÆVòî7jÁ?&lt;zy|n`¿?_x0001__x0005__x0017_³P0½?1e&gt;Ï§c¾?f¢vÑMÁ?\ì@Qc¾?g½_x001D_&amp;_x0010_¼?&amp;±K_x001D_J_x0003_½?_x001F_4rê¦¿?_x0001__x0006__x0014_òoçÁ?_x0018_Ô»ï½?ÏUvéª{À?4ó ®t½? ÑÕ_x001D_Â?®Ì_x0002_È¿?tæ×3Á?e_x000D_rY_x001A__x0016_º?Ø_x0017_¯¬Z½?ª»&amp;t0¹?à´Mlo¼?_x001F_3ÁÀ?_x0005__x0004_ò_x0002_i´¾?_x0019_æ¯Â]¾?çN´=¿?KAeîÙç»?¤ëü8ïîÀ?a_x000C_èzb¼?ÊøaR8=¾?¼ªÝSÊ_x001E_À?¡_x001C_óØ_x0005_DÀ? 	!æ_x0014_¾?'d_x0011_C§Á?ZÿgÆh@»?_x0016_Õà_x0001__x0003_9D¿?_x000C_Ö_x0019_ÁöµÀ?mXßZ_x0014__x0008_Á?îÇçgºæ¾?bÃð¶-R¼?moU­_x0002__x001C_Á?î%tt_x0017_S½?¸lõ[_x001A_¿?õÑØïÀ?Oíß¡&amp;V½?_x0008_x&amp;6¯_x0017_Á?%_x0005_0_x0007_úâ¿?òßiL_x0017_¼?ï1Æqzº?pi«Úr7Á?S&amp;Ñ¿?_x0018_ÄæÙQÀ?u_x0019_ýÀ?²mMæßÀ?_x0006_ÎcÆ¼?_x0016__x0005_öÿ¤À?Îu_x0007_¥¾?ðaËtÇ¾?_x000D_ÎÞ.Ìp¿?ÿ}_¡_x001F_X¿?f'W_x0017_º½?mëp±ÔÀ?§?AFí_x001D_½?ô^`Gv·?H*x 	[¾?øõ&gt;.laÁ?®~ã2¾?_x0002__x0007_ÉIÚz;¾?©q¿öÊª¼?Ç¨_x001C_YxÀ?Á_x0002_á0_x001C_º?*ÍFÐ_x0016_wÁ?¢m^_x0011_eÀ?+ú|=&lt;¼?_x0001_p_x0007__x0011_ÝWÁ?.^joÛT½?}G8_x000F_½?æßã°KÁ?É¼_x0014_»2ôº?®×]ãdéº?sgOr+Á?æçzÁ?öB¶ÄTÁ?_x0018_3ÿ§bÀ?V]_x0006_² Á?Z`A3_x0019_À?Ïï|_w¿?/Z3ÆÕÀ?¸ÞBS_x0005_¾?¸~!»f·?i_x0004_ØÊi¼?6_x0019_²_x0003_èìÀ?&gt;&lt;ð_x0012_ûnÀ?°Ç_x001C__TÁ?D_x0019_Pi_x001B_À?¶£@_x001B__x0014_¼?Õýu±Æ_x0017_¿?È ¡ÕÙñ»?J#îô_x000B__x000C_Ý8¾?½b&lt;åz¾?("ÇS|À?=4_x000E_í¿?±½P¥²_x0002_¼?_x0008_Ê«¦¨â¸?2CÈàÄcÀ?¥äá7b¿?¤J__x0008_­_x0007_Â?_x0004_zð#&amp;ã¹?%(7_x001E_x	¿?¡hãê_x000E_B½?º1«_x0001_°º?mÛÝN¹?-,úØÄ¼À?I_x0002_°¹?U_x001A_ÿð_x0015_¾?ú_x000B_LY-½?CÝIë×_x0015_À?Ïõ`(_x0006_îÁ?_x001E_Jc!\j¾?_x0019_a	,RÑÀ?_x000E__x0004_Ï&lt;X_x000D_À?5@`W_x0005_Ä¼??Ì}$6_x0003_Á? g¸_x001E_u\»?Âq÷=Á½?u_x000F_MËD½?QN_x0008_ §¾?|%~8À?³2Jox_x001B_º?©F¬BtÂÀ?_x0001__x0003_ÑdßÎuº?K`S®µe¿?¾`&amp;c·ú¼?ÌUoìO¾?MÜä&gt;0 Á?¢4^H[½?@_HÅº¾?_x0016_ky=#Â?æ'?Äë¼?_x0014_5_x000B_	À?_x0016_ì_x000F_§®¼?Ha_x0010_å¦©º?SãÖñ¶¾?vd_x0005_âü¿?q±,ÊÜ¸À?}]_x0002_iäÿ»?r»Ï¡.»?%Ëâ'4õ¿?¬_x0011_oÿï°½?ÌqÐÝpô½?_x0012__x0018_ÔQ=L¾?)¬°_x0004_ptÃ?&lt;ºgýº/Á?ZÞü©_x0005_½?ºè_x0008_£d¼?_x001E_ÇÓy_x0006_(»?¬«_x0005_úíäº?è Hú~¾?_x0014_"]Îò&gt;º?×,+Ô,¢¾?q¹÷"o ½?!{Q¬_x0001__x0003_ö¾?1ºËØÀ?_x000C_KQ½ÉÏ»?Õ!_x0001_EHÝº?_x001B_*å¹?·=L¿?Þ){Ô&lt;Â?×!_x0007_ÀÛ¿?á_x001B_¥cn¿?_x0001_»ñ_x0015_T¼?(zìÂ?	n_x0007__x0012_ñ_x0016_À?Êö¦	¡¼?_x0017__x0006_vI²À?^£¼?~Q:1Â?¸b_x000F_á¾?Kà*R% À?ysÂÂê_x0002_¾?s=zm+aÀ?hÊ¥Æ»Á?êGm,ï¿?x7_x001B_¤2LÀ?Gê¼T¾?Ü_x000B_ªzýjÀ?Qá×_x0004_»£¿?_x001B_ _x0010_«-¿?lZ»d{=Á?ª ÏÎ½KÀ?YÏ(Ò'i¾?H®_x0006_¯_x000B_Á?_x0016_Ù.´xkº?_x0002__x0003_õ&lt;·Çl¼?çÙp*ë_x0011_À?HNy7Ùò¼?_x000C_«_x0004_Á¹?_x0011_Üe_x0010_Õ_x000F_Á?í_x000C_É0¿A¾?¡yü_x001E_"À?$*w;Æ.½?_x001A_6ñ|º?Pï_x0010_LÀ?ê¯_x0012_Iö?¼?¹RI.¾?¦üèÐ¢4½?z[R_x0015_6{¾?_x0002_ü«È;Á?.;d_x0007__x0010_À?÷$Ë×ªYÂ?&lt;í¹=+K½?Åó_x0016_Ð8¼?rþº°«À?k_x001D_#Õ¯Å¿?_x0001_Fä!_Á?_x001F_?è«Ì¯¿?SÃlfÀ?6Ô_x001C_ä~¼?TÞ_x0017_Z:À?ñðk¢k_x0005_Á?¦×mì×G¾?c+~_x0006_h×¿?$q,Ã@çÀ?´D^f»?D°_x0003__x0007_2oÂ?_x001D_×Ì¾¡À?#\%N5Q½?C×é[®¾?_x0014__x0017_&lt;_x0014_3¼?_x0013__x0004_ÆÌöÀ?G¾Rz¼¾?Û+Oü6_x0006_º?_x0005_óâ&lt;G¿?£_x0010_áA¼?PgX_x0001_º?&gt;n*ãl¼?_x0005__x0002_|ì/Â?&lt;_x000F_®1öÛÀ?mi°º_x001B_½?`Ô_x0013_~ÑvÀ?|Z{ó4¾?]]ÒR¾?,5üà»?ì\húqÀ?¸F8~&lt;¿?î¡°ï½?ÜÊªêØ_x001B_¾?¿"*¼?´i¸ñoE¼?)ÍdøÍ²¿?s_x001E_/·w½?lBµúÀ?Jg_x0011_RË»?p_x001D_ê_x0013_*Â?S\¶ë_x000D_ ¾??f;õÉ¾½?_x0001__x0003_74Bð³¿?øµC¹R¿?`prl«Òº?ØZï_x0002_ãÀ?_x0004_åö»Á¼?ÛÒ»4ðûÁ?ÿåÏ\ÿ¿?G¿ä_x0002_6Á?	_x000E_1½5À?qLP_x0016_îÀ?Ö/ã#8Â?_x0003_ùê#Ë¼?Ê_x001B_þ&amp;¿?ð_x001B_ä5Á?Þ²¯!Ì¼½?@ýOÍÇ¥Á?VËØ0¾?u,¤)À?ô+]*3À?Êìv!_x0003_&amp;½?_x001B_ëFYÄ»?ÀãÂâ¿?t!_x0006_µ_x001B_ú½?:¢¸_x0015_Á?Pm;§o¼¿?$ö­mË¿?ÒbK|º?}´8=Ú¾?f¬Ì¾JP¾?Ú£ù_x0015_Ü¼?÷¼V¿[¿?ï¿×§_x0002__x0003_ªªÀ?Âu.°4¾?MË»(s¿¾?¸AÁ3×¾?aÝñ_x000C_!¼?_x0017__x0018_|_x0017__x0006_¼?Ù_&gt;_x0011_;»?hÊãØµ»?J_x0003__x0001_&gt;¿­º?D*_x000F_ÉÁ?$ùÜÒ×_x0014_Â?_x0004_ºãÖ»?_x000C_'bÿÖ¹?µ FiÑ¼?U_x001E_¤¡â½?ÕC¯_x0001__x0003_úº?ä_x0010_BLêwÂ?7:ã3â_x001C_¿?_x001F_ÇKoMÂ?ûò]qÝÁ?¬lÖÖÙÀ?}s)ì_x0013_Á?_x000C_1 	ÅÀ?,´=PJ+¿?ö¶&lt;Â$Â?HF?Ó½?³Â47~½?¶t_x001D_ðn_x0010_½?$&amp;FúÝ¿?þÝO[Bb½?W_x001C_ókþé»?Rú_x000F_Ô»?_x000C__x000E_{·¡-_x001F_ÅÁ?~#_x0003_â¾?¼öi½¾?_x0010_zdL©Â?_x0014_'Bg¼?_x0004_A8¸­6¹?ºÐV»?³¼_x0004_ªÏ¿?_x000D_ÉarÚ½?Ù_x0007_ºò_x0004_¾?ý,?_x0006_I`½?JÎU7%	»?ð.ÑýÀ?&gt;h_x0005_C8£Á?-ÐÕÝ_x0012_¿?½JRmWR»?µ½È6ªÑÁ?#_x000F_Ë_x000D_`4»?n&gt;;Á?Nü©]5ç¼?_x0016_B,LÁ?D_x001C_Å$Ä¿?&gt;¿_x0008_REÂ?dÚ_x0015_Fp?¾?ÛÃ_x0018_Ò_'½?_x000B_ôÄYÏZÀ?_x0010_Î_x0018_M¼?Kä_x0007_*P_x0001_¾?4Ê[Ø8¿?_x000D_ð7TÚ*¿?_x000D_áHN¿?¨_x0002_°Ã_x0001__x0003_e_x0010_»?¢~tûd¸?_x001C_Ïõ2ôøÀ?Ë_x0008_¯P_x0019_Á?ÁÊ»¼?a$ýé·ý¾?R¿;_x0018_é Ã?I_x001A__x001B_ ¿?ÜX_x0002_b.À?6;NN»?_x0008_ñFU_x000C_Þ½?¾2 s±¿¼?_x0003_þÛÅ_x0001_À?ÄxVÑÀ?	w´_x000D_)À?Ñêå1Â?+ðÇoÁ?±Qû¼Ã?Sþ.)¾@¾?ê_x000D_:_x0015_SÁ?_x001D_*/È:ñ»?î{ÉÁ¿!·?¡4_x0012_Vß)¾?»_x0008__¼(Á??v? y¾?ÚÐàúqÀ?JÒÂµ-¥¿?; ¥fù¶?½Ú§æC_x0012_¾?[Å_x000E_+ ¼?I_x0008_!ö#,»?yÛèùBÁ?_x0001__x0002_v°E$°_x0011_½?HZáý_x000F_Õ¾?é_x000F__x0011_È3	Á?½cûJ`É»?VW+¤TÀ?Û£ús	=À?5_x0017_[Ã_x0010_¾?Õ%_x0001_°_x0019_ÇÀ?\1{CÆº?øÍð-_x000B__x0007_»?Oe¥Å_x001B_à½?5±¨{-º? _x0003_\ux!º?íÚqãnÙ¿?êSÙ&gt;À?aË#yÿ¼?7µ~á÷»?ðk&amp;"&lt;ä¼?ãs_x0001__x000D_¾?sY¨U_x0019_Ò½?bà&amp;bSßÁ?ñ_x0001__x000D__x000D_Â?w_x001E_¯$Îæ½?CR¹þù¿?Ç3_x0005_¥©é¾?Añ¾hÆÀ?B&amp;x&lt;,\¼?¸×ì¡ti¿?_x0008_¥Û_x0004_cq¾?Çe«Ì_x001A_µÀ?«V-~çL»?Â%+É_x0001__x0003_'¬¿?_x0013__x0013__x001F_õ_x0016_¹?Ä¯	©Ú½?_x0010_ç6Y=:À?$D&amp;Yÿ¹?_x001E_gÒÿ¼?­Ê; Í¹??×õVä\¾?nG²ÑÈº?0"8mm"¾?.åÁ_x000C_å"Á?Î_x001B_ÐQ~¹?ú´Ì1k½?³Qåà¤WÀ?_x0001_º=rÄ[À?b/$Ë(ÉÀ?«Oê]î+À?K8Î'_x0003_áÀ?ÅL+M§äÀ?_x0018__x0007_	k¸¿?	!ç6¼À?í×Í¿?·¼º-Q²Â?õ±Á/_x0004_¼?T	cÚöHÂ?zªýM_x0002_fÃ?»°¿?QU;o»?2{|Ë®À?Y\èjO¿?aD_x0006_ª¹?ÀUúNKmº?_x0003__x0004_Þ[@	½?¤TæZ&amp;_x0014_¿?ÕË×À?²É[ëÐÐ¾?	_x001D_31ÜÍ½?ð_x001B__x001A_göÀ?_x0016_qG_x0010_À?D!_x0002__x0002_ÿÀ?_x000D_ÜÖ5@g¾?ÖÄÀiµ¿?7#pÊAÁ?_x0012_ä¿'è¾?ÛskÇSðÁ?_x001A_¢~GpÀ?ó_x0007_£]~V¾?È9ÿ°¹?_x0012_FüEM8Á?7Õ_x0004_Õ#¾?÷n_x001E_F_x0008_¿?ª*±l ×À?u;pÁ2¾?ò_x0013_"\_x0001_Â?­Ë«S_x0006_v»?°ÿ¹ïº?Ã¥(à_x0012_ä»?F_x0002_ØS¿?ÄÚTI¹?_x0018_¦Úª_x001F_½?¿FÅÈõWÂ?]HÇÑ_x0007_4¿?þ_x0011_?_x000D_K_x000F_Á?æt¶­_x0002__x0004_!GÀ?Hôvó½b½?¨	!_x0001_æÀ?èUiXÈÀ?_x0001_p2»'¾?ÔSó¶Ó¾?Cï)sbÁ?mE¦ _x000D_HÀ?kòºÛ@¿?ícÃý~À?Å!&amp;Q¹¾?XaWj¹?àâC¹?5_x0001_¦.,bÂ?ôláFÍ¸»?Í_x0001_;»m¢½?$Ê¾Á?ïð°Ä¯¯»?²_x0008__x0003_¾Á»?GBÂ_x001E_Ë½?K+er¹?WeC19jÀ?n_x0006_PÛ\½?MË°ì_x0015_¾?gåáÇÔ¿?*áh'¼?¨/|Éäõ½?íÈÃ_x0018__x0001_Á?y_x0010_ßÍÀ?ÖJÿÀJ_x001D_¿?3_x001E_èGËÀ?ðñ@ÓQ©À?_x0001_	Àlø¦SîÂ?P±íE,_Á?±åg²`YÀ?ÎôÚíÏ;À?_x001F_Êq_x0007_-À?_x0013__x000B_$ë°À?Î6ë£b_x0008_¾?´1½_x001D_S¶½?_x0002_ uJ¤À?ºc_x0010_UEY¾?´ÙëÓýä¾?þyñ}è¾?D:ïu_x000B_ã½?¯MÍ!C|¿?o_x0006_(ø;_x0005_À?¼Zºýº×º?_x000B_¾_x0008_­®¿?_x0003__x0006_kï_x0017_½?_x0017_dVêÙ_x000C_½?6Â½É»?_x0005_J_x000C_¼_ø»?_x0001_D_x0006_]¡»?X´úu&gt;½?6_x0004_Îo`_x001F_»?ëßm¤÷À?)À|X¼?eûÉÅ._x000D_º?_x0019_Ø«Óm_x001D_Á?fí¿_x0010_0BÀ?Ð_x001D__x0015_[$e½?Î¶Ti#¿?ò5_x0018_f_x0001__x0003_ö&lt;½?Ø_x0006_Ás_x001F_)¸?¿1ëo¾?R#ú"_x000B_Õ¹?D»¹A_x000F_À?/¥ò½?.©I¶öï¾?Å;è¤2¿?ßàa_x000C_»?0ÚÜ[Ä½?_x0019_1mç;È¼?ÿâ~uÕ¼?;_-$pXÀ?_x001C_ïøä1%»?Î8i#_x000C_Â?¹Ú±{e_x000C_À?o¿Éî^À?fÐió¹?h¢Ç°¶?3rÂ_x0003_tÁ?»/_x0004_û_x0005_À?_x0013__=_x001D_P7À?ð_x001D_ÂÔ¸?_x0002_¿å6u¾?QÊ¡_x0017_Ã¿?\MpTO¸?ÜýuèðÀ?_x0008__x0013_õÚ¼?H__x0018_°qÞ»?êb$h_x001A_ª·?÷8ç-ÁÁ?_x0015_Ww¾?_x0001__x0004_8ûX_x0011_çé¿?3××^_x0003__x0001_»?ª®Ë±IÀ?ÞÜWú_x0002_à¿?'ÛmI¼?Gmô_x0010_û_x001A_¿?¾5J'_x0005_¿?ê¹úñWÂ½?ñwî'[&amp;À?ý4?ü¿?²G¬Öë(¿?ùò ¦_x0006_¿?è}lþø»?)_x000D_jOýB»?ü o3ÝÀ?ÆV\I À?_x0017_ûsEÞ¾?ú.½Uß¿?ï è¥_x001F_¿?*ê:_x001C_ÃUº?Q_x0003_Ú÷¿?_x0007_½}_x000F_n¾?&amp;_x0010_Y3)º?9.ñ}Á?°_x0005_Ð0Ç&amp;¾?uÃí_x0018_ãÍº?~Ndþ_x0006_v¼?_x0007_zJ6!½?/ó_x0001_]µº?Î'_x0012_í»?IÈî_x0001_ãáº?6^¬Á_x0001__x0003_M«»?éqEÒ.î¹?3PÌÝ_x0015_ºº?~.!_x0017_ZÁ?ý__x0010__x000B_¾?_x0012_¿æLKdÀ?Xô:?Wù¼?5)Æa ¹·?_x0003_t¹?À?½Ü¿§¿?³_x001C_?	_x001E_QÁ?náÎ­FÁ?}DÝ¾?oE}$`»?×êVYT_x001D_À?nÉkh_x0004_À?_x0005_Cüè^K¿?Ç­Í¹?óc-_x001F_*À?yØcø¢¼?n_x000B_åº?¤×Ë_x0014_Ébº?@Z°O§^º?_x001C_Þ_x001C_³¸?üì_x001F_ó¬À?f¬_x0016_?ðÂ?zILªÎ$¹?Èï;_x0002_ ¶¼?·pbê¹8À?èÌü¸?_x001B_,½gQ_x000C_¼?ªÿ_Ã_x0015_½?_x0002__x0003_R_x000D_w_x0011_Ð©½?q_x000C_êFMÀ?_x001C_m`_x0012__x0018_¾?(Þï*ÁM¿?%Ç¶ó½?Ï_x0017_zG_x0001__x000C_¾?&lt;ûÁ_x0002_*½?MÀ_x0005_:êÀ?_x000F_ÆÎtSÀ?g¥ßPéÀ?¨u$_x0017_#ß¼?_x0004_õoó©¾?ÊL}¼?}6ÐÊ_x001E_H»?Ì¿f=_x0007_fÀ?_x000C_/'çtú¾?öà±g~Á?tK×wSNÀ?®w¤&gt;¸lÁ?OÝBå¿?t_x001E_iq_x0018_\º?Y~0_x0001_»?|²9ú_x0018_²¾?mê²!{_x0003_À?8ÓI¡Mt»?®}_x0014_ïHÁ?&lt;~F*_x0007_À?ÜÐÐd¡'À?n?F§@³¾?Ö,èö_x001A_O¾?'î±1 À?&gt;s;ã_x0001__x0005_+Ø¾?QO¬9t½?uE®u_x0010_¨À?8úRpS¾?£Q_x0004_¸aÉ¾?úrøÏ¾À?7,Yò/ÿ½?é_x0018_ik¼?¼¬	À?¦¯7µ'ê½?báÄÊ¾?¨ûO_x0016_s¿?qû_x0008_âYÆ¸?]°/_x001E_Á?1_x001A_H¥&gt;À?l¶_x0004_NZ¼?_x001A_mÃfÂ¹¿?§~_x0010_Ð0À?_x000E_ÃMq¼?ºu_x0015_Ô_x0013_¼?i÷¢Ë%À?9"_x0005_ËÎ_À?_x0003_³/¸T,¾?_x0002_¸_x0016_i¢¯¾?±î÷÷ËIÁ?Ò_x0019_Q´b3º?|i½_x001E_X½?_x0004_¾m_x001F__x001E_¾?ÇãzÞOPÀ?_x000D_sð~wqÁ?äßT3e×¼?#6¾?_x0005__x0006_h_x0004_öð%Ä¾?ì_x0002_u¥ÿÚ»?_x0004_Ð #hÿ·?Zly¢_ì½?Þ}&amp;ìn_x0001_À?Ö(¾dé¼?bó:KXEÀ?!]_x0016_:»?-ô*¬Í5À?"â»=vÄ¹?&amp;Ifù`ÝÁ?ô0Kg¾?[_x000E_ôï;²»?¬&amp;Øobz½?kië_x0003_Åó¸?no¼Z_x001B_1»?Á_x000C__x001A__x0014_Z¿?k£u@£8½?Nú!_x001D_$åÁ?_x001F_é®·£¾?s)³7ý½?g¼óf¾?þ?iû¹?B]Ô«½?_x000F_&lt;&gt;à_x0019_¹?ë£nÝ|_x0001_Á?Õ?_x0007_÷æz¿?¤±¾_À?3Ã0ôj#¼?SÐÓ_x0013_o¿?	}¾dx¿?_x0003_þb_x0001__x0002_½Ç½?0çaCfF½?¾+Ý/_x000D_r¿?^+yiÒ¿?_x000C_qUÿ^	¹?D,©áx½?mIÃV^ÒÀ?«5¼ê[Á?$Ï_x0016_ïÁ?îôIój½¿?#_x0007_ªF¨#À?J­xCº?ÉÅ_x0001_áKº?'¼ë_x001A_À?¬Êª&amp;VÀ?di_x0019_gá¾?ù_x0002_Ó`Í½?»+¦û»º?¬·_x0008_Rëìº?ÎcjÐn½?~Ë(b5¿?£_x0014_J_x0015_åDÃ?4+£ÃÍÁ?¡7	_x001F_À¥º?Ì\©±NØ¸?_x0017_1{®¿Ô¿?ÉpÊDÇ¼?v7_x001E_åcÎ¾?`µ­üyÀ?ØK·*JÁ¾?è_x0018_êéKB¿?_x0008_ò*E§ËÁ?_x0006__x0007_Cÿ½ Üµ?mð¬*¾?_x001B_ââð¿ÐÂ?òr¹æ¿ÀÀ?_x000C__x001B_­Þåå¼?èIÈûÁ?·i¥XCÀ?Qß_x0008_v_x0014_À?_x000B__x001E_"2$Á¿?_x0010_[èåj÷½?&gt;_x0001_ãwDÌÀ?_x000B_Íóæ$4½?ÇÌ'ä£»?3l»Îo_x0007_¾?'/@$±¼?·,c_x000D_Â?RL_x0005__x0019_6º?	n{`¾*Ã?ßW_x0004_k¿?à¬ÁA±½?Òwåò¿?_x0016__x000B_Ø´¹ç¿?_x0006_ë&lt;¨Tí¼?xt7ï_x000E_Ä¾?fÊcRWÒ¼?ïþ6_x0002_1¿?µ&gt;ïJMÙÁ?éi_x0003_/Õ½?®óIE4Ð½?y{Â£À?"_x0002_xl_x001D_úÁ?_x0005_¯ÛW_x0004__x0005_;À?¼u'_x0006_É}À?_x0001_±:_x0011_Ès½? Hg¡O»?Ç}­_x0010_ÚÀ?~ag{õ¼?_x001F_/Ö2_x000B_½?GÄÐ_x0007_êyÁ?1Ô\«IfÂ?¦ãW_x0011_E¾?EQpW=_x0016_»?_x001A_¿Ð×	¼?_x0017_zÜ_x0002_}»?ç5_x000E__R}¸?ï.e¹?Vk_x0002_u¾?5)}_x0004_ø¾?%Ô)î:ßÃ?N×b½¡Ò»?²Äxì¨_x000F_¿?¢mI»?_x000C_ðb5§»?Á_x0008_ÓßÃl¾?À_x001B__x0001_ô$_¿?_x0003_ø\ë¾?ÌÐÕïêÕÁ?ë_x0001_®¾?ÆZ¨ôßf»?tsæÆsÀ?_x0010_rIfÍ¾?7b[íì¸?Á¥c¦k¾À?_x0001__x0002__x0007_¡_x001D__x0011_O¼?_x000F__x0015_i)4³À?Éeñ¿?¡«ÊO7_x001C_¼?¢Íò1À?ÛôoÃÌÔ½?G_x0001_÷CÁ?þÏ°oèî¾?O_x001F_K3¼?H¾X%]À?¾Ñ½&amp;ku¼?ù	_x0003_úI¾?Ù'Û«ýñ¾?½_x000D__x0008_2_x000B_½?©Æude²Á?þ²Qû½?·q¦Ø5_x0008_À?NÙ_x0005_Ð`¾?²lZ´i¶¹?ÎâYC¸À?°§íö»?%Ðq¸?!ß¨h_x0007_Ã?·m åG¬¸?_x000C_À¾×ö"»?ü_x0005_Ûyÿ¾?I5©P¸¼?´´à)_x001A_»?5_x001E_¦£ôÀ?I_x0002_ÃlÀ?ItÈ½Ï½?~^|£_x0003__x0005_/¨¼?_x0006_g_x0002_@½»?ù%&amp;_x0010_iÀ?76Õ´g¿?øÏ&lt;oÚ4·?ßÄ{2G¾?3-¨×_x0001_½?:_x000D_òaõÁ?¨üoOV]¹?®délùG¼?¹S&gt;úÅ´½?4©ÀX$Á?j~A3À?ÿixÙ·Á?Ue{ùYz¼?ßÓëÇ®»»?_x0004_F;k_x000E__x001C_À?¹üM_x000C_1¿?^Ï_x0017_Ï£&gt;Á?ÃwéE¿?©_x001A__x0012_p0Á? _x0010_ËÐè½?%&gt;\Ç,ÂÂ?êgTI_x0019_SÀ?#²¬øuÀ?F÷®Ù?¾¼?3aô¾?|ù}[_x0017__x0017_¹?¦ÁeÎÀ?Exý½_x000F_ÚÂ?=®nN°+¼?è_x0003_/À?_x0001__x0006_È_x001E_^£¼?ìÃ*_x001B_³Á?öÿEÿ_x000D_À?ÛLâÃª¾?wÞ&lt;[R¶?²_x001A_ZS_x0008_;½?71â_x0016_ä¿?sJþ¦N½?{×¯¢KJ½?V±ÑÑ¥½?b^ª¥_x0014_½?²ÒsóE_x0013_¸?Y_x000C_ç&lt;W¼?Öïº_x001F_¼?ÝâØc_x0008_{»?R_x0002_Ìß_x000D_³¼?¼Sê&amp;IÀ?&gt;°|À?Ë&gt;®16mÀ?H` /b_x000E_¿?;_x0003_¶{®6¶?_x0004_Ö'_x0005_q#À?ÈýáK¼?_x0019_gÝ¬½ÕÀ?_x0010_n`"&amp;´?+¹¯_x0017_»?]Ë6~¦À?6_x0002_ÿ_x0004_¼?Íå1òÀ?îüF¯À?¦åÎ²ÅJ¿?~_x001C_å_x0003__x0005_h_x000D_Á?tû&amp;¯J ¾?DÃbS£h½?¥õNú^¼?Ä¤ëü_x0013_À?0_x001E_þ8G½?.{\Xì½?yF wq½?w_x0011_4ËX¼?¸Ë:/Ä@À?íÄíWgÁ?ÐT_x000C_§¾?æ¿_x000B_Q8ð¿?&amp;¥¦¿_x0011_À?_x000F_þâç;u¿?§¹ìÖ½?êT&gt;³è$½?®ÛøF_x0019_ð¼?5¾Ñú½?'¨Ò¤DV¿?¡F³µ_x0007_Í¼?!iÚù­_x0004_¹?¼ê&amp;º?ªC±_x0001_Ü½?´Û3ýó¸½?àmÌo6¼?Gd4íú»?z_x001C_²ûPº?úåù"çwÀ?ªÂÛ]¿?£j_x0013__x000C__x0002_¿?®Öò'ô·?_x0003_	Dü&amp;!£½?ec±Nñü¾?nk_x0002_+ó_x0002_À?iÔð`"¿?-¯F_x0004_­d¿?_x0007_ !ÿ/¼?_x0018__x000E_Î{Kì¾?jl:yu_x0016_Â?;¬$Ï_x0003_À?²_x0014_õêX_x000C_¿?º_x001F_{¶;Ä? _x0006_S®5»?â_x001F_U¢0_x0018_À?ø3fZÐ»?Kðëil½?x_x001A_&amp;Âõß¼?ÅÃdðÂÀ?{}Àa¤_x0016_¿?_x0005__x0001_% Ð¿?Ã{ÝîF_x0012_Á?±É®2_x0003_ñ¼?mºc_x0004_~9¿?ÐQ¶oî­½?_x000E_8R?¸?±Ï)ÅÙÎÀ?{¾²Ñ-Á?ÄbjbªÁ?à_x001E_u!ú¦½?_x0017__x0008__x0001__x001F_öÁº?ð!@Ð_x0019_®Á?_x001A__x000B_p_x001B_ºÀ?B{Âÿ_x0001__x0004_,Í¿?Á2_x0008_óÈº?¤¹sº¿?ærVÂ?@­ÈÍ!È½?½®_x0003_~4d»?Ãpc©¿?=Þ· þ¼?D¾¢î}½?ó_x0002_ö¬¼?L§ÙK_x0019_¾?¨ó¢ô&gt;_x0002_À?_x000E_úfy_x000D_Y»?ü7¿Ñ·?Ðy_x0014_&amp;_x001A_N¼?G¡Þ&amp;Á?möÏÔ?½?&amp;,Ö]Jí½?»_x0011__x0004_éRÁ?õÂj}\ú¿?_x0013_ßeÁ?_x001C_¢TWG¨¸?E_x0007_µ3|¶?W}ØÒ~R´?gêA_x0015_ô´?_x001B_¢_x0019_ÔM·?ØÐÈ%4p²?H¾Y¶?dµC×³?ÒD\¬&lt;Y²?1_x000C_ëAå·?Þq-ñ¿´?_x0001__x0003_4ý_x0002_L¸?²MXsü¸?#	m µ?±ôXÖc²?´µÓS´?{ôÕ3µ?ázÇ¼Yk´?wI=$pÄ¯?¢ðæ!¤³?_x001E_86Qñ³?©¢_x000E__x0010__x0019_º³?`´Ê¯KW±?­`ê#5Ð²?#ç73²?&lt;o_x0019_S}ãµ?#yÍPwµ?_x0011_èu	¾²?Ú¸[_å³?ò¯ê_x001B_m&lt;²?®íÙ_x000D_ÞQ²?¸=4wt³?T2¥I ùµ?R-õ¹?_x0004__x001A_Z¿6´?o§_x0002_FpK°? wSßâî´?¼ãk2q³?$Úÿ!¼³?¾ø_x0015_Î_x0013_Sµ?¦ëm¸?ù__x0001__x0010_A³?x³!_x0016__x0003__x0006_F²?;_x0011_3_x0005_¨J´?·_x0010_aª´?Û_x0011_H:·?rIÀ¯4ñ²?_x0004_Òï#ª%·?r÷"&gt;9µ?Kó$á±´?þóÙg!5´?xôèâ°?ÿô·*~-²?cÔ&gt;sÈo¶?ððJ_x000B_É´?'_x001A_Ù!_x001D_]µ?ÃÁ°ä6_x001C_³?_x001F_x_x0004_m'¶?ÜïKô³?USh}±?}_x001C_`ÁØá²?_x000E_k_x0018_IÙ&gt;³?)´O·*Ö·?kµ=Ð±?ÙDùÐ¯ ´?xí(á·?±·¦Y&lt;V³?à_x001F_6 |l³?Æe±Ê_x0001_ µ?Îÿ¡%WÑ´?Íý|_x0002__x0010_Mµ?(JL²ë°?ç4pYU¶?Áòe¥°?_x0002__x0003_Ä:âÜ±?p¸_x0008_é²?\Óþ½p´?GAX¢Í_x0006_²?_x0014_ëMVí³?Ó_x001C_Õå²x¶?_x0013_íÁ_x001D_ê¶?g²_x0005_¶?&gt;¬F_x001B_®µ?í²´w{³?¡G_x0015_ÌÜ²?aÍºÊÙ¶?¨_x0004_Gé ¹?k»0!_x001F_ µ?9`Î"uµ?yV¥_x0019_µ?=_x000C__x0014_*Ú³?_x0017_Ó¨\c´´?º%¥	EÏµ?u`kÌÞ_x0016_±?¸ÄðË]Àµ?/_x0002__x0001_MMµ?å_x001E_ÍÆ¾³?&amp;N¡"£µ?iµ®8ð´?+¼#Ä_x001D_Ö²?}8«´?ò\/+¶_x001B_´?©©BÐi$³?¹]	Ôµ?_x001C_Æ(_x0008_D¹¸?$	'_x0001__x0002_('²?:Ïö¥DH³?_x0006_÷`n)6µ?VÂ_x0018__x001C__x0008_E´?¼_x0008_ÀlÙ_x0015_µ?¼îæb¨s³?ìZË.®w³?éê0_x0018_³?Tý#rµ?Ì_x0005_C_x000C_ô¸?Áx¬7²?p*°t&gt;¯?Øì_x001C_&lt;~¸?a_x0006_u_x0006_æø´?Ø-c_x0017_ùu´?½ÔÁ_x0015_¢¯?]á¥_x001D_£ö´?òÞsXÊÍ´?£Q[_x0012_Ã³?,SA¦kë±?@%Âu±?JiÛ~²?ã05¶?Ð?á_x0010_'·?è×¶Éq·?gÀ_x0001_âVlµ?_x0014_á_x0011_µ_x0003_u¶?F4T¨_x000C__x0004_¶?_x001D_­_x0012_b|_x0005_µ?Ñø?(´?_x0001_øP&gt;_x0016_³?q_x0011_)ñý¹²?_x0002__x0003__x0004_øý!I]´?æðú14µ?ybNÔ¶?	_x0004__x0017_Ì&amp;µ?_x001F_hí_x0002__x0017_¶?_]5_x000E_ú·?¶ã_x0014_Xî±?=¥,_x0007__x0007_±?®(ta²?ãO_x000E_%_x0001_ò¶?_x0002_£ºï_x0001_·??øïv¬Üµ?O _x001A_nsµ?_x0017__x0003_.B÷³?;ª©¯½_x0018_¶?_x0006__x0004_±ÿ`¶?v;__x000D_ÂÞ²?ÌL4Ó³?þs¤­¤r¶?xRÇ`Û_x0002_²?Ç#Fgµ_x000D_³?Ñ_x001A_n¼p¯?_x0014_Ô2_x001F_c¥¹?Rog ¶?çZôn;¶?_x001B_î±_x0019_RÎ²?J4|_x0008_M³?Û+!êj·?s&lt;VG"¶?àTFð_x000F_æ³?hWÔÄd¶?¬°ó#_x0001__x0002_´ó²??üÃiÈ$°?s_x0015_ÃÙÑ¬±?4H\`µ?0ÚÑK0·?s_x0010_¾øæÜ´?Ú4Âî¶?ÍwðxÜ£´?_x0010_47·ß_x0010_±?k¨Ç7ÅÓ°?u_x000C_Ü_x0006_´?Û_x0007_/³?­ßúEÚ³?-Ï)Ã´?4¬X_x001D_Ò,·?j_x000E_D_x0017__x0005_¶?_x001A_¨£d±y²?ÐA_imµ?ñA¸CXH´?[_x001C_`Ø²?l-+_x0013_¶?1£&gt;_x0015_à³?½©_x0010_×C|²?ù8(9[µ?¸vÒÐ§µ?gopl*_x001C_·?*ü.´%_x0005_·?_x0017_!Ì_x000C_µ?ô]Þµ5ê²?;'z_x0018_Ù´?µ²³Ì¤Ô´?"²_x0010_ÿ?_x001D_´?_x0003__x0004_Y^ 14_x0014_³?Ä_x000E_ÁÀðB´?$_x001D_]_x0016_%¢³?év¼Õ·?t}Á³?.?óÙj¶?{w,_x0016_&lt;±?|T:ìDS³?cQºëh²?À:6[¿	µ?_x0004_ÁË&lt;@Ç²?{nlk¥µ?YzIâü¶?@,Ðêæ²?_x0008_ê4#Nè´?=Íå[µ?_x0012_¿¾`5Û´?Ô¥¾J²?½jVO{³?_x0016_"eòÙ³?Np:}_x0008_¶?ñ«_x000D_&amp;Ò´?_x0002_ØnX¯©³?jA*:_x0011_µ?G_µ?_x0015_#	²_x0001_³?0kS0±?øøx6;µ?n1_x0016_ÀW²?T~UF`_x0008_µ?Oæu8{µ?}!«³_x0002__x0003_Ì_x001B_²?ÛwÂy_x0008_â±?A0çI¶?£_x0005_dÈl¶?ÿÙÏÀ°³?kd&gt;bq´?_x0017_(ùÑ³?Ük«3ZDµ?¨_x001C_ßÇµ?öµÝ_x001A_³?M_x0002_pwu²?_ì_x0010_­2²?é_x0001__øVà¶?Ï¡c~_x000B__´?Ì²ÇÈî_x0007_¸?ðÛ[à§?±?ËF¥92¶?_x0012_ág_x0014_å¶?À(«dÆ¶?aY8GH²?øÅØß5ö·?¦(7=Uµ?j£E_x000E_´?×_x001D_lÑ´«´?_x000E_ÜgX£§¶?³Èú%:G¶?ÈÍ¥_x000F_F´?¶ò_x0002_#ðÆ´?·_x000B_ø·«ÿ·?G³(ÖNé´?¶_x0017_Hïá´³?*ðÜfÞû°?_x0003__x0004_kÅô©Xïµ?ØoV¿oµ?_x0002_,}G¸?·_x0012__x0004_jºã³?Ã"/âI&lt;³?¬·T©+_x000B_³?¾Oòl_x0003_µ?L_x0012__x0005__x0017_®R±?´#µ?0_x000C_æôÑß±?°Þº&gt;`¸?	~Ð-r_x0010_¶?õ_x0016_ñð«±?=t7_x0001_ì´?AèðüQ¶?&gt;¨Ý)¾½´?_x0002_ÏöDg´?ñÙÂl¯¶?mþhÐ[d´?TuKqµ?ç%_x0016__x0012_G³?L:2qi³?y_Ó¶f´?ªÃæxrµ?Npo5Ò²?	uïzÉSµ?Oø¹3V4·?iÊ·À°?skM¾&amp;³?ÀôªÃ¶?þÌ%U4³?'ôEè_x0001__x0004_­ ´?üT_x0011_Çò(±?E­kOi´?»ÕtÌ_x0018_µ?Ö¾_x000F_e³?°EºË]¶?~N2AU¶?_x0013_WS-æÝ¶?¹&lt;õ¥Àµ?0_x001C_¸_x0005_i·?Í_x0018_/§óz´?ÜiV??´?Y´©¸_x0001_µ?Â °Â_x000B__x0014_´?_x001E_ì &gt;_x0002_º´?Äõpäì«¶?_x0003_Vír_x001E_Õ´?Ô: G?´?ÜRÐÝG.µ?/ëzfr_x0014_·?¯)¸_x0003_´?u×´ÇÏ¹?=B(¶¤²?Tÿ*2Iµ?å»ÊS¬³?MX~ÛK²?ÏþB#_x0019_·?_x001A_+¸ÄÛdµ?qõ¤ãÒ²?¼Þ}}±#²?Ã)aþD¶?[YYj:M¶?_x0003_	_x0008_{Å«¢@²?î_x0007_Rc!°?ÓÌ_x000E_ë¦´?¶m~h9³?ñAÎ_x001D_3Z·?HÂ_x000F_7´?\tJ~çµ?ä"Íó¶?÷fûÃ§º°?Uû{_x0005_µ?_x0001__x0006__x001D_³?Þ2`ÕË±?â|øÈ§´?Y\o¯{J²?D£6ðÕ_x0005_±?Kª6J¥¢¶?_x0002_Ëh©´?ðRÞ0ð²?^é_x0001_ñÔ²?m_x001A_Ã´?¤©Ò_x0017_`_x0015_¶?muf¢5Íµ?½ë©,µ?éÙSí¶?9®ÿ_x0015_*´?§Vô|_x0004_¹?L¦å¤_x001B_µ?bRx_x0013_µ?¢hçE³?´wÞH Äµ?Û_x000E_T_x0019__x001A_:¸?#úN·_x0005__x0008_?±?¡²¡ÄT¶?Ì&amp;RÐ»/²?0y(©´?_x0001_vÔ³?O¢X_x0006_Êëµ?írQ´¯´?õ|ÞG!è³?l¶_x0010_óAº±?&gt;_x0015_í[_x001A_¸?í_x0015_^²?±ì²¦L·?'ûsPU°?Ù¾½jõ³?_x0007_ù@/Î·?_x0003_å³w·?tQ¡ÜP³?_x0006_@Âð©j´?þâ¹ò²?¾ã@m´?)û8¾Fµ?Y_x000B_ìúö5³?ý_x0008__x001A_×·øµ?¯_x0006_«_x0017_Éý´?_x000C_~*kÕÿ¯?P_x001D__x0012_+L_x0002_¶?Q_x0005_¶?«\´¶_x0004_Ìµ?X¸_x0004_ùf¶?âû¬v_x0004_I´?¦ëëC9à´?5s5DÂ^·?_x0001__x0003_¦'\êá°?²_x000B__x001E_&lt;n_x0013_¯?çëOiµ?&gt;múÛ´?_x001F_Ap8&gt;³?@L.$ýêµ?cQ_x0012_©_x0006__x0014_¶?qÒK½ª1µ?G_x0002_f¦µ?!AÇÌ_x0017__x001C_´?Éj¤Ç´²?á_x0006_1Ã¢­µ?uánmUw²?O»Ñjc±?(ÂmTx_x001A_²?_x0006_ëÉú|[³?r­®_x001A_D³?@¸±½_·?-dö3Óµ? r×·{§³?_x001C__x0004_7 µ´?¥f»Zy.¶?Í®Õyì²?È¹^qî²?é_x001E_Ð)µ?aCO°m¶?_x0002_"w_x000D_k'´?÷q p_x0005_³?! Ó¨°?_x001D_Ë7_x0016_·?|âFÁ&amp;ð³?n)_x0001__x0002_«_x000D_²?Èá*-Bµ?6_x0006_Y+nG±?þá¨s_x0013_²?f{?Ç_x001C_³?È_x0019_©¥7°?9_d!²·?cI/ásü´?ôÂH¿Ö´?GÅ·þí_x000F_´?	_x0008__x0019_°³?|®ë)\¤±?¤ÑÍB,5²?_x0018__x001F_É_x0010_çe²?_x001A_k\´?ð¨ô4_x0011_³?ÄÐkLÎÆ³?æ_x001F_EtÁ¶?j¯yz\´?í_x000B_rý¤·?9­DQJ«±?¯+"ÚÂ¯²?yÔ*ë²?eZ_x0016_Q ³?Jq;'N}³?Ë¥·_x0015_I_x000B_µ?ë¿!zê³?¾FÍ_x001E_áa¶?KÇ_x0011__x0016_O±?_x0013_~Ë	P´?âJD=_x000E_b´?òäÞD_x0017_±?_x0001__x0004_S!£&lt;ç¶?/A°¨3µ?¦?Y»æ^µ?_x0003_Ï*®_x000C_%³?Hk_x0002__O²?_x000D_3òY£´?]_x0004_&amp;µÅ²?ÂIç&lt;;®?_x0007_r_x001E__x0011__x001B_È¶?uxþµµ?°ûDÜö²?Ú9_x0016__x0016_k&gt;µ?u(_x000C_Ñµ?ÇÐ"j´ù´?O_x0011_±Â´?_x0003_^÷ûû²?QAÓ§°?"Ãp])´?Ò=8Ý³?_x000F_f*r`³?_x0015_w&lt;_x000C_ãµ?«b&gt;R³_x000F_°?§¥C÷³?öý_x0011_Ì¸?¿AK_x001E_¾_x001E_´?·ÎçMØ²?Áî*IÏ±µ?ööS'&gt;´?*0'&lt;~~µ?CûÈ¢³?q+ÌU»?¢Ë:É_x0001__x0003__x0012_À¶?©Ð{ñ`_x001E_³?äNG~ó$´?º[n_x0006__x0003_¶?XË °_x0002_ó·?ë@îÍä!·?ßDÕÏPU²?(öß_x0005_%¶?_x001F__x000B_ãèGÿµ?s=ñ_x0008__x0012_´?óÜ([¦o³?1¦êJw·¶?:u½_x0007_¶?.%SÃ}Ðµ?Åýtî¾Äµ?ú?5_x000B_·¦²?¬ÊÍmn³?Võ%·³?ßÁ(5D²?_Dª_x0006_,³?­iQ_x000F_Qµ? @2ùµ¶?Øec¡ò=²?,Ý_x0014_q3´?&lt;ºk=¨É¶?(,l#«µ?]k¿(_x0012_³?_x0019__x001F__x0016_Ú¸?/òÚ|ehµ?ö^v'Ï®?H¯d´fµ³?öUÛ­R²?_x0001__x0002__x0005_,~m_x0018_´?_x0019_Á,PÉ³?«_x000C_á_x000C_·?=Ý_x0005__x0005_B´?_x001F_ÀÏÁ³µ?×}_x0004_ï_x001E_·?×Z;a®q´?'+ãX­´?_x0002_â_x0013__x0005_/´?Ñ¯â¥D´?K_x001B_&lt;ð8·?nL$=Mp´?ëI÷¨/·?â?!ã_x0011_½·?þ_x0008_»ø¢6¶?­R&lt;_x0016_u2¶?#_x0018_æÕ³?å"ÌöÅ´?(Ç$Zp°µ?;í¿o±?:á6^íÛ¶?"|âj²?_x001F__x001A_À»G·?×|Fw¥¶?Á_zå_x0002_ ²??ÊY ,c°?a±5sñ´?&gt;ìUûÔ5±?µËñ8²_x001D_¶?´_x0007_OT£µ?F/*Æ°?2¹¡º_x0001__x0003__x0004_¼´?]olÌ_x0003_vµ?ÔØ_x001E_e=ú³?ù5rò]±?øw _x001B_"B³?ÛÅ~òµ?ûØfYµ?«d¯)´?öP_x0003_è¶?ê_x000B_ÄB­?â1F®¨Eº?,éüóx«µ?¿ÞnÖY_x0016_²?J¯ñ®»¶?Þü¤Á9^µ?YY© yµ?ï	}4kl³?òßÁ­¨F±?r¥þ_x0006_Á¸?µù£ÿ_x0002_1´?ÖamËù]³?¡N_x0006_´?I¸:Ø³?ÎèGýÝÎ³?MD_0Å¶?°àq;Ã¶?y_x0002_~ò±? Æ\Ò_x0011_Ã²?Ð_x0014_`ø¸Ö¶?_x0010_½DW_x001E_Q³?Ý¤æû_x0011_ã´?_x0016_Q)uéµ?_x0001__x0004_¶Ûà/µ?/3ð¬¶?[è§â:³?®ÝÇÆù·?÷ÊÔZJ_x000C_´?1Ê×#F¶?*º©©!¸²?\Ö^¶µ?Ä_x0011_Fóò·?Viý_x001B_ï"¸?)ãÿ_x000D_Z!µ?ªÎ2MÌ~¹?é_x001D__x0019_g_x001B_0¶?_x0013_µ:_x0006_R´?)¢ê'&gt;	´?è}órâ_x0002_³?_x0014__x0003_àøøy·?_x0016_Lhñ_x0014__x000F_´?Pª'Ñ¥³?MG_x000F_6_x0014_µ?Æv«Òæ¸µ?_x001F_³is_x0013_r²?÷0ÝÍÔx´?f_x0004_J ·?o¢á³²?_x000C_Ätlw¥µ?òçeòº?Þa_x0015_ÊÛY¯?_x0017_þB_x001E_»µ?øÁh_x0002_×±?Á{ººx¯´?ËµË_x0002__x0005_ÿ%´?_x0014_¾ O Ñ·?Ç.¹?zhòä_x0018_Øµ?_x001C_ ²­¤³?uK_x000D_¶?_x0004__x000C_ì°°?O1èá_x000C_A¶?_x0002_=ºcô_x0010_³?¨l,$×Ê³?PÇ¾ÃlÌ¶?ÿøÈ_x000D_µ?lK+e¼/µ?Æ)ôÈrz±?^_x001D_ÌEMjµ?{td_x0003_¦Ø´?Ø_x000C_ó_x000E_º_x0019_·?(éôÚM´?´Àä_x0008_m²?{&gt;Ì_x001F_4¸?#DìÇÏ½¶?_x0008_ÕóqQ·?â¼é³?íÃ]!_x0001__x0008_³?so@£Ãý°?+M4+±?µCDßç_x0003_³?È-¾Û38µ?W:kÈ´?Åb÷_x0008_jfµ?A;Xb:j®?_x001E_1_x0015__x0013_Ê°?_x0002__x0004_×9Öáni±?ö¢¸Í_x001B_u´?_x001F_Q_x0003_O_x000B_w´?9·[Y(³?k=zRë ³?92úNÎ´?r&gt;J;Aµ?èr_x0004_Jb(´?_x0012_cÀHõ|´?¸©_x000F_¶Ú²?|ÑHSv³?R®Þ_x0003_Z´?ä+_x0006__x000C_²?Ä«¥ÿ_x000B_ö´?_x001F_ÿ9cÐÒ¶?v²®®·+¶?©ÚÄGu±?p×Ë_x0018_sá³?1R@+_x0004_âµ?§_x001F_}F¥Õ³?F@_x0012_V{³?¤Äõæ²?høø·?g_x0005_LÇµ?Ôì_x001D_ë_x000B_µ?Aq9ã(²?Öª9µ?{f¤²?!om_Ôµ?+_x001F_Oú_x0001_µ?÷ø¦ªi·?7³_x0017__x0006__x0008_Ô_x0011_¶?´³Ü_x001B_êý¶?ãÉ×´²?Y 3A´?x_x0019_§_x0018__x0005_æ¸?h_x001B_ö_x0004_2j³?,ô¾í_x0006__x001B_µ?£úª_x001C_S³?	Å#çW´?¥ÀT&lt; t²?·l4Êr_x000B_´?Îów_x0017_Ü±°?çä_x000D_§ûµ?5³_x0001_:Ïä²?´qoÕÍ«·?_x001B_#X´_x0007__x0004_´?ó_x0004_rö¼ÿ±?A_x0003_GMs´?*ÆÑkÈÍ°?ú¼¥Qõ±?	·ª»1´?ë;Ê`´?_x001D_9LgaO³?Ç	äÒ0³?¤'·:õäµ?i)Í_x000D_B;°?t0CÊ´_x0011_·?ÊH¹1ù±?É×_x0015_O½µ?;ÜöO,\³?,CXñ)²?Ã%_x0002_fW³?_x0002__x0003__x0018_t­_x0019_è±?4a~Ä³?ÎÖ+·&lt;´?_x000F_b­ªÉ°?_x0004_ÜãÖV¶?á8~_x001B_µ? ê_x0013_*µ·?íÙ6ìx³?:Vóæ_x0015_µ?_x000E_þCK_x001D_Ê²?ë_x000B_õ´?È4ÇêH¯±?à2_x0002_^²³?_x0002__x0004_PZ8²?EßçÞ½Ï´?_x001C_ãT+Øä³?"3m_x0011_ÿ³?Îm\AËaµ?_x001A_B³¼Ë´?N@36û_x0002_³?_x0016_÷ñe´?_x0001_?|_x0008_²³?Ø%ô\â´?ÛA1:ØÊ´?QVÃ_x0008_(µ?®êÍ_x001C_)´?d-1ÇKµ?zå_x0013_ÕWµ?QÂ:G.àµ?ÙfÇY³?ýãz?óZ¶?»:(Æ_x0001__x0002_ý!³?_x001A__x0006_¾_x001B__x0015_³?O£Ó¶ÿ²?&lt;©s6à²?7ÃQ_x0001_´?´f°(t¶´?ÉÎ/8¶?uéh&lt;µ?ýDn:Gî³?{lò_x0010_õ_x0008_¶?_½³©_x0010_²?»c¬Êe©µ?u_x001A_x~"´?äî"ù¡*³?Ô`s3]_x001F_¶?8Ã¥}¥îµ?s°_x0015_V¹~³?_x001D_øËÖ§_x0008_´?t-%_x001A__x0001__x001E_µ?ÑÉØ|»_x0005_´?/À1¨$O´?é×LK¶?®^ú_x001A_¬_x001D_µ?_x001B_e±Z¶?ó¹\J´?`¿ä¹µ?zkÌ´?õúG4í[²?2~_x000B__x0019_ë·?_x0008_Å_x000C_av?µ?\_x001F_Î_x0006_V´?«&gt;¹Í²c³?</t>
  </si>
  <si>
    <t>4693e780596f35e9dd8b3a29342bafa4_x0001__x0002_,ïú½'V´?:9µZU·?eÞE®mÅ·?{¶&gt;]«³?å3nûý¶?¥¶&lt;ä&lt;µ?BlÓº_x0003_µ?È_x000C_5_x001A_ç/³?_x0008_5RÉ@®²?7süçb³?e!@O¶?7_x0016_]Oí_x0008_²?%4µ[×µ?,_x001E_£_x0004_+ú²?õA¤åõ¶?_x000C__x0019__x0003_v_¦±?ÞWÑ_x001D_Ä_x000B_·?¯_x0014_^Þ_x0011_µ?ä_x0001_²ú¥·?Þ_x0002__x0018__x0017_,,´?_x0011_'¦È_x0001_Ï±?K(Èè4w¶?v_x001D_ªiZ¶?ý_x0005_3g²?h¡»|½§²?¡òZ®E¸?_x0008_©ré¿³?ïÏß§I³?v;k;¸³?B__x0008_å`´?[Òî©ý²?vYVi_x0001__x0004_,¸·?èNoâ¾|³?;s¤0¸?\Ä|Z_F·?¶PgR+²?»ëÁÔ3ö³?Ã=7Ã}â³?V?+_x0010_(_x0002_´?çt¶K©ê´?òi?à©²?JÂÿ­-´?:6sp9´?ñó:óK´?_x001F_°òÕ¹!´?_x0016_*	?åæ¶?_x0004_Ç(½MÅ²?ORóõ{Ù·?õä_x0007_V_x0005_&amp;±?_x0005__x001D_»Çº´?"w·_x0005_&amp;&gt;´?ÄuÒÞ´?øÈ;K?)¶?ºc¨#_x001F_²?_x0019_ß_x0002_Á´?_x000D__x0005_"D_x0018_²?Þ:)Â_x0003_´?Æi#_x0007_õµ?ºy_x001F_Çù*µ?N_x000F_¸Jg¶?üEÐ_x000C_ó³?×Bý_x0003_Â´?o§÷8²?_x0003__x0004_»,÷_x0003_ú²´?jæfú±?ÝÒ;ÐºP·?ZÄæù;³?¥.ÃqÀ²?íø_x0017_QBÈ±?|_x0008_g¶?Î¶´.¿7´?å_x0014__x001E_aªÁ±?PËÉ¹k¾´?ú¡£·öµ?ü_x0016_ç/X¹?FÚ®HæÕ¶?ÁtLmù¶?é_x0014_*@/´?h.Ù_x0008_	_x000F_¹?­r	Æ[ý³?Ñ_x0013_Ä_x000D_¿±?ÉÆ_x0010_c_x0002_¶?_x0010__x0014_lÒÖ¼³?'Ø²_x0001_¤±?ñ4¯Öx,±?Ú´ú!´?_x001F__x0001_BÞDü³?Ý¸?ä_x0018_Ð5lü±?"ï~º²?iöÑµ;¶?ÿ&lt;ÕÑX´?_x0014_ÿKÊ2½²?ÔG_x0008_¿üµ?r_x000F_ØÀ_x0006__x0007_cä´?ÚG®4ø³?ë?ÄôH@·?_x0019_&lt;Üú´?ö¸b.·g³?¥_x0005_ËÊÙB·?¥SÑ_x0015_?²?_x0014_ö_x0019_«Þ³?ë*eêÿ_x001F_²?¸ â_x0018_x&amp;¶?_x0003_KÞ¿_x0007__x000B_¸?Í²üÕ_x000C_Òµ?WU_x000E_%ün²?½_x0002_&gt;y´?­"d_x0004_}µ?_x000D__x0011_S	á´?ð¥ÌÖÔµ?_x0004_«E;ª³?Q_x000C__x000D_c¿m´?kôÌ4Ã´?õ_x001F_ÞR~{¶?Zí§_x001C_fò¯?Ð0_x0012_¾ußµ?·'JS¸©?îv_x0012_.j¸?£à_x0002_m Áµ?6o"ÙÐ³?¼äÒí´?Ó:_x001C_\?Hµ?'d_x0001__x000B_ú³?P_x0007_ùüÛµ?`á:_x000C_&amp;j°?_x0003__x0004__x001C_0pøµ?ñ_x0006__x0003_?¾_x0012_¸?ì_x0008__x0008_5ãJ·?Ó_x0001_K^¯z²?íW_x000F_¯©´?¾µÈt¸?Nfå­?_x0013_ªÝÿ?_x0017_µ?l!ò¨_x0003_Oµ?²_x0002_~Eµ?t¨ÒÇ¬?Éì6_x0019_¢²?~H_x000C_V_x0013_´?Óy/á¨q±?ä&gt;_x001F_Ø&gt;¶?æòq_x0013_ä±?xîI_x0005_r³?@~hböÙµ?ñ¡_x0013_Ü6³?_x000E_ñ_x0010_Î_x0007_Ù±?_x0003_Z Ùòª²?¯«¨sZQ¹?Ãh=#C¶?ÒèV_x0003_¸±?0_x0004_µî)¸?CçñØ_x0008_ ¶?@`_x001F_ÙT³?_x0011_ÝÍZ²Q¸?Å_x0005_³®¦´?¥þ®"µ?ð)ªx_x001E_Vµ?Ð%ë_x0001__x0006_¢¸´?¶@;Êµ?{­ücµ?Í¿_x001C_Â´±?³	&amp;@_x0017_´?ddWÁÇ_x0019_´?¼_x001A_²×._x0003_²?vP2Í³?ÙdÇ¥É±?rù_x000E_K×æ´?þî_x0005_net°?¿]ª^_x000D_³?¾_x0002__x0004__x000F_¬Ü³?Ås··.g±?¤¡ñ)Nã²?»¤_x000C_ÓÌ³?ØkFÚæð±?lK~´?$çñöÏ¶?(ELwmÔ³?$Ï&gt;rþ´?ÌJ©ðß_x0007_·?4óHÐô¨¶?E÷­,»É·?ÿxu¨kå´?_x0007_FT_x0003_º?mRÜúo¾µ?`Uh|_®³?_x0008_2}ýæ°?ª&lt;ZÏñ°?Ï_x0015_¡Êré³?³,%íá1³?_x0002__x0003_ê_x0014_é¦_x001C__x0015_´?³ÃÂÔÝ²?uc8ÞÞô²?_x001A_! úÿÚ±?_x001C_u_x0014_ÈÞ?´?,_x0018_ B­[±?±¢*CÏë³?£_x000B__x0006_²²?zC_x0007_²Ø°?ñÒ6Þù$µ?ªÊ1=7±?Ä_x000C_è{³?_x000D_° S`_x0004_µ?¾5É+4ñµ?Åã¾ÁjK³?«$9Ì¥´?]¨-óÃ±? æ;Z£ø²?-±8¥¹¶?Þ	þdË²?_x0015_)p67-³?ÜfÄ_x001F__x001B_¶?¯6D?Ó±?_x0002_§Z&gt;+Y¸?\/GÇ'n·?;_x0004_õOûØ³?¯KÈ³?kòw]·_x001F_±?jÅFÛb·?_x0002_£_x001A_dv:´?ÀÞ[¢#µ?&lt;_x0006_~_x0001__x0003__x0004_G_x0007_µ?áCñã¡´?ßý_x0008_î_x0008_³?÷Þ__³?Þ_x0003_d&amp;_x000D_Ü³?º9_x0016_õÒ_x000F_µ?¦)Pµ?Icuå+ó´?_Pf_x001C__x000E_¶?ñê_x0017_yd4´?3¹Í¦²¶?µj4;_x0016_´?A¸ø.Ä³?Ù¥Ö[¼±?B_x0004_[û.éµ?M¥Y_x0011_ÒX³?,û¾_x001E__x001E_²?(ô^Þâ´?o+Gw+!´?¯ò_x0010_NÆ&gt;µ?´º¹õK°?¶Ú¬d_x0001_µ?o_x001D_¬Á¾¸?õ?._x0002_ñ´?,_x001F_¸Æ_x000B_¶?rH¼ùt{¶??§þv6_x0010_µ?ÑåÌÓ "·?7»&amp;_x0004_²?_x0006__x0004_ïqµ¶?¡_x001F_Aa|²?ÒjÔÞua³?_x0003__x0004_(ô:ps´?¶N\`@³?Øs@ÞÏ_x001F_¶?+ÍQ_x001C_\w±?Cy_x0006_SÅ´?ºªà~Õ´?_x001E_0=E´?DÝU_x0010__x0006_*¸?¢Èñ_x000E_²±±?Æë¥âKw·?l-_x0002_Î_x000B_´?S ú_x000D_~Û´?_x0015__x0004_}5_x0001_²?:(Ýqª±?¤_x0003_ú"sµ?¥ë&amp;¥µ?ÑöË0ð_x001F_³?7zyP·?buø_x0006_Ö¡³?Oó+_x0007_6Y·?æx²o¿´?º¬)´?ÌAF_x0014_}µ?h_x0018_\Å¶²?*i¾_x001E_ª&amp;µ?0Go_x001C_×²?Þ|êqéº·?7A4$°³? ¬òÓV¶?å]&gt;Äà¸³?_x0011_PØø­6²?ÆA_x0015_|_x0001__x0004_à2µ?wøù¹O¦²?_x001D_Üì`ü¶´?_x001F_æçF ²?$±´­Jµ?¡¡HMò_x0008_µ?ëD&gt;¼ý³?ÔüÃ¿yµ?_x0002_²1«nT²?ZçFC_x0005_±?ô¿L¢µ?÷ý¦æ(±?_x0003_ÉùÛµÕ³?3½«c§´?îfþ_x0015_Òµ?Äîn_x0004_úÎ¶?A]_x0003_ñ ´?o_x0012_S¨8£¶?_x001C_	*Ô°?óM`_x001D_²?\â»u})²?p^_x0017_¤Ò²?ÊMýWÓ?¶?ÞNÈK³f·?f_x0008_´_x0001_ùg´?_x0011_ë"S=¸?¶s3Ü	¶?p¦óQc¶?ðzñË¶?ýaç(?ä³?	Ôc%æ´?ã´X¼D°?_x0002__x0007_´Ìj¨_x0003_³?&lt;Ú}_x0016_öÂ´?ÉÅ	F.³?Q»´Ò³?.q#S}®¸?·;&lt;¶µ?ªÎ1ÃM´?%¼ÌêÁç±?_x0001_U7vºýµ?é¯@Æ´Ï¹?TÄ8§¹´?Y_x001B_ZÂw¹²?w)Äv9´?_x000E__x000B_Y_x0006_Ç/·?H+ÐjB´?mpH_x001B_áþµ?¥àý%ù,³?µ_x0011_èt_x0005_±µ?	´ö¶?×1À¬´?"·ØQ±´?®ëCvëµ?Åx3Æµ?_x0016_Ø~Ç3¶?#Ü_x001B_¢®¶?eLw´ÀÓ´?Xyh)1¿³?*:Ê'ý&lt;º?Ø_x001B_&gt;àã´?Xkº):_x0004_·?_x0014_£ºÔ"Ùµ?$Lºa_x0001__x0004_Z6´?àßTÓµ?@ÖE7ß×³?_x0017_úÒ¤$³?å*ÜZ^_x0002_´?Hºäó_x0005_j´?êDójµ?|_x0018__x0018_/á_¹?Ûh(wÛ¾´?_x001B_ýM_x0015__x0005_¶?:_x0017_*_x0004_hê³?´ôREð!¶?ï_x0019_Ó_x0007_"´?É_x0003_RÞI¶?ÀÃÖü_x001E_Ìµ?_x000D_ô@ê±2³?íª±?Íµ?X4í=w³?f*Ï_x0013_M±?ë©_x000B_¼9±?«VP-µ³?á$_x001B__x0010_F_x0016_´?:íÉ55Âµ?\ì_x001B_ûA¶?£³ÿt_x001B_¶?ú#©òr´?ï·«©¹?_x0003_T³ô²?z"_x001C_!_x0001_·?_x0019_s=Dôµ?æ(`F´?('EÖ¸?_x0001__x0004_2E#&lt;_x001A_¶?mðÈÃ÷´?å_x0013_íuÏ¸?$Æt°]µ?A£aÃb_x001F_¹?8°:_x0002_Üµ?Í_x0011_Ed·?Ìé_x0018_u´?ÅØÄ¿iº³?Õºç_x0003_.²?¾õ±e¤¬²?ù_x000F_@üö·?3ËªV_x0011_1´?£Äk¬Ôµ?!Û0OjÆµ?DVl_x0012_ ¶?_x0018_Ð¹¡#¯´?z_x0011_·?*La³?þá 2%¡µ?åÈÔC_x001C_´?_x0018_Ç¤-_x0014_²?_x0016_o"_x0011_|´?s3_x001A_FÊÈ³?Á_x0015__x000C_g9v³?_x001A_üã_x0015_æµ?ßàØ¨_x0016_®³?ªØÅÞ"µ?_x0018_y½_x0018_·?ü_x000C_òÉ/S·?Ï`Ü®²?M0VF_x0002__x0003_KÂ°?&gt;GíT²?_x001B_ÇIOX·?9¢$½rT±?Gm_x001D__x0011__x0010_÷´?U*aÕ_x0016_¡´?Ü:÷¼{·?óÿ´îy²?¨­25µh±?;ó+	tà²?ÐIFæp_x001E_´?Bïå_x0012_Uÿ±?¯¼5 FÁ´?\ÂX±?vî¡ÑÈ4¶?_~*#¤²?aJ?üu_x0004_µ?××±P¢Ä¶?øñ 	ü¸?~Ö¾_x0001__x0010_´?_x0014_,N5V_²?Ë£×áÌ´?_x0005_måd;ü²?×_x000E__x0005_!9³?W*N_x001C_~²?_x0002_còmTg³?Óoô´_x0016_µ?Û\;µ?Z·7Ð³?¦âd{ _x000F_¶?÷Þ_x0016_K&amp;j·?itQL5_x001F_³?_x0001__x0002__x0017_ßN%2¶?·ØkUU·?h.?ê×=·?¼ß_x001B_?|O¶?_x0017_Ëê¨û&gt;²?²Yan²?ö[Y$Ký°?°_x001A_¬9ð´?nwÙ	'³?yãëÊ¥zµ?õ{¥æQ_x0011_´?_x0005__x001A_\¤K¡·?':øØæt³?ï]Ñ¼H5³?"ËIË-±?«	_x0007_LÉ#µ?KÔñ¶ÒDµ?Û®Õ_x0002_M°?Á6;Ì_x0012_÷¶?Îdµ?_x001D__x0001_X9&amp;U¶?OÓJ`ðí´?Þ[ýÁ{²?í®ip_x0004_P²?LåÀ9_x0017_Ãµ?ûÀ%°Ïµ?_x0018_ñh^_x0010_á´?_x000B_NXÀrµ?¢Õ]¶?³#_x001F_7ºùµ?h^äè¹¤¶?AÉ¦_x0002__x0004_H-´?¹F9xò°?¥_x001E_òQÎµ?RO'þ´?°A_x0017_§n°´?Ba_x0014_QÿI´?6~7Z_x0012_³?§z`æ±?%ÞýVHµ?_x0005_gÀá_x000F_Ú´?FÙ_x001E_=a´?û°&gt;{U_x0016_¶?Ë_x001A_zç7/²?[¼ýÜa0µ?ÉÃÃ3Ü³?ÅAFº£³?_x0007_ÀÂ$NE·?·_x0007_®!7°?Ê_x0004__x0003_ÀÇ´?¾ _x0011_üN´?±ûÁ.³?í_x001A_Ó^%Ø±?{'·³?_x0001_0T£¢E¸?Rc¸´¸´?_x001C_^Ýì1c²?h£q*È±?Z*)Í'³?µ~¡ LW²?1_x000F_Õ&lt;_x0002_üº?Á_x0014_éµ?9Ù}cì³?_x0001__x0002_´¢_x0019_ÿ\µµ?eo¾]²??DøÌí}µ?pwÒ__x0018_²?ÝXU@_x000E_û±?×a«_x0017_A´?¼¾¬f&amp;ã²?[Ê`_x0018_fµ?_x001F_¢ÚP µ?òÊ_DK¬·?[Ìó_x0017_º?èú^Wh³?h]ß1¯_x001C_¶?_x001E_¯¿_x0003_Ü_x0002_µ?3âVS¶?&lt;ù¼"ª?l}Á+îµ?_x0019_ÒÓrGý¯? ÃRt²W´?{ÏÏè¬°?'¡ÏÍ_x0008_w´?&lt;$L\aï³?Y_x0004_jçê²?×àO¹n(µ?·[_x0010_+¸?Îeµó_x001B_R´?ÿFg*e³?ý_x0003__x0017_ã°?Tq_x0013_ä_x0013_²¶?5X/ÊL´?H¾_x000D__x0007_´?_x0012_&amp;ep_x0003__x0004_#¶?Ç_x000E_A_x001C_µ?v×¼:HR°?Fúÿ$èµ?&gt;´_x0016_9Ö\µ?Òâ#Ì:m±?üÌàSçè´?þÓ9À}_x001C_µ?_½¹#n[¶?ø½*_x001C_³?Ø_x0012__x0018_jØ]´?@Ì_x0005_l_x0012_±?_x0001_'Ú|´O·?/¬Y´?ÂC^÷_x001A_´?¨Ù«Ù8º?[ÿ¾ëî°?_x0001_Àd½³?@à²_x0002_nµ?¬9W³.µ?_x0003_ódË°?¿_x001F__x0014_³?'q=²ð$²?Øm_x000B_ 7µ?}´ØÃ`&amp;´?I6þã.;¶?çÿóÞF´?®ì_x0018_È_x001B_¨´?°ø-V³?V¸:³?9Û1or¶?.¥Ú{Yµ?_x0001__x0003_¼_x0008_,Ä_x0004_³?.~&gt;{4u¶?_ÐðíGó³?Iø,|û¶?g~°ï°?,ã¶_x0003_å´?5QûÄ_x001F_®?_x0016_NÌ_x000B__x000E__x0001_µ?PÇb¨¸?éyl9ÐÄµ?Ç÷Ø^c´?_x0017_³ãÙá8¶?¯Ôx_x0012_6Å­?_x001C__ésES¶?_x0012_²~d×_x0008_·?5¡½_x001A_&amp;·?zd9³l´?Xé¦²ÍM³?Èý_x0015_¼¤&lt;´?ï½&gt;u_å°?®w(´?ü{@úb/´?É~_x000B_ò´?&gt;z_x0005_j_x0001_~³?óÙ·³ùd¸?ù_x001F__x0017_Èçcµ?o_x0008_~f²?_x001F_õÙD³?ð_x0002_cÍ4´?^Î8YÞ.µ?Ì#ÛÄî¹¸? _x0014_.k_x0001__x0002_yC¶?g_x0011_¤å(vµ?ÆZ`Åð£´?íFM@ª´?ñ]yî¶?æÌ~Ü´¶?tµärw°?ÄÙa_x0002_£Zµ?ÇAè¾;³?Þº±è.B³?üÁ_x0001_Ð´?C_x0006_p`Wóµ?S&gt;_x000B__x0010__x000F_g¶?_x0016_$äª?ö³?¹­_x000B_&amp;Ñ²?ä:÷_x0015_·?ÕxÇ^0F³?Ô¶ÓVÕ¸?®÷sZ|³?s¶x2ø²³?§OðÒK¶?µ%©Ã²?_x000C_Ó_x0018_³Á)¶?ï(¬$_x000D_ù±?NÓ¶_x0007_E±?_x0019__x0003_â{_x000D_´?#.ÍV$&amp;³?w_x0013_óAÌÁ³?8ß[.Q´?Úa®æq´?aÿ_x0002_²?å½Ç6F_x0014_´?_x0002__x0003__HÔ_x0005_¶?Ö_x0011_m FTµ?ú&gt;?_x0012_zd³?¿_K\ H¶?_x0018_W³?ü?Ö*´?®ÌÑí%+³?¼WbAc°²?¾c1maÜ¶?Ë8Bµ|±?w _x000B_´?à¶_x0006_«Ê·?Ø_x001C_Zrf´?J÷YSj³?yÅ%®îH³?Mów_x0007_Ê´?¶Jj^ð_x000E_µ?ÌYÂ:_x0007_æ·?8_x0016_xqn±?*òJÌ¶?XZaXç´?ôT|ÊÂ½´?}Dòµ?DÌÔf&gt;´?ñ&gt;_x0015__x000F__x0017_¶?Ã!C	¥+µ?ÈUíè±?{ßáò_x0006_µ?_x001F_²³&amp;Ë³?[_x0001__x001F_¾³?­_4jqÀ¶?MòH'_x0004__x0005_cq¶?4\·P¬±?(D¤Õ=´?k_x0008_¹*NÂ¶?ò&lt;f(þA±?:#øgU_x000C_¸?©àÇÆöêµ?_x0013_¥~ÖÐ³?8_x0008_2_x001C_ß_x000E_³?]}°_x001E_ßµ?2|ívÀé³?_x0005_B+sq_x0001_·?è,-_x0003_AÕ±?Ì©õbÖ¶?ín9	,·?ø°ÆÉSÃ²?,ô.ýÍÚ°?_x0003_6Ø\µ?Gà}Ù[¶?DÇ_x0015_ö&gt;³?12_x0004_ò31¹?Ö&amp;Q_µ?ã¤=JO³?W(_x0002_^J´?|ð°\?v´?¢zÆÇéÀ·?¸;_x0010_®Fu°?g:ý_x0013_·?\äæ_å¸?¢²9n|ê¶?úèn6_x000E_ì·?í9ù0Eù³?_x0004__x0006_ »ZVì_x0017_µ?H_x0010_ýÏ²?ã¤ëÅµ?_x0003__x0014_ÒªI)³?&amp;&gt;ü(ÿ´?ºÐÖ_x0012_¶?£äþÀr_x0005_¶?Ú°SëC²?íF"Ø?µ? Á^q_x0001_Ä³?w¡h±?/ÀÓRJ_x001E_´?Z(/~Áµ?_x0005__x001C_½*ú´?_x0008_Îïåª(¶?ß_x0006_Ù_x0004_¤·?P²'-&lt;³?Ô&lt;]U_x001C_¸?ª$_x0006_c²?´¬u®õàµ?_x000E_r!_x0002_À_x000D_²?¹¡ÀØ6g°?_x0014_?®Ê¨_x001E_·?Ð¥ðB9}´?S_x0003_uû¡²?çö_x0003_¨_x0018_ø²?/8¾Í³?µÇâ7X³?aÇ_x000C_«µ?Ú_x0019_d¬#¨³?_x0012_ÇÔ_x0010__x0001_´?«n_x001B__x0001__x0002__x0007__x000E__x000D_·?.ú¶_x0006_S¸?ÿOÐs&gt;Úµ?¶;À =_x0011_²?YOÃ_x000C_×2±?_x0008_úÁ_x0005_ó¸?dÖy.­r¸?Ý_x0004_ãÉ¡§±?_x0001_8{ò¶?`ü_x0008_¯´?Æ_x000F_ÉZ´?Þ¤.øø¶?¹_x0005_ï_x0004_X{­?åLü¿R³?NÝ'Oo³?_x001E_¼OU³?"e_x000D_}Lr·?%úÝ¦5_x000E_µ?u»çN¯?é*(ú²?_x001E_ü½_x0012_Ö·?_x000E_¨_Ùð³?_x0008_&gt;Ïc%»²?r$FØV_x001C_·?Ph3|9µ?ÛNÅÁÍ±?_x0017_ªJd[³?Û[_x0016_½Kªµ?`8õá8ñµ?§â_x0003__x0006_ú°?}ød©ùnµ?rïml_x001A_°?_x0002__x0003_ÔÇºbF´?tN©_x001A_=ß·?¨yJðNÎ°?@ëøED¸?èó+m}î´?_x0007_âoý	´´?Y*_x0017_ìÞ±?©'ÅÕßK³?_x0016_-±øiµ?t¾ÞûÇ³?(¿­%Nµ?¢ YÌ_x001D_µ?²×û0_x0017_´?e¢"Î_x0007_¸?_x0018_'Øo_x0019_o´?Øº3&amp;Üí³?OÃr3Úç¶?®¾er_x000C_³?5Ö_x0007_ü ½²?ü]¤_x0011_9²?¯·h±+²?w_x000F_±Ñ_´? ´ÓÒÜ²?òß$(¹?~`Y_x0018_u³?sFÔ±Z³?êF_x0010_íßõ²?³_x0013_çèeLµ?_x000D__x001A_Â_x0001_J³?EYÓG÷x³?_x0003_véz¼´?Ôù,i_x0002__x0004_¸õ³?¸_x001D_!æF¹?ßãíëî_x0014_µ?håÕ8_x0018_±?7Ù_x000D_µµ?ÆÀn;¿±?¥_x0003__x0017_q¸ü´?3paèw²?¦n¸)¿m®?Õ6ÚúP©²?ÿ%Ùk¬á¶?_x0014_£_x000B_ÀOo²?JUÀ\ÈE²?_x001E_£Æ±K	³?«á9×Wå²?ô7ßW&amp;e´?I@_x001F_Çx´?}I)m6¶?vÂ~RÜ­´?ªÙÀ´;·?Â5Y_x0008__x0004_´?4J8©¶?ÍqÞqþ³?éPödûÑ·?_x0001_ÝÌ0\´?ûâtFµ?d_x001C_¡_+³?¢_x000F_üúR¤¯?ÐõÜ_x0011_Ä&gt;¶?¢vcMÔ¶?_x0006_O|'´?Öµ8uñä³?_x0004__x000B__x000C_Y±p_x000D_^³?Î[i³_±?T?áY»´?-JÕ_x0004_¶?_x0007_l_x0016_î_x0005_F³?ÙüN¡/¶?¸8¥MÁm´?\0_x0005_j¶?~U%_x0014_=µ?z_x001D_îÁG´?_x0013__x0012_rÒÖ²?,÷7õh$²?/é±Ws_x0008_´?Ó_x0002_»3_x0004__x0003_¶?G_x0001_ÇÖxµ?2ä_x0002_¾ý´?Ò(£_x0004_þ@³?_x001F_$°Ð_x0005_M²?e_x001F_xe2A·?ñ_x0013_\§ãñ±?Tj_x0001_Ø_x0011_µ?ËÝm.·?À^7Sü´?2¹'â¼·?Üù)¡¸^·?þ_x0019_µ_x0006__x0004_b¶?©á_x0017_Aa·?_x0004_y$¨	·?ÚO«þÜµ?m_x000F_ö;Óµ?ä»îM_x0019_¼°?XÙ_x0002__x0003__x0003_³?üú®­*5µ?&amp;GÇÂ¥·?×¢ÝÏ¢±?Dòó2ó²?Æn¡öµ?Aj~_x001D_³?_x0006_×äÚÀ´?ô_°_x0001_;è³?DÑ%C(s¯?!åd_x001D_ÙU´?PüÝ.×µ?òAs2Ð´?Ó!»Q_x0003_¹µ?:#ì°À³?õ±¬âµ?_x0014_à§"³?ßçý_x0010_"±?ø_x0002_Á_x0017_Õ´?þ_x0018_q¶?-¤,àó´?~'%Æ3ô±?YêóBµ?moæéÇ²?ê÷_x0018_xbµ?¬ç¶Ø_Rµ?ü,´òA`µ?¹?^æµ?fãå¯¢Ë±?ºõ_x001D_B³µ?¿sm´x´?pæ&amp;Ý7·?_x0002__x0003__x001F_*_x0006_ò[Aµ?{×@Ð£ú´?y¦{ç²Y¶?½æ?´?.Ò«¾±?.ûG¹Vj²?#µ°k´?NõÄ²?q´__x0010_¶?A_x000C_Ø´tµ±?.Ñ-RÖ®?eJ%o#P³?ë}_x001F__x001A_/G²?nÚ5Èµ?I¼n¡:²?r*_x0004_·ý_x0006_¯?l~Aln9±?nUæò§	µ?Òï_x000B__x0001__x0007_³?VîLz²?£ß³_x0010_'·?»X&gt;_x000D_Ú²?M,¢Kµ?ìÝí^´?LãÓS$6¯?_x000F_cÅ_x0015_x~³?ûeº+¶?_x0012_6{_x001D_bÃ±?üKÀ_x0017_¬n¹?oÞ¤*ª_x001B_³?º}kCö±?«A_x0014_ó_x0002__x0003__x0017_Ù²?AÛ§®T³?c_x001D__x000C_øSF¶?=Óyì_x001C_Ï²?\_x000E__x0005_M_x0016_²?¢_x001C_»¢_x000C_õ¬?áC/ÝWÉµ?élkõ¶?uÒÚýµ?L£_x001D_Ô\ ¶?Lkfñi ±?©¬ïæµ²?!ÄÎ_x0001_Gµ?Æ¿_x0012_Y_x001D_5´?°_x000C_ü ¸G·?_x0002_¿vi.ûµ?ç§eÏ³¤³?E@@HMì´?[ÃúUUµ?¥î3J±?asÄÂFØ´?5Z Zó%¶?^r6qíé±?ËN«Ù_x000F_³?¶Ú{«Ê´?;_x001F_Ç·?×_x0018_)Ñ_x001F_G¸?EEMY©³?§_x0011_ÜL5 ´?ïï}h!{³?Ür=b_x0002_Þ²?!$ÞqWµ?_x0001__x0004_DÎ2aé|¸?@p'åEµ?FWî³gµ?ÚLÈ:Ê²?ÆÃ_x0006_s_x0010_æ²?³_x000E_Õ_x0008__x0018_´?Ô]j_x0004_Ç_x000B_±?Jx!_x0013_a²?_x000E_X0Æ¬¤µ?T¢q¡TØ³?Þ_&amp;*Ï´?¯k_x0015_°Ä¥´?SÇöS_x001A_¬³?o_x0001_B ·µ?Âv6_x0015_hà´?èQè{xq²?ªÕ_x0016_ûïÞ³?ç_x001E_}ïÀ³?¸ÓöÌ_x0008_§µ?Bk,÷#_x0003_µ?_x0003__x0012_G1ÕÉ¶?8×`ûý_x0002_¸?(o)&gt;rÈ¶?DÇ_x0015_Ã´?_x0013_¾(Ø_x0005_´?¾N_x0004_ê¬¶?­_x0002_PTäµ?Í©³_x001F_O´?_x001D_jFã5²?Ð1¯_x0013_B²?&amp;à½²Ô²?º_x001B_Ìø_x0002__x0004_ª_x0004_°?ÂÃÞ®µ?¡_x0008_L_x0004_æ_x0010_¸?«Î¸5»±?'¿´;¾µ?_x001C_lø«×_x000E_´?ÙÀ_x000B_ì ²?	Õ¸fÓâ³?_x0013_xwñîµ?ßdGû³?_x0002_[ûõä_x0006_²?w»þÁè§µ?Ä\.-Þ³?ÈÚ*Ý±?_x0019_-aAp^´?VLÌlµ?hò_x001D_	c¶?Kl°@Q2·?³Saqr³?¯ÒÐ_x001F_´?i½gg:µ?èG_x000C__x0018__x000E_¹?ª_x0017__x0004_øZ²?È½¾TÕ_x001D_°?_x001A_&lt;à}§ã±?_x001F_´,Ï_x0001__x0014_¶?_x001E_î^_x0010__x000D_¶?_x0018_yÕ²Z´?sÑf,´?RM_x0003_2øµ?D33_x0017_M|¶?_x0008_¯DÒ&amp;[±?_x0002__x0003__x000C_Ñ_x0011_,_x000C_Ì´?öf_x000D__x001D_~ê´?õüþ´³?NÙ³Ð[ß´?_x0004_ªÙZ/¶?Êpÿé_x0011_±?_x000E_ÐB_x0019_Ò¶?_x001A_|þÿ²?d3Ï_x0003_¼³?Ä_x0016_Y0´?Z»_x001C_êÒì¶?åá¤;_x001B_ã¯?ÚñÌ%ÕP²?LP]_x0012_Ô³?OÁG	4±?³@ry÷¬µ?_x001F_´YcÆÎ³?Ä1¹î_x001C_Kµ?¸ö_x000E_Vöá²?|þçXÁ½µ?¾j_x0013_? ³?¾W"S±?Ö1Âæþù·?êlT¦b³?_x001A_o_x001A_Ö&amp;_x0004_´?X°_x001B__x001E__x001B_²?__x0001_µ¾¡Vµ?Oèmy/J²?ð[¿µ?¡¯CT_x0013_´?Ùö&amp;k_x000E_Í²?cª°_x001E__x0001__x0005__x001B_é²?É_x000F_&gt;ø¨ü³?g_x0008_^kDU¸?¥ß)ÐZ±µ?_x0011_øj_x0012__x000F_Ç´?I_x0010_ªý¥µ?Eæ·sà³??:_x0004_«_x0019_´?U_x001A_ë_x0007_/l³?ï_x001B__x000F_þ	m³?¦0À°?·ÉÙ_x0017_Û³?æ_x0006_è|_x0015_z´?r_x0001_ Å{¿¶?ûa7z¯²²?=Èvg_x0017_õ´?_x0010_öË%µ?YE­¾ã²?i_x0002_¨±+´?_x0014_È_x0006_¥Ø_x001F_¸?ù_x001F__x001F_£±D´?_x0003_%R$_x0007__x001D_³?x"_x0003_å¢´?ÄÑ_x0015_ÅG¸´?à9Káì±?_x0004_º_x000C_ã1s²?_x0013_@_x0016_V7³?Îy7ë)°?åTd%µ?h_8ú³?42©ùO¹¶??QP¶?_x0003__x0004_,ÆâèÍ«¶?Á¢^GQ³?8¥[#áó³?Ñý÷]&gt;_x0006_µ?¦_x0018_Î¥_x0010_o¶?FZ stdµ?æ_îfI¶?¶uÅ+»µ?_x0002_üç±µ´?Gâ¬ä¶?º_x000B_Ý"¯¶?²6$¸þ¼¶?r)ÆYi´?O¸!_x0012_9·?¯Í6M&gt;³?x¥e)µ?_x000F_×öfÄ}´?Û_x0001_^¨Î³?_x0018_k_x0001_Ñ´?´I@±²?LÆmBÁÀ²?tW+_x0003_#W´?Ðnbô³?EÒ&lt;S_x0010_Ã¯?¦FR³?i'"_x001E__x0015_1³?	Ùµ]&lt;¶?ùÌïÙ.b´?_x0017_y&lt;NR_x0005_²?¡ºÂaø³?æ´_x0015_¥¤³?ö®g_x0004__x000B_z!µ?Fü´VK·?Mé_x001D_Ep4·?¿¨û+RÝ·?e_x001C__x0007_øª´?º_x000F_#,¸²?Ì51a´?CK&amp;fO_x0007_¶?d±²¥/¶?Ý_x0003__x0008__x0003_Ý[²?äõâs_x0013_µ?)1x³ª³?Ð7ìVÝµ?Ý%_x0013_r¨Ñ±?©Oí(C²´?M_x0004_ñ±?³`ty-µ?ök_x0003_s	´?Ð?Ò´_¶?=K_x001C_×o·?Ä-Õ¾)°³?_x0011__x0005_&gt;|s³?_x0002_'ÅIÇ¶?%'_x0001_U6µ?((&gt;Í ¸?«¯é_ûÙ³?,ê_x0006_Ì4¸?hÁæ'²?]X²è2²?_x0003_È/7_x0011_·?	}_x0006__x0013__x0018_µ?pM*_x0007_Fuµ?_x0003__x0005_Í6W_x001A_µ?D_x0013__x0001__üµ?_x0014_s_x001E_ÞÃ_³?·!ºjs±?_x0013_°º*\°?Ø0;_x0014_í²?)}eñÏ´?ì0ÝxÍa±?3¼_x0003_Hq_x0006_³?àÑ4©_x001D_µ°?¦_x000B_ö¦_x001B_Ç³?Á*¾_x0002_Iµ?ÃÛ8ní¼·?%0¯ïA@´?BL`m¶?tþO´	è´?Ðw¼ÎD±?_x0010_t_x001F_Û_x001A_³?©ux_4³?vý&amp;v;´?/Î^B·¶?QàkÊÑ³?ÔûQµ?$0üöÇ_x000B_²?ÄKIð§¬³?ÕOÖ´?_x001C_Qo;²?³eÒ_x001F_5&gt;´?ã_x0017_¾R¶?îÐ;7_x0007_Pµ?7´õhC³?ðc_x0004_n_x0007__x0008_!y¶?Ó1B*\¯·?_x0011_¦_x0014_._x000C_M¶?®àY§²?_x0005_3xö¾²?Î®ÃÒ´?#,EÛ_x0018_³?l5YáA¡°?\_V0_x0019_µ?Ø!µ¶_x0002_³?ÈTª®_x0007_f¶?_x0006_?e­²?!QáÑìÊ²?Y¯FCÚp³?ÉÎ_x0014__x001D__x0007_´?	)ÿ³g´?_x000C_^|-A.¶?!~g3´?v_x0011_÷+µ?êúø_x001C_ð²?S_x001B__x0004_Úc¸?ÎGµ?_x0013__x0006_Eq3Þ¶?_x000C_hn­0h²?õ_x0003_Fë¹Å²?W«üï·S³?aÆõ_x0001_³?U]ë·?K_x001A_Ë_x0014_´?R_x0014_#¤ý[³?©ÈÖü²?nÍ×¡Ë³?_x0001__x0004_ïûÇOè¦³?&lt;è^`§ð²?LÛÈ{æ³?´&amp;_x0014_ìðÙ´?è:»L½s²?;Ù_x0010_L(8´?¶TÚß#´?ÎtG_x0018_ÏÉ´?nó6Ep´?|7É+"Ô±?xC_x0013_ÖQ±?7çqýòl¶?ë±'æhu¶?¬ýhH¦¶?_x0014_ µÛô²·?	ÜÍÉºÜ´?_x0003__x001E_V_x0001_§²?Û¾û©t³±?_x0003_P_x0017__x000B_²³?Á^_x0019__x0002_ºm´?àcÌbqµ?P7_x000D_äË~±?k\¿$êµ?}ZûPÍ±?!ÎÕë²?_x001C__x000D_Þ/áÚ¶??_x0013_I;Êî³?¯_x0010_F_x001E_¯_x000C_µ?ÎfI_x0008__x0014_³?&lt;ù_x001E_îM_x0017_³?ß3&amp;½_x0005_2µ?È¹§_x0005__x0006_èk²?åã_x001D_Ï·?ZÅÍ_x0014_Å³?_x000D_UhT´?Â÷Üq-ð·?_x001C_C25¥°?´_x000C_o_x000D_.°?ï_x0004_Êð_x0002_­?Fo³­?£EÈé7®¬?JÒxúZ®?ÎIEø±?GD©èù^«?_x0018_ÁË°¸o¯?÷¿X ­?ÒÆEâÿ©?_x001A_X@/R²?-:¶¦a_x001B_«?ôÏº2Ý,°?¿_x001B_½_x0001_=®?ú_x0018_²ªÌ_x0003_®?Úå_x0003_a.­?_x000C_EL²Í¯?üÂëYP¬?ÈÜC&amp;©°?»»¢»1Ó¯?ÎÔ_x0007_*¯?¥¨?°­?_x0002__x0007_ü6_x001D_³°?HÓyºvFª?O)ä_I«?%¡_x0003_R{°?_x0002__x0004_¢_x0008_t@Û­?_x0004_éZðü­­?Î?2¢Â&gt;°?gàØIú©?*jÆ_x0012_Í_x0008_°?¢Æ®ä±?c8«3nKª?ïÏw_x000D_­?ñ_x0002__x001E_²(n­?_x001F__x0004_¡®]w¯?óóQ®_x0001_°?ÒÂ_x0013_âÕ-±?å_x0003_ ¯_x0004_ª­?oCq=­?P_x0014_Fî¯?%OÉå_x0013_°?ÚhýïG0ª?bv+_x0008__x0007_&lt;°?e¡)ÚÞ¡²?úþä_x001E_N¸ª?;¿_x0018__x000E_Sy®?	§l²×«?tÈ£"_x0008_®?Ôà@úñ®°?oâÁ_x0017_®?'_x000F_¯_x001B_°ø°?_x0014_c_x0011_p«Ë«?Ú_x0014_©_x000B_°?_x001E__x001A_Y_x000E__x0005_§?Ò°) «?_x0017_¡`_x000F_©¿®?IF¶_x0001__x0002_ü_x0002_®?^Ï7ec²¯?î_x001F__x0015_ux®?4ñIJq*°?­Wo»_x000D_l°?_x0008_2¢FAk°?µ§r|"¯?je_x000E_\¯?¹sÜ&gt;_x001F_^°?_x000B_f&gt;¥Þ®?¤UBâì®?e  g©¬?-j¯?Î¥clp°?v·³Á®?_x000C_«a·_x0017_P±?_x0013_=[Ìa¯?rºPÍæ«?Iá-_x001D_3±?¸ï%aÆ_x0007_°?ËC_x000B__x0006_°?£)_x0006__x0002_Ï&gt;¯?Þ£°ß_x0018_±?AqÆ_x0007_»°?êKàOæ_x0017_°?&gt;-ái$¬?_x0011_±Er_x001D_±?¹|X="é¬?Þkó1}E­?Ú¥÷ãI°?}dü_x0004_Û°?ðkBb_x0010_±?_x0001__x0002_Ê,_x0008_¶û¬?_x0018_:ÍIY°?*_x000F_+b[Y¬?çÂ`^6¹®?h×5È_x0005_f«?Ì²5ÞÄ¯?5_x0001_P_x001D_bó­?5Å #®??_x0014_Zlý±?¦Ú5êÛa°?ÙÎ`X°?&lt;ï_x000D_Û{¦?{Î_x000E_·¾Ö¯?1lÅþü§?8Îx¦­?í_x0007_ß1aÈ®?,&gt;_x001C_X¸6²?«ç¯À_x0017__x0006_®?s7dJ)_x0015_­?Çx­É)¯?_x0008_q8÷_x0019__x0003_«?¶_x0007_Ý¨±?º¯3«?u	-k¬_x0011_®?HêBzäª?Kº$÷ª?èæqW®?sîãr³?_x0007_V_x000F__x0019__x001E_­?2÷_x001C_µ¥ü«?Mpè_x000C_¡Ý«?R_x0008_D_x0003__x0006_Î«¨?õ_x0002_ºEL¯?³õ*G»¬?Å_x0005_g_x001B_Ü®?þ¹^7g­?¾*!ì_x0018_;±?_x001A_ØÊ&lt;_x000B_§?Íö»4ñ_x0005_«?µe_x001C_Ov_x0014_«?	Ð7=Ý_x0004_°?÷_x0001_Ñ&lt;_x000E_'¬?QÉä_x0017_ e±?+sÙJb	¯?_x0002_KgVk²?_x0013_·ìÊ«_x0001_¬?E¥'*x=­?mè_x0013_BìÌ®?][_oi²®?Ô,_x0005_ü_x0015_®?AäB8 °?_x0007_)¿öß_x0010_²?YE_x0007_S_x000B_°?Ç)ñy®ª?_x0011_ó/»_x0010_¬?&lt;é!N°?ï%HÎòc²?_x0015_LÛ/ÃË¬?Fáï5¸°?¢ºö_x000B_R°?(_x001D_]1uÐ°?ãp	Ü0ë¬?_x001A_Ó_x001F_ðy«?_x0001__x0003_òÝ'ã°ª?§_x000F_Gí_x0006_¬?[á^CÏÀ¬?bÅÅ?¹¯??1PéÎF¯?ËÀÚ_x000F__x0002__x000D_®?1fÃ@ 3°?_x0018_b?BÆ$±?o5ñØ!¬?41bO!?°?s _x000F__x001B_Ã°?ÏÝsâ|q°?þö_x0007_Éîª?_x001A_ÚÐ|©?ô_x001C_M^ÁJ«?Ê°OñRÏ¬?89x¬{æ¬?ñþvI5±?û_x001B_Ý~«®?÷_x000F_ï¢­?ry	 _x001C_°?§\ëhór²?âÏ¶y6¯?áÛ}ç©?M_x0006_B¸°?nV_x000B_KS±?_zW_x0012__x001B_¬?äÉDØ°?¼Ô_x0004_éõ¬?;_x001C_=p_x000D_¯?bêä_x0011_ð­?[o.±_x0004__x0005_'­?¨ù_x001F_¦ð°?«X_x0007_&lt;²­?_x0012_ÚÌ7{Ô©?ý_x0006_ï¾Òn¯?*K_x001C_»v°?ù·_x0019_ýSx¯?'Ý_x000B_r$_x0011_­?|_x0012_ÈQ©¯?ìóÕÉÖÚ±?_x0011__x001F_b×É¬?_x0018_ÅJ]x©?úgÈßû®?bÕhð_x0012__x0016_²?èsp¨;°?E×k_x0002_Z°?:_x0005_×÷]°?ûr:_x001A_u_x000E_°?bK_x0016_8_x001D_°?ujÄJ,(«? &amp;Æñi°?tô_x0003_lª	°?W_x0013__x0019_	_x0002_®?à¦=ÆÞ7ª?Ó£$l_x0007__x0001_­?E_x0014_Zó©ê°?¹)J7Ø³«?8@9y¥Ö¨?Y$b¾¯?í,äR_x0007_±?4»ÿw»_x0006_¨?Á%_x0006_¨Õª?_x0002__x0004_¶«ëjwt­?µb©m&amp;g©?¹_x0018__x001E_®?iQ¤I£à©?ñXdø_x0003_°?Ô_x0014_7î-¬?r_x0014_ù_x0014_Ì²?ÆURè¬æ¯?b±_x0001_uU¬?W^îpª?7½±y­?|¡¬¦`¯?ïáñ_x0011_Ú8±? n]+ýë°?ÏkÆ¿ÏÝ¬?g4Î~&lt;ö­?P!¦ä¿°?{Òn&amp;_ú°?ÝD_x0001_	W²?_x0011_	©Êý¬?,KÓ*­?@ZZTªö®?ºûS.­ô«?òyÚ-È°?Ì¹_x001C_Y÷_x001C_²?_x001B_ÆÓAßÞ°?ù*éïJ®?î_x001D__x001C_üO7¯?çTo_x000E_®?(a£&amp;¹­?_x0004__x001B_ß¢î_x0008_«?kPº_x0002__x0003__x0004_V°?(ÚI_x0003_1e°?8üè_x0005_H§°?ã_x0001_å_x0007_Y¬?®_x000F_'ã¢_x0017_¯?_x0018__x0003_±°?8dô¬?¨PÛg0¤±?³_x000F_H¥Ä¨®?_x0007_J$Y®?_x0013_²Rµ°?­?Z¼Oõ®?_x0017_àôf¥é±?À_x000D_4_x000C_ñº­?Éx1_x0019_°?CÓËj­?¿ÒåÖF`®?ä××Þ¿±?»+½¯?ëEõ_x0016_¨?¸_x0018_	`yÕ®?_x0018_.â¯ó_x0001_°?¾_x001D_wOdû¯?_x0003_¬Y«­?_x000D_5"z¯?_x0016_z#;{I²?jÅaD«?Ä09ð«?&gt;qã½2¬?_x0014_Mr7×)°?_x001F_¢¦Q-°«?¸óÅ±®?_x0002__x0004_ 5êsu±?à©%_x000C__x0014_®®?°NOuSò¯?_x001F__x0014__x0001_\¯?oÚ_x0013_1¬?P~_x0001_{Q¯?³îJËÓ°?Q±6_x0015__x0008_§¯?æÓÊØª?É¨_x0019_b_x0015_²?_x001E_xÖ_x001D_Ó_x0003_±?0Õ_x001E_¨Ìª?_x000C_ÍµøÏ®?­t¡ìc¯?À²Þ_x0008__x001F_C­?T³c÷Ö°?¯_b­?ý×Ò®?«ìr_x000D_«?üª_x0007_¯?2WÐâ:m°?_x001E__x000F_Û	¨_x001A_³?â©Þð®?_x0006_7L_x0015_ëÇ­?_x000C__x001D_](¸¯?/_x0018_¥ne­?_x0014_êgÌN¢¬?0¤Y±?PßÆ©ö|°?ì_x0003_&gt;pq&amp;°?8¾æc­?¡ÑÊt_x0001__x0007_ÏÑ¯?"¬QµkF°?P×_x0015_	sJ¬?Þ¿_x0008_Ã_x001C_¯? _x001A_Ø5#ê®?æ_x0013_'õn«?_x0007_Ë¡_x001D_º6­?2_x0012_:É_x0011_°?xýê»ìY­?Ì_x0004_¾­?_x0018_zKB_x000D_ª?²_x000D_½Ú*ª?%fÊ_x000C_Î «?÷e©]®?_x0006_#pÂ®2«?_x001C_Á_x0003__x0007_'¯?=¯_x0005_4ãÈ°?zó%0T_x0006_±?ÒÈ¦_x0013_®?	 ´«cÈ¨?¶qiù_x001A_Í©?t\W?ò­?ñ"_x0011_41°¯?£'_x0002__x001A_ôj±?\ÀR_x001E_çÏ¯?}»O¢{_x001A_¯?i_x0014_ p³±?2õÆÕÄI­?Ç2]_x0018_6a°?f_x000B_ÿµl¯?_x0012_x##­?7¾Q¿q_x0013_¯?_x0002__x0005_óN+çq/²?JÉþ9xÿ­?ÕÉ _x0014_+¬?§QmP°?¶À¬ KÁ°?_x0004__x0014_e_x000D_å#³?ÏÅ_x0012_w:®?R¾¤æ­Ç³?[q¦=gÌ­?_x0017_m6_x0014_©N±?´±_x0013_×s¥¯?¶×_x000E_Ä®?ãµ_x0006_èÿè¯?l½ D_x0001_n®?_x0003_§s"Ö÷­?gº3­c°?³u¢_x001B_h°?D±-2_x0002_V¯?gç [°? ±_x0017_ÛX_x0015_ª?|EÖ®?@ã_x0007_¨÷òª?]Ó]$°?_x001C_Z-ÇêÔ¯?|ª#ïF±?¨¹)}±?ËÈQ]®]­?@UtÀz«?$ìý­âª?_x000C_Ü1í©?ï_x0002_ÝHÛ¬?ØköÖ_x0001__x0004_¸©«?_x0002_A_x001C_q£²?â:9_x001D_@~¬?64xV_x0001_Y¯?ò* yOª?9ÄRÜêª?ì_x0012_}$_x000B_ª?â_x0006_à½E±?x¹Å3Þ7°?w+éÿfV¨?oÃm¯ýª?ÊT&amp;«?¨ÆVw_x000C_Q«?_x000B_ØòÍÐÛ°?C_x001F_ie¼®?:ÑËR_x000B_2°?_x0012_pñï°?-yÁ_x0003_íh±?_O_x000D_Ö®?`{30ÉÅ«?FJì_x000F_ 9©?Ë3ÖCò#®?&gt;Cü^Lí°?UØ0·i®?í74kâ¯?À±iìÜ_x0019_ª?ß_x001C_­?e ~`³6°?c¯Oä_x0003_¯?-_x000C_·e­_x0013_«?è¸àìs°?ýÊåÐ_x000F_D¯?_x0001__x0002_Ý£B_x001F_°?C^wÌ¬?`j4hó^¯?OÚ36í²?ê¿UÙ«ª?k~Ü!59¯?÷0¼÷`¬?^_x0013_àø _x001A_®?_x0002_íI_x001B_9Õ¬?CN_x001F_^Ø©?_°H±wH¬?_x000D_û4._x000B_2­?_x0017__x001E_¸_x000C_::¬?Wù¸ø¨?ÿÿ_x0001_Àî¬?@_x000D_UÃ-H°?k­,_o,¯?~grâ.±?Ô?Ø/_x0015_9°?ÉïV½Ã±?íÌÁ\»_x0010_°?²0e­Ø²?Ïà@Æ¤®?_x0018_WUè­?:_x0006_^¯?Æßã_x0015_PÑ­?n_x001E_Ès-­?¶C~µ®?õEû®_x0016_°?8_x0014_¿ /¯?ÂTy±?{Ð|_x0002__x0003_Iº©?äºn¬?ýHuGv¨?wukmC°?Gëõ4¡©?2ègÊ¬_x000B_°?ã_x0011_s´À¯?o@aè_x001E_û®?¬ge_x0019_Ö«?×¥¬ékª?_x0003_9©0V¯±?_x0017_ku4b«?ý4Úmù°?x-Ê×êÏ°?õ_x0018_W}§¯?_x001A_V\0Ô«?¨üß!±?e®ôÓË¯?"ÔÿLA·«?÷Ç_x000C_7ä®?®jÿø_x0001_ «?ÁYn#'Ø­?µbÆ¹ü­?t­_x0011_E°?4r_x001E_ðu°?ªÀ_Y¸%®?_x0001_ö{i-¯?ë?d:«Ò®?Y­káo&lt;ª?9ãØ½ÈÖª?¸¸2Ï_x001F_±?_x0001_­¤_x0016__x0006_ü°?_x0002__x0005_½^:ó°?_x000E_ù_x001C_Ú¾å°?B¼c_x000D_Ë°?c&amp;qÜ±?P2	ì¬?dÅ_x0002_ÒÕ\®?»¹,:o!ª?caô¾£&gt;«?eÃr,_x0003_¯?×&lt;Ln«?ðörèÌ°?Ïöæ¥_x001D_æ©?ôÔ$_x0018_Qð®?Ô¿b_x001E_G­?_x001F_Iß_x001D_	²?bÌ_x0002_±?ü_x001F_]¢ª°?_x0005_ã¢E)È¯?ÀS:Ð¥°?Áû&amp;W!®?qô?x°?_x001B_ôøÏØ °??Xk¹ú¯®?_x0004_4©|Ú·±?x+¯p±?}ñ¼_x0016_òÿ¬?¤_x001F__x0018_¶_x0005_I°?ÏA_x000C_£­²?¦ø«9B©?Û_x0001_g]Ö°?¶ßR_x0001_&lt;5°?Äsyè_x0003__x0004__Æ¯?­Ð+7,Û®?Õc h««?_x0004_4¨s©_x0006_­?à'b°@ö¨?qSía}¯?l~v»È_x0002_±?_x0006__x000E__x0018_Nf_x001A_°?®B¿º_x0010__x0005_¯?ay´¥z´­?.SÕ/µ¶­?º36_x000D_`&amp;²?á@+Ã+ø«?Wèl_x001E__x0001_®?X_x0017_ÊÒÏ9«?É_x001E_à±"à±?´]ÊKª?3°³ÜÍ°?-Ù(¬Eµ¯?àmªÚD¨?0_x0007_Õ'IË®?×_x001C__x001E_èZ«°?;Qê3m«?$Ýì°²?OCWiëÅ©?½D_x0012_30°?Ös_x001F_Gk©?¨ññe_x0015_£®?18ûØs±?¨'ª,_x0019_°?_x000B_ÊüË_x001C_©?û*_x0019_7ë¯?_x0001__x0003_u^Tÿ·¬?_x0018_ÔS_x0010__x0004__x0016_°?^³n*â­?H·}Dú?«?4(_¶A®?Á	NðJ§?_x0017_÷z¹¯?ªEá_x0003_¾¤?¯[yÂ_x0011_t«?w¡äê¬í¨?×g_x001A_÷ÚÂ­?ìÐÅÓÃ¬?§i ¦8°?êAdÅ_x0006_À°?²_x0010__x0014_ü_x0017_Â¯?Ø_x0002_~ÅÀ°?ø¢dú_x000D_Ç®?'øô½À|«?ºU_x000C_!|S¯?ø_x0005_Ä_x0002__x001A__x000E_±?6_x0013_±~À­?ïí¯±è°?ÿ_x0001_(_x001B_g°?Y°RÏa¦¬?ßøáçÝM®?X/ £ug¯?°°ëáð¬?_x001C_2ÂØa2¯?_x000B_~q_x0010_à¬?\ñÞ¾­?x¸³åWù¬?~±ö§_x0001__x0002__x001C_ ­?_x0001__x0001_ýj@v±?Öa_x000F_%Þ°?µÕI¦34°?4F®_x0019_÷¯?ºéû_x0001_U­?c&gt;×{­?à1çÙ±?ó AÏ¯?fq[HyÊ­?½ô:i_x0002__x0012_°?aL$,be°?²Ãp_x0003_±?°p&gt;l±?¬Éã;ò_x0002_¬? Z®)»R°?-Y_x001D_À°¬?&lt;_x0018_²Eyñ­?P&amp;üàìÍ«?8ÛIÞf¬?Ê×g[çJ°?ÇàOU_x000B_m®?ñúzØ@'±?Ávk_x0004_Á¦?c_x0012_&gt;^Y¯? ÂÄI´´©?~&amp;×Ô6_x0014_´?VøÂ²E¬?ÚAlµ¡°?lò%°Ð_x0001_³?Ìè¡ãº®?Ô4À_x0010_Þ;¬?_x0001__x0002_ð_x001C__x000D_¸=±?ÍN¢_x001A_Ùß¨?Â(8Ý[_x0014_¬?¾ª_x0001_ã%r®? q\ØÔ ª?°xÃLq±?t¡_x000E_ò·¯?q¨I%lã®?8Ü©§®¯?µ¡_x000B_w`¯?/ö¯G_x0001_]¬?N])_x0011_Æ¬?2{å¼¬?g1kù_°?òÐ_x000F__x001B_ÐÁ±?)+¯âT©?CCÈÆG«?'_x0010_;`#I¯?? ¦ÌZì±?MÆDAç®?Ù$¿vê­?ÞûD ¥P²?+ýþò 5®?n¯-ª¨b®?+_x000B_¸_x0017_J%­?LxG¸Ü¯?=&gt;,ðý®?Æ&lt;y:Æ«¯?þÝKË¯?qî±_vù¯?«4îBXw°?®·,_x0018__x0003__x0005__x000C_°?;o¯_x0003_C_x000E_¬?·è§¿ï¯?Ýà-äéO°?oaqlj¬?fcÝ_x0003__x0006__­?_x000F_91ã?±?Ð9(Îª?k_x001D_ÔÊ(°?³§²jú9°? _x0014_Ëp_x0013_±?_x0002_ë_x0017_i¶!­?Óeäðhz¯?Î_x0013_µ_x001B_¬?Á²L_x001F_¯?ü_x0015_1Æ­?_x001A_ºsY²?___x001A__x001B_õ·®?W_x0008_{×t°?z_x000C_]©ô©?zo_x000F_fD_x0001_¯?Â¤îÂÎ£©?_x0014_«îü&gt;%°?_x0018_îÍ«?_x0018_=¤f!©?-Ú°_x000B_©8­?__x0004_Ò¾L¶«?_x0007_	 É¦ª?UIÿæµ¬?:6ô_x0011_Ò­?§ôÈî*{²?#_x0015_æ(:Ò°?_x0001__x0002__x0015_ {_K³?Sn±¨b¬?&gt;&amp;y§½a­?lVÌª_x001B_°?#ª¼ÎE'ª?_x000D__x0001_Ö)£@¯?gcu}Ñd®?êfdØ_x001F_°?­&amp;È­?U_x000C_Ãµï÷®?¶r:]WÂ®?Ût_x0007_ÿ;¢®?_x001A_l×f:°?üÐ6ä_x0015_±?bDÊ_x000D_±?V£'¤°?_x0002_W_x001C_2;¯?&gt;%Ù_x0016_Þ_x000B_¯?ø­Bp¥|¬?ÝÊÓ± k­?óvç_x0010_­?I±/3(B±?ouZPØ®?Û§2\_x000B_­?_x000C_;_x0002_û_x0002_&gt;²?tü&amp;oó}¨?ê/Z­?0_x0014_g#_x0017_õ°?B°_x0004_÷ÏL­?O.^§O®?}N¥Û$ª?#_x0003__x000B_]M¯?¾_x000B_É[À«?M_x0001__M°?_x000B_.qNt©?¾´_x000E_Ñ_x0013_­?íC¼¥¬?n8Hø°.¨?_x0008_ºº_x0014_°?SØ&gt;°?¸ØO	¦Õ±?}_x0018_ßn*Ð®?F1³G_x001D_®?P_x001A_QSÞª?Õ_x0008_Äq¬?VY_x0007_2ß?¬?Ö½;_x0012_ng®?¤õÙ¬?ßk_½.È«?)ê_x000C_å*q­?òäåp/ß®??Dª.£=°?EÂÜÂPD°?w4êCK±?®@_x0006_áo®©?\'ÁïVõ¬?Þ1TÒ}¯?Ì_x0004_Ç_x0002_Zª?R_x0010_L&amp;1®?´JkÆ°?_x0005_¥;v_x0012_®?_x001C__x0001_è_x0017_g¯?\º_x0005__x0002__x0016_é®?_x0002__x0004_ä¿cÜ¡´¬?¹´{~P_x0017_¬?_x000B_G_x000B_DÄ®?Ü_x000C_Ú5þ_x0001_²?]ûI_x0003_Ks¬?ë_x0013_·0U«?à²Î?xY¨?y_x0003_âZ°?Uð_x0014_â7]©?ì_x0002_+_Öß®?nqè&gt;Ì«?*_x0016_aÙ­?#_x001E_ûijz°?F#à1±?_x000D_+ªO-À¬?¡_x0013_¶ ¿*±?®^ÄMH_x0012_¯?_x0017_uÞá+­?Õá_x0012__x0012_CÅ­?-XD¥»D®?j¡¯Kwm¬?¤§½³J©?Ja¶S#U±?Á_x0019__x000B_²µ®?&lt;»·¥?³_x0015_øÍä}®?2ÞÝ_x001B_­?ôgAVnÖ­?õ#îà°?©¨±¿_±?_x0018_¾ü÷Q®?gØ`_x0011__x0001__x0003_8î®?e¹'#²?Å~_x0001_&gt;Q³?Dz¦°ë}°?Ä¶"!'U®?_x000F_Îõ{­?¿s_x0015_¢¯?Æ,Bb-Ï±?_x001F__x0018_m©ë­?6WEÓò«?	aVö°¬?ê©éGÐ±?ßuÇò±?±;o§®?²Ê_x001B_»«?Ûò_x000D_sFã­?6ø_x001E_Fùª?jÒ_x000C_Ó4¬?6_x0001_÷	)b¯?_x0013_ÝÜhA­?û@d¶ét¯?þ#%k¢µ°?º©[KÆê«?4_x001C_µJà!°?È%vef5®?¦(ë:1©?_x0011_©B_x0008_f+®?ß_x0006_³ÚVzª?g_x0013_ÉVF¸¯?ª5èº±­?Â._x000D__x0002_¬?jïõú_x0006_¯?_x0001__x0003_¸0GCÿM¬?ð#¤	ô¬?2¯2­?8I_x001B_×ìv­?&gt; _x0005_ ©tª?_x0002_;tµé¼°?Å!GIW±?l_x0016__x001A_jº±?/`	Z«?xùñ8®?îöæõÐ°?+Ón_x000C_^U°?ï_x0019_íT&lt;×¬?·Ëí	_x0011__x001F_°?Ty½S»±?e´ÖÉóg¬?_x0003_kC_x0011_©?ö@lð¼À«?íÄ}_x0001_ì@°?=_x001E_¶i_x0007_²?BLÑè_x000F_W­?b_x0016_­PîÕ¦?Bm½×²?lê¦É5«¬?Îë¢I®Ö§?#B±~ã¼²?7|ÃëS«?/^V?¼ª?$Õt¼ß­?_x001C_Þüh$¯?ÖxôBÐ_x001E_­?_x0001_Jú_x0001__x0003_Sþ¯?½·Efª?}§_*Ù¡«?V#qcÊ=®?ö_x001C_rM°?TèËiß¯?Rp_x0006_öî«?çx¾H_x001B_­°?½63¾9Ô­?óØ¸_x0018_ª?8Ú~fAê­?_x0018_ÙìÐk_x0008_­?CR¾Þ°Ø¯?¾_x0017_ñoà«?Ý,°«_x000C_í­?¾Íb`_x000E_þ¬?Cµ.®?Á_x001A_à_x0013__x000E_ª?_x000C_×_x0019_5¹­?_x0013_+©_x0005_=v«?SMP¦To°?×Xñ|®?¬_x001D_¡±_x0002_©?_x001A_¡¸Ü_x0003_q±?CÕ3®?ý¶ØÐvÄ°?íf_x001F_w5Þ­?òIÀFK_x0013_¬?&gt;Ü_x0016_å°°?9^îÉ±?_x0002_Ga_x0019_:§­?xvr«±?_x0001__x0004__x0010_i_x000B_?ÿ+°?%»uôC®?*Å³fÕM­?ß	_x0012_½.±?úh_x000F_ÖÃE®?#?£2Q°?FÑÄ_x001A__x0015__x0001_°?¥õIñ¯?_x0010_õßÉ±u®?³±t¬Ù«?6zÀ_x0007_ª?h¯î_x0002_°?M¦Û_x000E_Ìo±?(tK_x0003_ó®?76`o'¯?qÉ:¼_x0018_®?=¼=¨S°?½_^_x001D_Ï¬?°_x001C_2«?&gt;_x001B_;Fî±±?GË°gB¯?_x001D_4`_x0008_â¯?4B?_x001E__x000F_°?@_x0006_tî]§?,¾A¢_x0003_¬?#Ô§²¼Âª?Zx]¿¾'®?Î±WHþ¼¨?0ÒeAE²?_x001F__x0008_Ìkª²§?&lt;xÚ'_x0007_¨±?QCÇj_x0003__x0004_	Ð­?¶?Úèö°?_x0002_µÆ¯_x0016_¯?ù]"d±?Pð^'&lt;í¯?"î°Ì'Q­?¾Ð¶ì·q¯?S|_x0002_iîQ­?}K+3ôp¬?Ívÿâ(±?_x0013_â@9ä(¬?_x0017_Ü­_x0007__x000C_ã«?_x0001_Y;`ª?b_x0018_½'@Ù¬?­ÂÖª7¬?_x0015__x0010_÷ºpt®?¶è_x0015_Çª?£u%èÓf®?ü4Ëúæ°?Ð¬²ëJ_x001D_¯?mÛUq_x0017_­?_x0005_%&gt;¥_x001A_g«?Ýµ_x0004_Å¡»°?_x001D_[Èâ°?&amp;Y_x000D__x000D__x0001_¬?=[Ý_x000E_®?Bæ_x0019_öì/°?âãP_x001E_^:­?²á0í®D±?w|Þ¼§_x0014_°?TbÑÏ¸Ñ«?Vc_x000B_o®?_x0002__x0004_cpìU´.­?[_x0019_D¹$_x001D_¬?_x001E_l*þûû±?_x0005_±W_Ì"±?k´ÔÖ,«?/_x000F_^£°?_x0014__x000D_w£&amp;´?¡^G÷²?pQÐÓ®?¢~_x000E_}©ã¯?0[×ì![®?»3ZC_x0004_±?¬p×Lr°?TTWX_¦«?_x0001_å)_x0010__x0008_l¨?ø_x0002__x0003_ÆÐ®?½Pzÿ_x000F__x0013_±?&amp; 2?Ó¬?¢_x001F_À_x0004_¡±?Êä¿ã¼­?a£Ð&amp;VW°?Ê_x000E_Çï_x0004_±?ë±ü¨½]±?Õ\_x000D_"7.²?_x0003_âðBâ°?­_x000F__x0005_V&amp;¶ª?à\ËîHÆ±?_x001A_1:»°?÷òx?_x001E_#°?"ÄTÁô¤­?!b==|°?_x0007__x0018_Æ_x0004__x0006_ºõ¯?"­*í·°?Ã{1 _x001F_«?[k_x001C_÷§?øÑQ¢¼±?Ìus&gt;ü¯?@Eêw´z¬?x¡£G®?Ô£ýâ¬?o_x0015_¡SG_x001C_±?çÉwÇYM®?LÝiT8¦?Öi³o_x001A_3¯?'_x0006_ñ¬ã°?_x0007_´; ®?K^¡á_x0006_°?æ$Ëahþ­?¤._x0005_zñ#°?øs0ß2­?ìóZ¿Ø_x000F_®?_x001A__x000B_O_x000F_¯?TzpH_x0019_±?ÙÍ¿©A{±?·_x0019_ç³_x0014_°?P$æ_x0003_)ð°?àzd­Vª?Ì_x0001_Pñ'ÿ«?s÷c¯w¬?ÿ8d_x001A_%º¬?¼l¤âG¯?_x0002_ì$F©?x_x000D_ôïSC¬?_x0002__x0003_DrÎ_x000D_8,®?¡«YÌh´¯?v_x001D_í,æ­?_x001E__x0006__x0006_s­?7KìMãU®?vÐí_x0006_B°?iÑûÙý°?_x0013_UÍ-¶Þ¯?	_lL$~­?IÃÔs®?|_x0004__x000E_Á&lt;I±?ÐÂ«ëÜ°?)ìJnñù­?qwóM|¢¯?ð·_x0006_'°?_x000F__x000E_a=¯6±?4_x001E__x000F__x0015_Zî«?_x000F_!×XL[±?È_x0002_;øe¬?D¬I-_x0013_L°?zBX\´²?æ:_x0001__x000D_Q¯?ÎÍÁkÿ±?2gEÓõ±?5ÿö¼p±?^_x0017_Éþ°?_x000B_CQ@®?ËlÆW~Q¬?ÒZX7ºá°?W´JìU±?Ò(8;å%µ?ø¸GØ_x0002__x0007_K±?§ÍfW_x0006_±?ö_x0004_uæ³?ÉöÎK¬?RÊæ¯? ÚÚ:_x001C__x0005_±?z°lÔ&amp;ª?_x0010__x0016_­âÌØ°?·¶'QL²¦?»_x001F_&lt;ú¬?Óº_x0007_k8®?ÿuË_x0003_°?/X_x000B_B¯K´?ÉóÕ_x0001__x0018_æ«?®_x000B__x001E_]¼ò¦?Õ_x0002__x0004_É«?iJÊÅî®?_x0002_3¢qÅ¯?ß4F¯D±?©2Bc2±?ü;V°«Q­?íX°Èµ®«?Á_Ø«¬¶?NÛÊúöª?L_x001D_Y_x000B__x0014_±?t÷aÑÄ±?Ùp³Å´°¨?_x001A__x000E_`ö©?îJ_x001C_*¼/³?ZF Üb²?î îÖç±?Ë¼ó­?_x0001__x0002_°ÅpT»²?È]kñ"±?_x0007__x0017__x0014_6v¬?þ;_x001B_z¾â§?Úxº#¬_x001F_­?À_x001C__x0007_ÖÔ`¯?ÅËiö&gt;/µ?½æH¬?s_x0001__x0013_3_x000E_r«?£_x000E_ä0UT«?º,OzØ_x0008_®?î°mþu®?_x0010_!Ìj³?ä*iôm_x000B_´?*	ÍK@«?2_x0007__x0019_p©°?I\çVç_x000E_°?ôì¦ï°?ÜòM_x0003__x001A_Eª?n¡þ_x001B_l±?êo$pJ¯?Rº_x0008_J©?ð,`ù¿_x0003_°?ü=ð_x000B_¯(±?Y""N_x000F__x0008_±?²ýCªC­?\_x001F_]19M²?ªjé)°?f_x001F_2ÀD³?\8Ãvu´?Tè~T¦.¯?°~¼_x0001__x0003_£_x0011_³?¦_x001A_9NÄ°?_x0005__x001F_]_x001B_õ=­?_x000B_i_x000C_5¥Sª?ËÐjÑ+.°?ï_x0014_Ê*q«?²Ø³{a=´?AEc³?ÜO_x0006_Mo_x001C_¯?juSãÏ³?¥T_x0012_u¯?/_x0018_M_x0006_°?Xj®d§ò²?$å¥·¾_x0012_­?P6AP8S¬?|kQ@Úì°?9«iñð¨?_x001A_ëöé@+¯?¾õãh¼%©?_x0014_è¼_x0007_G­?Ü]_x0017_Ôª?)uÞM4­?ñÈäÜ·à³?íÄÐ±?¦ÛpÊä0°?_x0013_µ¿_x0002_U»³?zaøZôI­?Æ~Ï_x0013_¶	³?þvS8*_x0013_¯?&lt;_x0002_©ºñÇ±?&gt;ÏY_x0011_/®?_x0006_|Sw°?_x0001__x0003_·Ë_x0011_¼_x0013_°?ÒU_x0016__x000B_HÇ¨?³Eþ_x000B_­??âÃ_x0012_é³?öHÒ XZ±?bM´àkv­?¸u Ô^°?paXf×õ¨?È3ÑhJU²?X;(¿ü¯?¶Ê$NµW°?_x001D_sÀýÓ%¯?2ÄV;_x001B_±?)"Ç_x0004_¨?òÞZï_x0018_¬?2yß²°?bÒb_x0004_G_x0012_©?ÒðMf±«?²_x0017_éYÕi¯?¾¸ÕéË?¶?¸2òÙ±­?ë2$½0á´?_x0005_X¾_x0017_-®?e©ó{)ª?9lsD®?.¿JøÀo¯?¤^_x000D__x0002_î²?_x001C_æ¹µ¥?pbú_x0001_Ð_x0015_¯?$µ®Û°?ÒXPçGý°?_x0008_ì_x0003_°_x0002__x0003_ô¤²?_x0002__x0003_¯_x001F__x001E_³?ºG_x0003_nY:°?¢ðþ£d_x001D_²?i_x000C_-µ[è°?t~5ÃS@°?¢)Vu¬?_x001B_a_x000F_Ú©¨?GeÆb_x0011_í±?_x0007_½_x000C_yÕ°?í(À~4R¯?&lt;.4°_x0007_°?Þ	Ôß_x0007_²?ÞLúcB±?sq_x0014__x0005_j¨?	¨\_x0006_ý¯?p	X]O'³?P±&gt;_x001D_Ú´?ëi2¨¯?2O+þÎãª?µ¡s³_x0013_µ?ÀJ_²ðO²?_x0001_¥3_x000B__x0014_³?_x0019_­FõÈ°?H6ç9®?TÒÒ¯ÂL©?eÌò&gt;»¢±?6ê¡Æ_x0019_°?Ìîw5w±?7Q8x/±?ìr©µ&gt;÷²?á_x0002_Tfñ±?_x0001__x0002_8_x0007_öÐ8£²?&gt;ï~_x0013_k¯±?ö`_x0018_ÜkÐ«?njÉER_x000F_²?¬0«?°¡ÆH°6²?"ÃÕï_x001D_­?:Æ__x000F_Å°?¾ÒãÂyÐ²?æþ`aTÅ²?2rk8³?ê¾-ÜÚ°?6O'}Ï±?ii×_x0002_7¨¬?_x0012_"	E\Þ­?Cÿ/!G_x001C_±?Ñ¤_x0004_éZ_x0015_°?ÑJ5_`_x001D_µ?Á(ÉÂùb¬?ÈAHÝ{°?iWÖß¹®?DX¨e1´?Mò5^Iµ?}Ì-¢ì¯?ÂF_x0002_å?°?R=¹ÏO=±?_x0007_Æâp°?¨=ì!ò¯?è_x001B_InèS°?L£ÜH¹§±?_x000E_Ý°áõ¯?¯ìO_x0004__x0005_Ö®?[f#¯§²?_x001C_îGþ²?hà½_x001C_²?øC_x000D_¶áI®?¸_x001C_Âè8¯?Øp_x000E_-±?_x0019_&gt;Øì_x001E_¯?V¾kæ_x0005_«?|@ç2Eü³? f0_x0005_®þ¬?_x0014_O*_m¬?_x001C_-.Çà¬?wl©Òm¥?¨K_x0010_Lé±?5b¼l¼_x000D_¨?_x0001_~_x000F_´ªÿ«?{*Ö{ ò³?mf-"î«?OðD+§?@yÒÃ§?d÷Ç'b²?,ÐÇhêª?ä-ã_x0019_¨?_x001A_uÎ#f®?³íIØQ©?_x0002_S­±¬?ZJ~_x0003_:§?:U_x001F__x001B_#ß«?n_x0013_»°_x0002_2°?ÏÕ·#·§?|%Cm%±?_x0001__x0003_aÜ0«²?y_x0018__x0016_ïÕ®?Å2BHÃÉ¬?«wÓp°&amp;²?·+Pï©÷±?%_x000F_L­?Æf¶_´V¬?Á7ÈÍãÍ­?^_x0017_'_x001C_,}®?o_x001F_øP­¾µ?¼Õ»¯?n,_x0001_B«?â¬)#+_x000C_¯?ê_x0002_yö¯?³÷Ïñ_x0004_¯?_x001B_ÓÑ8±?_x0007_»+(8\¬?¯Y^¾þó±?ÊÆK)ò_x000C_±?ó¦ÛùM®?_x0017__x0008_I1í©?~ÁYáÕ²?ð#SS_x0001_®?ì&lt;àZ©?¸_x000F_9µÝì²? UÇõ_x0004_º²?_x001E_|¢Ü_x0003_°?OvJ¿!ª?_x0007__x0017_S,ë®?_x0010_j¾ÎÏ´?Èt¡:´°?È;_x0002__x0003_u§?F¿Y. ®?×Ðzô«?_x0001_ýËÂ4¬?cÆq¬m_x0019_³?:ñ~QJ³?=btÄg³?_x000D_]è_x0003_Ññ±?ÕÝD!ë°?­½_x0018_Àè¥?Î2æñ²?ìÛÙõmb©?ÎFCúl¦?ö¬¥óR_x0005_²?_x0019_;±Ê,²?4?_x0004_b·Ê²?_x001B_:dR*²?N¶Æ¸¹_x0001_ª?_x001A_0ÓC5_x0004_´?@_x0016_±_x001E_\§«?4L[{¯?rE_x0001_,»Ê³?_x0012__x001B_ÑÔU¹­?_x001C_â(nòH¯?_x0010__x001F_Clzª?ð§:Í_x0019_¨?¿Ö³Pró´?ùÜîN´?äiÏ3ôï¬?u«_x0003_ý_x001D_¬?kM!T,±?_x0001_@KY_x0019_8¨?_x0001__x0002_ÊPOÄ_x0010_±?È1_x0005_ü=±?o_x000E_¬_x001C_Ùû±?_x0004_õ´'¤­?²2nèz_x0006_³?'°ù"°?US «?£ßÒ_x0008_²?EöPSFH®?_x0011_èo`Ä\¯?Ûxé_x000C_²?_x001E_z=QÎ°?Üá_x0002_SCT³?:²rç&gt;G±?Nn:¨?l°2ze­?v_x001D_¡cy0³?ßýòÓ÷ó²?_x001F_ºãîQ:¬?­Kk2À±?¾m¡8{°?-¿jù_x0005_®?^µí-I&lt;µ?P_x0013_ðÃr+¬?c«?&lt;-¸4¢©?j`T_x000E_³²?:_x000E_ß3a§?¹¾¯?ãj	£õ¦³?ëà¼ÚO±?E_x0008__x001A_ì_x0001__x0002_Øõ³?Æó&amp;CÜý±?Îcû_x000B_5Çª?:z¡6¸f²?t£flÁ±?¨­ÍOrÒ¯?Û|ÿkãä®?_x0006_×âÍ¥$ª?ï_x0002_åÒóB²?ÕÚ"Ù+9®?5Á±ßô°?%oDÉ¸¼ª?¦W¿Ï;²?_x0008_Dö*C\µ?¹)°¶?´!@õÊz®?W4!¦×È±?¾µô°Õl©?/¿é-ÔÄª?K#¼¬Û°?nNde¿±?&lt;ÿ&gt;+_x001D_Ô±?Êµ­ì&gt;©?]d¯_x0006__x0013_¢­?Àî®?,2ñ¸_x0003_¯?¦c°_x0003_æi±?©G_x0005_8R_x0003_²?^{/ùªá©?e	QÁ¦×©?¿r.a6|¬?³êsqù­?_x0001__x0003_	Ðº ±8«?´9ìi^\²?íþ_x001F_»ª?¥©¯ìÐÛ±?ûÐCJ°?Îjæé_x0002_ª­?.Ó;âÇÄ«?Ì_x0014_×:xú³?i_x0008_¾OÈ·°?ë_¶ÆÙ#³?²mF~k¶?¤~_x001E_´_x001C_©?«_x0019_ò_x001B_gÇ®?Q¨Ú,êB°?~ÏYDª?ðrO_x0015__x000C_µ?mè_x000D_jÎ«?_x001C__x0003_¾"æ¬?{¯¦ÕÔm±?â$ä}Ã¢°?_x0014_ù"Í/²?FMåýV¯?ïw,K_x0018_ª?p±_x001F_êB§?Âöc_x0002_RÀ¬?_x0011_BÅ_x001F_¬?6LêV±?`_x0019_ú.¡¬?;ÁzW¯¬?öU-_x0013_¡ç¨?Bí+Àc"°?juöN_x0001__x0002_³¼°?yv%ê_x001A_­?0±_x0004_!¬?_x0016_UÎm·¯?ÍÁçcû_x0014_²?_x001A__x0007_äµµ?p«v,Å®®?r@Û¶­?Éò?ÈÆ±±?G²Ó=:²?hë_x000D_z_x001F_½­?¢_x0013__x0016_L¯?ÚuÞÔ±?äIgsQ_±?_x001A_»¥~C©?_x001A_ñ|òª_x0004_®?ã³§¥²?_x001B_ð6_x001D_pë©?	R²õ_x0013_é¬?LE_x000D_,Pfµ?_x000F_MRì©f±?V/ÍkÞ[«?_x0002_&amp;_x0003_Üß_x0006_­?8½Çª_x0016__x0012_´?o]á_x0006_W|³?»_x0013_ÒÛ_x0011_±?ñèÿ¿l¨°?1±Òóa®?¢acóEþ¨?¬~ý,ª±ª?ü"X`C_x0007_ª?`õ&gt;ødúª?_x0003__x0006_û¨p_x001D_`¬?±Öf¥_­?M#«\|_x001F_²?hzÇúK³?_x0006_6_x0004_p³?É?uÓ¨?Êa¡ñM_x0001_­?öD3²i®?^_x0019__x000E_&gt;²?ê7|[¦V´?}Ü{_x0007_¥°?I§ó¢¨?GTwÒpª?âajøïU°?ä eXý§?_x0012_-þ§?q_x0004_U2zð°?_x0003_Áð°?ê¾åMt°?7oêkä°?L_x001E_9të[´?½MÀ×±?:LÃ¶À°?tüÊÜÃ­?D_x001B_ex²?ì®gJ(_x0016_°?Zû_x0002_T³?I_x0005_Ð£ÅY°?p»çÈ²?Ë)¿_x000D_=B¬?r_x0012_\Õ°?¿G|f_x0001__x0003_êÏ©?\£ ê­?÷cÇg»©?Eç"_x0002_¯?là :Ó¬?Í7®¤x¬?×ñ¬Y_x001D_Þ²?0BÁ©à±?²0_x001B_Å3m«?¥[ë°æ,­?2º:ª²?vIZ#®ª?Ï{ÔUc­?,ÃiV_x0005_°?&gt;ô{ÅíÒ°?op_x001A_@_x001D_e±?å$ P¢«?\Ð ^NÆ¬?¡_x0001_.a±?fô=_f¯?¥û%_x0014__x000E_³?XUm_x0001__x0014_(¯?»Nxðhª?=_x0003_Èêª?_x0011_Øô_x0013__x0016_®?J9	_x0016_6í¯?n_x000B_ÃÁ®Í³?óf+t_x000F_¸¬?x(_x000B_&lt;Ê­?p2ÁÀ_x0017_©®?_x0005_Ãß¸Î®?)Òl"h¬?_x0002__x0003_ì²"$/o±?W%G/"±?4¦_x0001_à{±?Â_x0007_ÙîþÙ©?06&lt;,j´?¬Ïr_Ô­?Ô¢!_x0011__x0019_O°?ª-¾oÝÚ²?L³©Ãv_x001F_´?_x0012__x001F_i_x001F_1ð­?ävéÞD§?_x001D__x0013_æ¬ê§?ç7_x0001_:&lt;¯´?9N²ÛÙ"²?Jÿ_x0004_v²?iTå_x0017_ì­?_x0013__x0013_Û_x001D_î±?q_x000F_¯(Ã2²?ÊbA÷n¬?-¡Fæ_x0003_±?Þ_x000F_ÊMA¦?öoN¯?#$BÌ§ª?/¶Â3na¨?_x0004_î_x0015__x000D_uK¨?¤¨bám²?Ê¢Î_x0019_3¯?Xæàª_x0016_±³?_x0001__x0014_ðÕÆKµ?¥A«_x0011_(®?_x001C_N÷_x0005_Á®?D_x001F_Ñ_x0002__x0001__x0002_«ª´?_x001B_)h¼ÞM­?4Z-7vµ?_x001F_®&lt;ZgN¬?:Ä¬_x0014__x0017__x001D_´?Òq_x0001_·_x000D_Ì±?2Ù¼N«?__x000E_¶êi'°?_x0010_?H8*ê®?+Ô_x000D_Q5°?éDYµ?¥¼_x0006_¬?ØÓH¸Â_x001C_®?RÂÁ¥·³?øÈ±B·±?Z_x0003_GYµ®?_x0014_è_x001F_ý_x000B_¦?Ê2(~%~°?`úKÒFS±?^è_x0005_Ò??­?ttb_x0001_G¬?­µ1ÓÈt±?¦dÖ³?Px­¿Ôj©?²_x0011_JX³±?Ò_x0006_¾æ9_x000F_¬?CØ:q%¬°?&lt;Ç^Ö±?lü_x000F_Ø_x0007_Àµ?KWã&amp;Â¦?M£½üTµ?±i,?_x0018_A¯?_x0001__x0003_i|û_x0005_+Û¨?jôÜÚ¬?_x0017_GGÁ¬³?õbb4%«?-_x0001_ÙÂñ(´?¬&amp;UE_x0013_µ?£K3çÆ_x0018_°?Ú-H&amp;¶4®?¾ø¼Üª§©?M$¼ý_x0006__x0017_²?|Ýcÿ·Ã±?wOI e°? 6Åæ|8ª?5]ÿ_x001A_§_x0017_±?|A_x001A_²ª? ÷¸~ó°?O´_x0018_aÊ°?¾æFû¶ü­?±_x0011_ôzL°?k6§_x0012_tý´?9»_x0019_³¼±?ÍõÈ6îª?_x0002_ÃKÇò÷´?y_x0015_OI´?38Ã­4³?_$`¢_x001B_©?åÇ£f;¦?_x0005_?qk¡¤±?^_x0001_«±^¥®?ÿ2_x0013_b¬?qhh*Z°?ÆZ_x0004__x0002__x0003_4°? ®ùfg:¬?_x0006_ÙË¡b«?Ì{/cS²?Û öþ±?âg9Iëo´?_x0003_,@è­?OÁ.±`¨?r«ÄQÌ8´?pý_x0001_(_x0019_´?U_x0010_W¯²?Ö  _x000C_éP¨?¦"¿¡¸¨?Ø²µ µ?çaê_x0016_Ï¨?_x000E_ÞqZ_x000F_,°?_x000C_ÔRðý¿¯?q_x0003__x000B__x000C_ª?ä"H¨y§?X_x0006_ÜTð_x001F_°?û1ºn°?Âa¶vÐ.¥?_x001C_)%²ú¶²?×_x0015_®÷AÎ®?òÁ|ÞãÊ©?p_x001C_pÆ_x0012_5µ?ÂEVBâ­?_x0003_e¦Ýµ_x0001_¦?¼ýÛiÜª?_x0010_öÊ_x000E_ðG°?õ&amp;Ã´?¼JvÎ#´?_x0005__x0006_Ø3 2·G²?QÂTð·ª?¾5_x000F_[Ãf°?®ã_x001E__x0007_B³?è`Kü_x0003_¨?XwÞ_x0010_êóª?\Ü_x001C_,¦?Åò'=_x0017_!§?M2a_x0019_&amp;_x001D_°?Ên_x0004_ýòm®?©³_x0015_Ç_x0011_r°?lV³?×_x0005__x0002_q­?àaqa=°?bá1G´?@ÝÑ,¬(«?ðI_x0001_Fø´?y_x0008_cx´¯?V¼:ä¯?N¯'_x0011_o_x0004_«?R_x0014_2s_x0008_¨?Cjx=V!±?¥I×Å;°? Ê_x0016_ïQ°?H ÷¨¥¬?#¶`"¾³?Ï«_à­Õ¬?¡@!Cª«?_x0002_³_x0005_¹z²?Òs^EnÕ§?mCv_x0001_}«?Nï¤þ_x0001__x0002__x0002_1©?0±õ2°¯?_x0015_à_x0007_»·ñ«?ÔÇu¦?ÿÓØ8_x000D_¶?ÕoÒò_x0019_«?¥¥Z§»§?Û´Â¹þq±??Jyg5³?_x0001_é=_x0014_É_x000C_°?ÐeÏ4w­?î[µ¢öt®?Ö³ÝV"«?®¶D¹_x000B_­±?6_x001F_,Ï°?_x0012_$B_x0003_z°?/_x000E_®_x0014_è%­?3"¡Ð_x0015_ë´?,zE2át¨?½v÷°*¨?õ_x0017_|V²?|ÜKX4©?¹4n«_x0001_þµ?_x000E_¬ç_x0015__x0014_W«?_x000E__x001C_q[f¶?¨{5_x0010_A@²?ysù0G°?%ö6ñºv«?ð_x000B_èèß_x000D_°?@_x000E_´ë_x0011_¬?É]1/únµ?DRê_x0007__x0006_µ?_x0001__x0002_Ô_x0013_s4(F²?_x001D_iAg4­°? " Ll³?©@YoÐ­?|_x000C_sà_x0013_P³?3Nw,Q²?¤&amp;£jN×­?ÎîÖ_x0014_b±?P!ªõF@¥?_x0001__x000F_½TÁ°?èê=Næo§?¾_x0005_Ã´?´ÎdJä±?§P_x0012_ñ±?À_x001E_á1à®?g·_x001F_o³?=¸dçÍ¥?Ìbm_x0006_k¯?Ó&lt;s)Y­?÷äù_x0015_¾p²?;_x0016_6_x0018_O«?n &gt;¢¬²?_x000C_¬¶ä¥§?ô Á0©_x000E_©?­§ø¿æ7°?lë;«û²?_x0004_Ù5G²?tOíû_x0003_³?ê&amp;_x0014_°? T¯_x0007_sÒ®?hGø_x0002_'±?Îù_x0002_	_x0019_¥?_x0008_:ù_x000C_®}±?ÀêQ!ãu°?îÍQxd«?_x000C_:H¡Ñ¯?@©\_x0007_-`§?óos"è«?Ú}&lt;0l­?Õ¯°v_x0010_¯?e_x0014_AØ~P¯?çÓçl°?¢ßýÏ°?Ìß¨õþ©?ÜÃÕ=	±?ö?Ç¯¼}­?_x000B__x0001_gö_x000B_[®?0¡=Î²? $&gt;_x0010_û°?&lt;Ô	}Á7­?µ`_x0001_¿Iª?L÷ûäXª?0Bì_x0005_,¤´?_x0006_tñ_x0008__x0012_²?_x0016_õ/M_x0015_Ø³?ËØ._x0006_¤µ?/êY=q?ª?òEX_x0001_Z^²?â_x0013_ _x0003_Ý¯?£_x0017_³ï)ô°?_x0004__x0018_Î¹û\³?øl%Bs_x0015_ª?.ç%_x000E_*þ°?_x0001__x0003_uzº_x0017_x¯?°*d¢Ä©?]àá¾wìµ?_x001F_Ù7fâõ±?9]Kö½´?õ_x0015_dRF¢®?EÝ_x0002_L5©?é"õ?!®?_x001D_ml_x000D_Bs©?DÓc&lt;_x0002_±?@?þ&amp;$®?FÌ_x0003_f©¯?P¨Â EÙ®?_x0007_¡+©t³?pÈGI::³?Jf°?9`Ï;ò	¶?Cr4¯?.®51n´?¢H_x0007_§_x000D_¬?_x0018_ 1M£³?D+Ù&amp;¨´?bý¾Eóy³?B×ÇéÍû«?î¬@tä¯?_x001E_»n_x001F_4³?Tzýæ_x0015_±?Æ "£¨?³?8³Ùåö_x0015_®?_x0003_Ác\n´´?ÄeUâ¡³?_x0007_\â¡_x0004__x0005_zuª?¡A?×=_x0017_­?dÐã_x001D_ø®?g_x000E_ÄÊh[²?Xy¡_x0011_ü®?v"K_x0003__x0003_õ¬?_x0002_0èQOÎ¯?¦ Ëh¼­?t_x0011__x0002_ß×]´? ¨hU_x001E_®?_x0018_ÍÎµ«?7|SKTÖª?Ø¾ý_x000E_¿~´?~IÑ%+Á«?Þ_x0001_$2ñ¬?æj_x0006_Hw½°?Ö_x000E__x0002_·ê¯?_x000D_¶_x0005_¥ç®?²v_x0019_G_«?Ê_x001F_êÒbË°?@óimÐP®?@_x000C_)2:±?K÷_x001F_k½²?_x001C_~¯ù2Þ¬?hÏKx	a³?_x0004_Dï­_x000E_²©?æûè»ß­?ì_x0014__x001B__x0007_²?ávuî#±?@ÞoËt#¬?_x0016_AdÇ_x0016_®?äCeí1ª?_x0001__x0003_E-*_x0012__x0003_õ®?(+È0¬?Æ_x0019__x0001_tHáµ?É_x0001_;E _x000D_­?X¡%ÌØc´?_x001A_ÔõË_x0002_¬?ê¹_x0014_\_x001C_5±?wµüèwK²?_x001F__x0001_/ï³®?_x001E__x0018_Û¸*Ó®?_x0001_Ñ_x0019_Oþx©?ó¬°ÄÎµ?=]¥úl¬?_x0016__x001D_%PÖ«?T»0º_x0003_¯?õÿ_x0010__x000D__x0014_¬?\t^}±?lo_lé ¯?_x000E__x000C_¾_x0013_ì%°?_x000D_åêÎ«®?&gt;AúKé¤?y__x0001_EÔ£¯?Â_x000F_ qE°?¸×dW­?î¯T[F&amp;¬?_x0012_á\îæs¯?mý¤_x0010_°?á»v9I¬?I&lt;µ±ÿ®?ÛóxåÛö°?³_x000F_&gt;$©?Ò_x0008_pâ_x0003__x0004_U;¯?M¶Uî_x0001_°?iÔgxä¶?&amp;§h:LÇ²?%_x000B_%&gt;¦±?nê:Bè_x001A_µ?;´|Ôµ?z/ÿ_x0004_àª?ï-¶kù°?B_x0006_Uüþw­?#â_x0002_ÝxÛ­?z\_x001F_µ_x0012_~²?_x001F__x001C_éø0Â¬?T·»ün¦?_x000C_-&amp;`A´?&lt;8TÉj_x0005_©?ª«_x0011_FÌ_x0005_§?½&lt;Â¹ì¦?î]fp_x000F_§?F2ç_x0004_®/«?Ä_x0013_âÙyF«?`ëóIi«?¨NâM¾²?f[_x001E_.¿-´?n_x001B_Ìí¸´? m¤:qä´?&lt;Ç_x0018_µN°?ËqòÏ_x0019_²?Ç-z)²?e4sø&gt;q®?¥.qñ_x0015_«?Âeªée´­?_x0001__x0002_(_x000B_î_x0003_®?m4 &gt;ø£ª?N_x0011_Âá£Ð­?Uí=Ò|°?xß#ÿÅÌ´?Ë0._TN±? Ñvãæ±°?E(ÂZp°?¦ÛøN_z¯?&lt;Püé®?_x001E_$ÃóÖ_x0005_³?½7#Ër'­?a¥Sh_x001A_¯?é"VLüË®?³â¤À_x000B_ã²?9&lt;_x0005_3Þ¯?ÂÍÿÂ³?6ù~©?õXLBÎª?_x0011_)ñæÈ¯?_x0007_ 1DÂ²?_x0018_$Ê¹!³?-_x001D_"­Êé°?_x0013_õd%&gt;¯?©m_x000F_ -_x0015_±?_x0017__x0007_|ëÛµ°?_x0006__x000C_ci°?_x001A_5É~_x001B_X³?¸òÊÏ^b°?_x000B_sÿÏU¡³?_x0008_õ÷æ_x0016_³?_x000C_ñHÏ_x0006__x0007__x0002_¬¯?ø5ØF_x001E_Ô°?ñ9$_x000C_î³?ÛË_x0019_sãÛ§?÷/ã)è²?_x0006_å fü)³?óýÝP_x000D_Ü±?'4¬Õz[±?ô_x0003_7U_x0004__x0004_±??]ä7¸©?¬,´ÿ^¦?`ü~{d²?Ì_v"_x001E_¯°?Ê@¦Ðåg°?Í·ìÄ®?Z{_x0010_a°?:px})¨¯?_	/ÅÝ°?ìY_x0017_ÿ«_x001C_°?o_x0005_ÒýÒ´?!ïfõ,7±?Ír_x0001_Ã¯?&gt;_x001A_M_x0008__x0003_³?8o&gt;fÚN¶?4ôuÕP2«?£_x0010_¸ó-¦?Üê}_x0014_`®?_x0017_!úÓì\°?2cÃÔ@µ?ð_x0019_{Ìá±?[iLâ»®?¬_x0014_Ý_x0002_à²?_x0001__x0002_T\_x001E_Ê¿P§?ãBßÅñD¨?à×«.fNª??GÓ`Pzµ?_x001D_I_x000F_&amp;±?o=´ñ{²³?HðJ=_x001D_°?øü_x0010_°_x0018_­?¦" _x001F_'Ö¯?¨Ê_x000D_¯E6²?ÎÞJÂ¥_x000F_´?öÅê_x0014_s2­?Ú¬_x0019_Pd³?$Ã·ÜÍÈ°?ÛÆr_x001C_Y®?¼_x000F_ä#_x0008_6´?pª×_x0013_&amp;²?R$P®?©?áÜ¶_x0004_ú°?Âj;_x0010_±?Ácîu~â¯?ÂñµoÐ]ª?ÿF]^±?Õ&amp;ð2Î¬?7eïV³?\Wb$æ²?gß[N(°?©¬È]º±?Ïy_x000F_,´?Âð*XÎ¦?6æµ§­?ÀI¥__x0001__x0002__x0008_æ­?Ef_x000D_ñ®?_x0003_mZ_x0004_=_x001C_¶?_x0014_K©_x0005_³?ýã÷S±æ°?&gt;T¯oB®?ärÈ#¨?µDpK»¦°?ÙaÒ$«­?_x0018_ÈBe°?~_x0015_êÌµ?&gt;iñóÜ®?¡Ä_x001A_-/¨?Åîëe~°?gZ¢Û«?öâ_x0003_jNÕ²?rý_x000C_ÔO«±?éZÅ!oß°?åh¥_x001B__x0011_«?0gä§_x001E_Å­?Â´{»¹¬?j`ÞZ7²?týLB$V®?ì»Æ7_x0001_F¯?²Ð1Å³?*ê½H_x000C_®?à_x0015_"½±?ê]áÈucª?°ècþ5ß³?P%_x001B_b­?§[ìÎ7k²??_x0010_«hýH±?_x0003__x0007_Y_x0010_õº«?èd_x000F__x000C_Z¯?8#têw±?oUÏér²?Ì!§6¸&gt;®?_x0019_°a"]}´?_x0001__x001C_6R/i­?B@÷&lt;¼¨?UÒ +Û¦?Jô_x0006_"?_x0004_«?ÖçÏrª±?N¯0Ý'¶?àúÂrC_x001F_±?ï¬Êgñ_x000F_®?HY¼ß®?_x001E_ _x0001__x0002_´?¾ü¥@±?ìø"±±??£E_x001E_º°?&amp;óÀz_x0005_´?@_x0005_O å¬?ÄC@aSå­?s&gt;k2ôx°?_x001C_&amp;d,0´?Bf»+´?_x0015_,µðÆ°?Èø_x001F_ä¶?_x0014_}Güõ­?_x001C_"~_x0014__x001A_µ?º×Ãî)N­?@¥²­ë±?±qê_x000D__x0002__x0003_&gt;ª­?¦]&lt;¯_¸¶?_x0016_ù¥Ø#²?ó_x000E_jÑã¬ª?_x001F_Ù7CF¤³?¥_x001B_·¬´¨?_x0013_QHW@µ?_x001F_:'_x000B_*±?&amp;"¹5Z°?Û:6zñ_x001B_±?6:Ën*m²?f_x0001_a¦ñ?©?½ì._x000E_¯?_x0006_(|©áE²? Îæ²¾®?zªb³?nª[Óª?ÊìÑ=Å_®?[ÜèRK²?q´5ÚF°?_x0002__x0002__x0002__x0002__x0002__x0002__x0002__x0002__x0002__x0002__x0002__x0002_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0002__x0001__x0002__x0001__x0001__x0001__x0001__x0001__x0001__x0001__x0001__x0001__x0001__x0001__x0001__x0001__x0001__x0001__x0001__x0001__x0001__x0001__x0001__x0001_ _x0001__x0001__x0001_¡_x0001__x0001__x0001_¢_x0001__x0001__x0001_£_x0001__x0001__x0001_¤_x0001__x0001__x0001_¥_x0001__x0001__x0001_¦_x0001__x0001__x0001_§_x0001__x0001__x0001_¨_x0001__x0001__x0001_©_x0001__x0001__x0001_ª_x0001__x0001__x0001_«_x0001__x0001__x0001_¬_x0001__x0001__x0001_­_x0001__x0001__x0001_®_x0001__x0001__x0001_¯_x0001__x0001__x0001_°_x0001__x0001__x0001_±_x0001__x0001__x0001_²_x0001__x0001__x0001_³_x0001__x0001__x0001_´_x0001__x0001__x0001_µ_x0001__x0001__x0001_¶_x0001__x0001__x0001_·_x0001__x0001__x0001_¸_x0001__x0001__x0001_¹_x0001__x0001__x0001_º_x0001__x0001__x0001_»_x0001__x0001__x0001_¼_x0001__x0001__x0001_½_x0001__x0001__x0001_¾_x0001__x0001__x0001_¿_x0001__x0001__x0001_À_x0001__x0001__x0001_Á_x0001__x0001__x0001_Â_x0001__x0001__x0001_Ã_x0001__x0001__x0001_Ä_x0001__x0001__x0001_Å_x0001__x0001__x0001_Æ_x0001__x0001__x0001_Ç_x0001__x0001__x0001_È_x0001__x0001__x0001_É_x0001__x0001__x0001_Ê_x0001__x0001__x0001_þÿÿÿÿÿÿÿÿÿÿÿÿÿÿÿÿÿÿÿÿÿÿÿÿÿÿÿÿÿÿÿÿÿÿÿÿÿÿÿÿÿÿÿÿÿÿÿÿÿÿÿ_x0002__x0003_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ÿN·Üx8­?.cÖ_x0001_~´?_x0016__x0013_Öl±?RdTÙ´²?Ò4)Ñ	¶­?fWí}dÁ±?3e_x0006_Æúµ?£A9;®?_x000B_vð_x0003_k°?_x0012_nBÖ%²?pË}wµ7´?_x0003__x0006_D¥&amp;Ã_x0003_Qµ?ÑñÖÉ_x0016_«?h¹:Èa­³?ßíbë±?ªâóDª?¬¦ÐîÔÈ¯?_x001E_GÅ_x0004_±?@ö&lt;ÞN°?T_x0008_ùÈ_x0001_±?¤_x0015_|Ë_x0011_±?ZtoQæ¯?$!_x000E_ñ_x0001_¢´?@ÑØâòY²?'¨|ô½´?ÄOlò_C³?T®^AÍ°?_x0002__x0003_nµ?D%ì_x000F_Ó°?©*u}Æ®?÷_x0001_½%¦ê¶?@_x0017_¤I_x0017_«¶??·¬å_x0006_Ì«?°"=ÝÝ°?^)ÇÜ¹´?S _x0005_¾½¯?\¾/g²?¢_x001B_ÉÔ×_x000E_°?"ñ%2_x0001_¸?h«_x0005_î,h²?\îÉû~À¸?x_x001D_ÛÖ½µ?é'a_x0002__x0008_Tf²?´¶ u,¶?¹U½T£´?G_x0014_5£°?_x0008_Å¦/÷âµ?ý?2_x0006_è±±?.*`ë{_x0019_±?éO&gt;ì±?_x0008_ú_x0006__x0013_Dë©?^Ó_x0007_ûR°?ä_x0008_L«²?_x000E__x0019_^¦µs³?_x0006__x0008_!½º_x0006_²?OçÙ+Ä±?a&amp;F_x001D_«k¨?Ò·÷u6_x0001_·?_x001C_G4ØWeª?_x0003__x0017_jkÔ¶?ÿÝÍ»½_x0014_«?èwFS{H´?¬Ø_x001D_r¼ã·?_x0004_©ôu:=³?º?è_x000C_¯O²?Ð­¾&amp;\¨?4ë¶Cv´?/`Ôà¸i®?û¡¼¢_9´?h_x0005_¢zO6µ?Ñ7,*í_x0001_ª?H¯¯ÓX³?w!Ó_x0010__x000D_­?_x000B_d¨ªÞ_x0012_¹?_x0001__x0005_Bß&gt;{²?3_x0008_svW_x001C_±?_x001A__x000F_S_x000E_Æ-µ?¤_x0013_}²?öè´¾{;³?_x0014_î{_x0007_·±³?bä!Ñß¯²?bº_x0014__x000C_ ¶?%Ì§ò_x001C_Ðµ?@m_x001A_£á®³?t¡È_x0002_à´?ø_x0010_@_x000B_Dµ?´ím=_x000B_Ù°?öãÒÅêµ?_x0003__x0006__x0017_õg¼®?_x0004_A5_x001E_v¸?èü9q¨©?ÔODÂÿ¹³?ø&gt;vôàZ«?Õ_x000F_D_x0016_o²?*_x0018__x0002_M²?­f_x0016_¢T±?6k²N_x001B_³?ñ_x001B_{ç_x0015_J°?&gt;oCZØ¬?¶h¥ _x0007__x000E_¶?mè9úå³?jîé6c´?eÙæßók¸?dä_x0002_Æe­?ÀØ_x0001_¶© ±?nÑR_x0003__x0002__x0004_Ê9ª?pGÓg_x0017__x0013_³?*Ìj­?¡©ñUD®?_x000E_c_x0008__x000D_É_x0007_«?²_x000D__x001A_J_x000B_²?Îß6õ_x0014_®?Ø"ãéZ´?²ûÃæF_x0002_©?_x001B_}ñ´?_x0001_y5_x0007_+T´?òk_x0007_tÍ°?wZ·q²?_x0005_X_x000C_úÚýª?Ö!_x0015_a²?ò:	o´?ß8§H-²?ò¤&amp;_x0012_^³?_	ó²?øAãÈVþ­?°ÎÈ)vÎ²?Þo¯Ï»²?Æp!H±µ?_x001C_oÛ'_x0014_¸? ³*p_x0019_`³?_x0002_¢_x0019_BA5°?b~¢O÷´?^ÓBÖ_x001F_ÿ²?g²^_x0003_ _x0016_°?U®ÚÚçg´?_x0010_Ì%P´?áT^Þh¶?_x0002__x0003_&amp;'_x001E_Lu°?Äy%e_x000D_µ?Ïy9Ü?_©?_x000C_-á&amp;'¨?_x001A_4Áq´·?ÖÆ®_x0010_l¿³?ÐÉ_x0019_.4³?_x0014_³íÂ¡²? ´ê¨$À²?Úê4k³?ÇgÙ÷_x000E_²¯?ùé&gt;Z9_x0001_±?mÚO&gt;·?Èþ_x0003_í®?,Ï5!O¸?ïiºm Ù´?åRÀRêa¶?_x0015_v_x0008__x0010_íÅ«?.ik_x001B_èª?|òvo_x0005__x0017_¬?ÅÕ_x0002_A_x001B_µ?áî_x0017_5T¯?µGcjX®?óç{ú®?_x0003_§Ç.Ç9µ?x&gt;ÏÄ9¿ª?4¢úýWØ°?·ë9¬¡F«?9lÔÉô¾©?DÖxÐ¹°?»Ý_x0014_ªµ?Æ_x0006_`´_x0001__x0003_áº«?:_5µ×³?$é_x0015_ûò±?ý¡ö=¢'²?'bäÑÁ³?\q~ÂÜO¬?²Íåö°?_x0002_-_x0015_Yü8²?ìH_x001B_s_x001A_P¯?|Ü8e_x001E_´?TÁ3Î_x001E_ó¯?ÆÛZ|_x000C_¸?bERÿ°?dÆÕ³E8¹?ðc_x0014_¨_x0005_´?dÍál_x0003_Û±?_x0001_õï_x0005_±?ñ}{ÎZËª?ï¿Ð_x0018_A´?½Ý_x000E_+Á¦?&amp;mEQ¤²?fP'÷¾ÿ®?þò±RZ5±?öé_x001A_D©³?À&lt;6_x0014__x0014_²?_x0012_Í	Íá®?_x001A_õt°ç´?Ôæõ¢&gt;©µ?Î;3Ø_x0016_°?_x001E_)_x000C_Ãä÷³?Ð_x001E_9_x0014_øB±?(j´{LG°?_x0001__x0003_ P¼¹ó¥?ñ/[¾½7¦?»_x0011_âí^ù±?_x001A_È"xµ?ý#á_x0001_Ì³?x;:¯0¶?Ç-k_x000E_W¸?cæ7°?&lt;ÀEµfoµ?ªsÚ&lt;½®?Z,è²?¥ÝJ Ê¨?pV_x001C_d_x001B_²?Ù4&amp;à-Q¶?*¤!#°·ª?3_x0019_#óL³?¿Æ_x0005_-¯¬?ft_x0002_lúç´? ;Ì°Þ³?Ê!ª|i²?Ðáå&lt;±?K_x0012__x0008_ì_x0013_Ó¨?ÂóÇÏñ_x0013_°?×ÏN|Ïc²?«8»æð°?: 2'X«?¿_x0018_t¸,­?Óm B_x0016_´´?AÒ]Gá³?&lt;ð?b_x001E_ª?çÇSÙ«z´?ÚGÙ"_x0002__x0003_êü°?°,oÚ³?ö4¤}ª?f_x000B_¾_x0004_ª?,9o#vû³?Üxã)µ?{±_x000C__x000D_ ²?øâÇ_x0010_¿²?÷òXÉ°?Ò9;ðûå²?Ã_x001A_XÔ2°?O¬%óïµ?_x0017_L_x0011_VU_x001F_±?&amp;_x0011_ðÕ¨³?ê4J^Ñ_²?'es¡ú±?¦Ç=_x000C_#®©?Ä'sÞí°?_x001C__x0004_?¶¸¨?tÖ|Ì5_x0001_°?"àü_x0010__x0017_H«?+v×dN´?ø)À+±?Þ¹ÅÅÝ²??hOG+©?_x0002_Ý?_x0006_ª?_x000E__x001C_EÑ&amp;µ?¤DØÌLã°?Æ®_x001E_´?ªhãÞû²?Îé²:_x000D__x000D_µ?¥!ÓfÍû±?_x0002__x0004_ðh«®?3'x­Y*²?c£|ý¦¯?pZ$p´?&lt;¹wN¢ª? H»ÜU¾°?Oícq*ç°?\_x0012__x001C_Oi¾¶?N_x0013_ÈÚ_x0003_$³?d_x000F_hÂÙ6²?¥Fú@§±?_x0018_]f_x0004_.Jµ?Zw`_x0001_ò¬?ö"×MÙ²?FËZ¨É)¯?äëH¡e«?ó»-_x000D_·Uµ?ººçC,_x0004_¯?6ìRé_x001D_G¶?À×N_x000B_³?_x0018_7Õ_x000B_´?¾X+¤.¥©?ÙfF_x001F__x000D_´?ðÞ_x0007_A_x0010__x000E_³?8_x0011_õtrµ?â_x0016_X¨Cª?ÖNqm µ?}P3¸Á*´?´RIÌ¬³?_x0010_¡ï/Ö­?{rG_x001D_´?³Ð89_x0005__x0007_¨?_x0013_ÙdC+°?_x0013_ßÄó/N±?ø®ÛÛ®?ªMqÊ±?ºwcqD¯?6çÃ_x0016_±?Ûãxo#ª?:~]ï_x000F_Õ°?h_x0019_íM±?d¢ÅLqä²?JãSgÉ/³?))®«/®?nl_x000F_æî±?S_x0008_¦ ï(·?A½ÔèDé³?âb}´_x0004__x001D_«?ÛW_x0015_£®ü¸?èú_x0006_è_x0015_·?®¨þí_x0003_¶?"}*"ç_x001A_¯?&gt;¦¯W²?tÛT!¢C²?¿_x0018_°¡í'±?ê#_x0004_S³?¶[{_x000F_¢°?D¯-_x000F_ó°?p4p_x0002_´²??_x0014_ôç©´?_x0001_üzÖ±?^ÏoÓv8±?ZóTü@X­?_x0003__x0004_üóAQZ®?ØÍBU.¸?*ZØOy®?ÜT_x001E_|Ïá¯?_x0016_ñ$Æµ?­_x0017_pw4¶?!XÌðIþ¯?àÉ_x0016_î£µ?6&amp;ÇÄÌ®?^`­Y%8¸?ý0_x0001__x001E_[°?«&lt;_x0010_c_x0012_·?_x0010_sÄÁ!´?=ëg»Ì´?_x001E_b!V[¶?ÄÊïIµ³?Ä«_x0003_¯]ï³?åûz:_x0003_e§?ê®$¬?#ÿ÷_x0002_[?­?Pt¼Úó¬?8Z³"¬?_x000C_¢Æ_x0018_í_x000C_±?_x001F_0#s°?bW÷¤±?¶~_x001D_{Gw¶?Ä¨sñ§·?5:±?\m;Ù²?¦Ù3	_x000F_°?_x001E_}_x0018_Ø«?dÅNi_x0001__x0003__x0014_¡«?pÇmÑ¶«?OaéÍÊ¶?¥¬Hô_x001E_Î³?_x0002__x0017__x0014_¿­«?5Ñ_x001B_ËÓ­?ÎÚIF¥Ùµ?º_x0001_jN¢_x001C_­?º[§à²?Ò§É_x000D_M¶? _x0010__x001A_ÜuÇ²?|ëi¡_x0007_²?pä3Ëæ«?a_x0017_jC¶y·?³_x0003_ËØ_x0003_´?(Ê²)É¿¯?¦_x0013__x0007_Å_x0017_Ý°?bý°[_x001A_³?+_x000E_§æñ°?\n·^·?zJp¿°?Ñg#ÌË=´?~l_x0015_ÓÀ­? U:ÂD³?µ§c_x0018_r²??6G³¹_x0008_´?_x0019_dé$À¶?c?Ò_x000D_qR²?BÛ­/ï³?ø_x001F_qÇÎA®?Ü_x000C__x0016_R-ª?ä!þ6Åàµ?_x0001__x0002_sØN-Ü7¯?_x0004_ÒÃE_x0016_o°?Z¯rôW_x0017_¯?DVÉ WO³?lö4ÞÎK±?dT4_x0016_` ¬?µ _x0008_é°³?ÜÂ¿ïT°?øäF¼_x0012_²?Â_x0013_ÿÅe¨´?bÔüÍ'±±?Äï¯8ÅT·?a!¬iC­?o°:Lö_x0018_²?|_x0007_'£tß¬?!»tgw«?îXgË²?4Ü_x0018_Ú°?tÛ_v²?ÏÍ~µe´?bnÓ¸_x0015_&gt;¶?&gt;Nà"]Ü·?T£D/âÈµ?_x0014_m¥âø¶?½-&gt;a%°?´sA_x001A_§_x000E_²?·TµR¾q¯?K½µ¤¬4§?=@_x0003__x001B_¬?&lt;Ã_x0018_ÿ_x0004_³?õ91_x0005_÷µ?_x0006__x001B_ñ_x0001__x0004_ V²?W+AQ`Ã´?_x0010_'^_x0008_7$´?¬g_x001C_`);°?WÆö_x0001_èY±?N_x0002__x0003__x0019_U¨?*(ojÄò²?nã_¥²?¹ùZqê§?À_x0005_Çù3µ?¹{zN²?_x0001_æ_x0007_Á_x0006_³?Ï_x0003_¯ÛZ±?_U)»¥h°?´j¬%_x0017_³?r;_x000E_ÝSÅ©?¨)33·±?dâxË²?g%[ñª?^»ð=µ?uh}Ì¯?|ùó×o²?Çùï]à±?ÇdÉ_x001A_Âx¬?_x0011_å°_x001A_ª_x000F_®?uÁÈ ¯(¶?ud_x000E_nQ·?ìQ_x001F_]c®?ÆÒáó$h¥?~Z»Úþ"²?°Ã_x001F_?û»±?°[@	_x001A_Í©?_x0004__x0005_¼Â_x000D__x0002_ºÎ®?Üb¬`²?0f4{)÷²?æ*S_x000C_{î²?_x0010_Aý_x0003_ÿ_¶?Ã~Eò®Y¬?6êõ_x0001_pá°?ôyIûüµ?ãÙ_x0002_Óv±?ò¾S	¶?øÈ_x0019_½£Ò³?Êå*³?Ò¸_x0001_OÐ±?~_x000B__x0016_t2"³?îY\&gt;²?HA¦_x0018_£¬?&gt;@&amp;ùøj´?_x0003_|êi±°?	uauë_x0011_²?_x000B_ûZ·å´?](_x0011_*¶´?¾û_x001A_ÿÞ¶?³ºÖÉ³?P¯#Üt­?t_x0017__x001E_p@_x0010_²?Zâ.î÷´?rc_x0006_íR±?æxÑåH²?H¬Ê`§?d¦_x0008_¨?b­_x0019_YÌ;¶?-?$_x0004__x0005_îw¯?²úC]p¬?Úñß%ñ[¯?ÊÅ°¥ö±?F¨_x0016_|_e¯?¾nÒ0²?Ê¼_x001D_Ò»à±?Âú_x000D_Æé°?_x0010_6 ¨/´?_x000B_2.43±?(Tz_x0004_PÉ³?ð_x000F_kAõtª?¶_x0008_¬øG¯?®¹C¢_x001F_^µ?_x0014_ß»ïJ³?¾Ê"_x0019_ð¯?-fÑçò­´?nT-hÉ±?sç7_x0001_¬?j¡t_x0003_\3©?_x000E_P_x0013_Ufõ±?8ß3L²?\Â+)I.³?¶ÅÞ4²?jd_x0002_q«?Ì®õF_x000C_çµ?(èô_x000F_Cª±?~CSEå¯?lh£1³?=ì_x0010_?±?_x001A_F«ªÉ¬?,¦µ.¹A¬?_x0001__x0002_Ö×þBêØ±?il¼ó¢¯?_x0012_§]qÙG¨?°+êòGê³?_x000D_Ù*í²°?.B¨Å¹å±?¡~_x000E_÷³?dH¦ÙÓ·?Þ,á|;d³?Í7_x0007__x0013__x0013__x0002_²?uðm±	²?½_x000E_¨%_x000C_X°?Àû_x0010_}Ùy¶?vi&gt;î)³?ä'4nâ±?HÜRu´?|	h;³r¶?("ý±?â]ÈF´?iVøh±?ôcüm¨?dÇÜLÛ«?\\_x0002_VKL°?ÒFéÊ)­°?¼Tâzt"©?@;æ³?Ní´?=(â2§?¸oÎñú¼³?ï_x000D__x0012__x001B_ñ£­?Æ&lt;»½'³?M_x0007_/k_x0001__x0004__x0010_P®?êÎ_x0002_Ï2¬?Ä.æ_x000E_Þ°?ì{)@e.´?¾{ç_x0016_oJ´?swv^¬­?(Û_x0008_1Â²?ÿÂ»4Ö´?ØÐp_x0004_Ân­?æ&gt;Æ_x0011_¿´?®IO®Û²?]Fö±?¶O4#õ³?µ#·\ï_x0006_±?ÁMé_x0001_°?äTl_x0018_²??ëvð_x0004_:°?_x0016_Ý&gt;8{^°?Á4ÿña°?MZä×e°?Î(_x001C_;±°?nP_x0011_q²tµ?¢¹!§_x001E_Ê¦?¸_x0005_!¤)á²?6$[´%­?B_x0003_Ö_x000D_µ?H_x0002_vË²?b®|\å.±?\Î_x0017_#_x0014_±?öÒÎÄ_x0007_t²?&lt;§i_x001E_µ?^àÂM³?_x0001__x0003__x0002_&lt;VJz±?jÏb$	Å¶?®_x000D_QeÒ´?æ=ùD×³?N_x0007_i5W/°?jXL/¤«?­:í_x001E_­?_x001D_ßO-_x0013_µ?üiCìåb°?Är5r³?òM´LL¦?_x0019_5·?_x0008_Á_x0005_°?!qi7õ¶?Ô_x0006_ÖH_x001F_·?¾A3p{®?×£ÌÅ°?äNÐ_x0005_hå±?|_x0016_ö_x0017_ ]¯?ÊK_x000E_[È_x001E_°?(h¬_x000F_µ?)$£Qüõ«?ì¨#Å%f±?±qÈ¢öu±?o_x0015_·Õµ?{¿6Ù©?_x0019_W¯_x0002_r°?_x001B_m_x0014_¾_x0019_°?DZàU¶?ybª_x0006_T²?|3¾no³?²3ý_x0003__x0007_¦³?Âe±_x0011__x0017_µ?ñÀ_x0011_ å°?G_x0002_é_x0005_ãë²?&lt;2}¹_x0003_ ³?_x0006_Ø¶z1²?Ó¿XÞ²?_x0005_è£'­©¶?ÐÉõÄaN©?2%RúlÉ·?¤®³Ø®?õ_x0019_Cç%c±?_x000C_±3ÓhÈ²?hdíoT^²?]?_x000C_@U»±?!z_x001A_{4_x0011_©?_x0004__x000C_Æ÷·?_x0016__x001C_e_x0007_°?«_x0001_T±?Ls¦?nb·?_x000E_:ïa ²§?_x0012_û[þFª?Ê¯ß	}´?Ö_x001A_Úþe1¯?1¨À/µÆ¬?BT&lt;aZZµ?0Õqù²?~å_x0011_¹¨Ñ­?"Øs}"°?Ó_x0013_1_x0014_¯¸?ÇDxÏ±?G«¥\¬°?_x0004__x0005__x000C_âÚÿ±?wWÈ_x000B__x0012_´?Tÿ_x0005_¤Â±?LZ­,Ç_x0003_²?*K/Jdµ?þt£E9©?`²¥ä¦®?R¿æ®ôQ¹?\£#¦¢±?v¿¸^_x001E__x0008_±?¾Ù0_x0018_	°?ceî_x0013_V«?¨Áö¨WX´?l_x0010_ú¼Nú¬?%ý_x001A_­±?O¤þ;¥_±?çí_x000E_ÍÊ±?Uã_x0012_Æ³?¸9^ó ·?Ra¶?*¯%ÈH³?3ø"e¯_x0004_²?ÕÌe_x0002_Ý±?Æ_x000F_&lt;I3­¯?ÓÔþ_x000F_bX±?ßnÓnJ§?bÂÚ´?_x0018_u'{Ø6®?fHÈrZ_x0001_´?_x001E_þB+ëßª?½T|£³?ê¡)*_x0001__x0005_Õhµ?_x0003_q_x0005_Â[_x0015_²??p_x000F_»iû°?­y@vâ¨?[_x0014_ôïË³?_x0002_±kM'ß­?aéª_x001A_Ü«?_x0006_tÛ_x001A_²?_x0001_PXÂ_x0001_}³?äLs\"q±?Ü±º]ç·³?sêÚ_x0012_-·?»`ìÛù£±?±XÀcoô±?JEÅü£#®?Ú¨z%_x0008_hµ?æF&gt;_x001D_²?_Õð,_x0007_°?d¶u2î_x0005_±?8SÞ_x0019_µ?ðawûY³?oµkr±?_x0007_°TvÁµ?ÙÓ@Z_x0001_?°?w½ý=õ_x0018_®?°Òë)¹y³?îÒ_x000B_B_x001E_¸?Zë?_x0015_z¯?¸HÁ_x0001_'/²?_x0004_ß_x001B_H²?ðp_x0014_&amp;×]±?á£C°D¯?</t>
  </si>
  <si>
    <t>7248a623f8ae1d452c2e51e8b66c77df_x0001__x000B_h_x000C_¦ªÏ ±?xåûê_x001B_°?	WìþÐ²?ÿµÑý?8³?ôÛï,hÕ¥?_x0006__x0018_ò°®_x0007_³?äLv6~¸?Ý®Å_ú_x0008_¬?Í#]j&lt;1«?)Æ}Lµ?³û¦ÑV³?&amp;&lt;þHÇ·?|&lt;nq_x000D_¬?pª;ð?²?¥Ò_x0017_×²?_x0010_­ËO_x0005_t·?&gt;R²o µ?Å_x0003_g%W{°?J4ÍÔì¶?¾,_x0004_	ã_x0004_¯?ìµ._x001E__x0019_ª?0ÁA,éê®?°	ë´?.$áß±?ÒQëSú´?Ü­±#â_x0010_´?º_x000C_Z_x0019_U®?¸(Þ_x000E_%U¬?Ò4YIÒ³?_x0011_4_x001D_Ó´?Z¾Çµ_x0002_²?&amp;±ê	_x0001__x0002_¯·?_x0013_æ¢fA³?¤K:ÐÕ²?DìO8¸ì°?$_x001B_.µ³?ÈfT±²?Zª5{´®?ÒÅ&amp;ì­±?r­ä©´µ?\ãê®?%­^|2²?èùó½0·?¼_x000B__x001B_º	«?UíW&gt;G±?N_x0017_È§\'­?Ê´_x0006_sí²?àcuÇ´?_x000D_^_x0006_Øf_x0017_´?½ö¡Â~¶?ëÛAÀ×Q³?,S õ8y±?0°ã_x0003_to©?*_x0017_Ké¦?§?h#yÉö©?GG(_x0002_±?ðr_x001F_B_x001B_º²?Éæêì­?â_x0014__x0017__x0019_@¯?*ÁOP¸±?1¨®?©?ÖÖkÏ7·?I_x000E_É´?_x0002__x0005_r4ù_x0014_÷°?Ð]`?îs®?_x001B_êq¥_x0003_°?À	ËÒ4|µ?ÓòIrø(«?_x001E_*_x000D__x001C_[¨±?2¼0Üý¯?"]÷_x0014_Æ­?¼bgà³?ú3©Þ³°?Õn	x÷±?¨±QÙù¨?£3V_ñ~µ?«9_x000F_öt±?_x0017_¿Ñ;«?_x0006_ÝNr_x0004__x0011_¬?©R_x001E_ëÄ¸?ñ6#_x0003_Â_x0005_®?"à_x0007__x0011__x0019_³?%}[\_x000B_0±?_x0012_tpâÊÅ²?FàÊö#´¶?½|2Ý.¯®?ZWqL©²?_x0001_;~Ús_x001E_³?d¶îGÙ¶?B~+8_x0004_´?|yì_x0008_JE·?ßn®©6±?_x0011_AAht:²?¥~)ÈÐ´?Gû¥_x0001__x0002_§@°?DÇu_x0010_³T¶?Þl'_°?_x000C__x0007_Ê&gt;(I­?b¿Ù¨?ò_x000E_ßºì&gt;¸?J(`_x0006_%µ?¬_x0008_G_x001F__x000B__x000B_µ?&amp;o .Ëµ?²m^3îµ?2/YsÄ_x0003_®?Q9ôbv´?hò_x0010_a½·?z_x001A_Òtøü³?°âòLf°?rs Õ^´?h%@a:n±?pdõ¹a±?V_x0018_DÒy­?à._x0011_»Æ²?._x0007_Ó@_x0005__x0014_´?¦hÁ;¨?Û¤_x0019__x0005_$±?d_x0003_¯_x0005_j·?Xî_x000E_Ë³? /í_x0010_á´?_x0005_.IØü¯?6¬µ.Z³?\&lt;_x000D_»°?ÇÊfe9³?ì(ÈxÞ%±?JûÈt_x0004_õµ?_x0001__x0002_&gt;vÐ%°?(´Tn°?1ÍîÁ°?¤'©*ÄÇ§?Æéj,°?ÒÞû{\²?üð|ï¶¡®?_x000F_©°ô³?XÉÏÍk1´?*9&gt;÷æ_x0010_¶?îIÔú°?ÊZgôÆ#¯?]sÔnÀ#¬?y~ãQ´±?\	·_x0005_'j±?$Ù_x000C_¶?»\Òä­·?ãrÃáA4´?2fS³ô_x0006_¶?"H4ÅÄ³?üeò`Mè¸?R -ë¥?(·t©[ºµ?æÍìIÜ¯?í_x000F__x0014_Þ¬?°5S _x001D_¶?	n¶?_x0008_TúBkD·?_x0011__x0015__x0008_^Ç½±?&amp;5ü{Áò®?áM"ç®/¯?YT[_x0001__x0008_Z¶°?áâçDµ?°èL_x001D_z²?§}_x0010_ö²?¾Ñî]_x0012_­?áÃâ°ùw¦?Vçq_x0003_ß_x0011_³?R~É_x001A_H_x001A_´?_x0002_Ý¢LÊë·?_x0006__x001C__x0015_Ëè­?_x001F_2_x0019_ò_x0013_|·?¶_x001E_¼¶?jn/_x0015_­µ?º«êC±?êTlBÔ¯?/ë*ÂÓ±?_x0018_l»ûÄx³?ÊLÍ¥E_x0005_³?NlJjH®?ÁxI6Zâ³?n¹âmz×¯?__x0007_{ü:¶¬?s_x0004_\Ï_x0005_ï´?ZÞZC6J±?Ð£´_x001E_½¶?&gt;_x000C_3ð;_x0005_·?_x0010_)?ª´¯?r÷·z±´?_x0001_9£ð¶?p_x001A_²#b¯?gÞg§É&lt;±?VÈ_x0014_×À_x0007_­?_x0001__x0002__x000C_|_x0017_Rì¯?Ç=¬ñ´¥°?	}Ú¢&lt;²?A;}±?Ëç9B´?öÏéÐ¬?]ù2~h³?á|S¤¶?$º¯ê±?:_x0017_ú_x0002_Ûµ?Ð_x0003_gÇ"w°?|GBjÌk¯?þÏ¼-D°?(µÌ_x000B_¯ä§?xòx#aª?°wÔ¸¥l©?¹m7«­?Æf	_x001E_j³?_x0010_´aÇB¶?_x0004_®ë¡àv³?3U6s_x0007_-¬?ZSñ6a²?Ä_x001E_ýµ_x0014_¨°?°Á!5è¦?DMp\\´?_x0014_æ_x000E_¸²?½¯_x001E_·9Q±?_x000D_ä~Ñfõ°?üUÍ¿ø¯?â]M²¾¬?è"ò¤¿¼­?_x001D_ïÿ_x0001__x0005_Ó_x001C_¦?:_}Ò²?øV"hm°?_x001C__x0012_%tT ¥?_x0019_rÚ_x0004__x000F_é«?_x001B_G!h¤_x000C_¨?eé¸)H±?Ò*g_x0010_øYµ?;ðùn°?_x0004_|ð_x000B_$­?ÐcÝtS¦?fá^Uf¬?_x001E__x0011_[ðWý´?m_x000C_¯'_x0001_µ?þê*®?Ö_x0016_Z6I®¸?ç²DGXª?¢^ØÚ	ý²?¡!YÉ_x000F_±?b&lt;MüÑ_x0003_µ?	³&amp;1	ð±?Ê_x0012_M_x0011__x000C_·?úS'n9¬?ÝÑ ê$"¶?Ç_^'_x000E_§?j_x0018_T_x0002_ÌÇ±?-þI¾TÃ§?¶:×¢âË±?_x0012_éÞ_x001E_ä_x0006_µ?eJA·°?iºÜÉõ_x0002_§?_x000D_!}&lt;'°?_x0002__x0003_t|L ¦a¸?`º´_x000F_³?C_x0008_¤Ô±?nÊoö_Ê±?Ô°eæ'´?°gE¬²?/_x0002_âã_­?À¹ãâð_x0016_¶?_x0010_éÖ_x000C_j¦·?¸Y?$_x0001_³?Vä`hÍè±?_x000F_¥_x0006__x0017_l¬?¦_x0008__x000C_ûpÑ°?_x000F_Ò&lt;©:e»?oÝÄ_x000D_Ûµ?R[àE±µ?îm(º8 »?Çéf_x0003_º?ìMøÒ­º?©}"þ*%º?¸c_x0001_ß¼?=_x0017_láþë¸?E¢¼ø~·?QWéI@É¸?_x0015_E§ïpMº?_x0010_XÚñ¼¸?vIk¬º?&gt;þsÞX·?cìÂ&lt;ú¹?x_x000F_dÕ_x0019_¹?µ¸­¸?¡ ðù_x0003__x0004_|³?F¢_x0014_!xï¹?;§óDÓ¹?i­Ë_x0001__x0013_W¼?à&lt;ºZî·?Ú_x000F__x0002_ø_x0005_¤·?çáåè_x0012_!¹?ãû_x0013_ÿÁ_x0006_¸?_x0004_+_x0014_è¤º?Åz=Zµ¸¶?=¦_x0006_u½?¨Ø_x0016__x001B_¼?_x000C_ËzÓ#´?½7í_x0015_h_x001E_µ?\Ú-_x0015_p»?mZS©#ç¸?¿=@y_x0010_½?ªVBÖ:µ?_x0018_ÎIæ¹?_x0002_õ_x001E_ÈN¶¹?yÒÁ,ìÔ»?ôÂ_x000D_0G¼?\@©_x000E_F½?¯Ê;ÝB·?ÅÚíQ_x000F_¸?Ñsã=O¼?aÐ;	ô}¸?Ùez_x0006_½_x001F_·?!Ú_x0006__x0006_:·?øÚ]/#¤¸?ñ ¸þè¼?ã§Á_x0019_k¤µ?_x0001__x0004_}_x001A_Ö^0Ñ»?rn=M¯¯¸?@Zpm©¸?Ip¶´Î¹?7 _x0005_Í¾?ÿ-_x0017_é@}´?No8-¿½?_x001D_7Â­£¶?µ¥F_x0003_4¹?RJZr®µ?%_x0007_ÁG_x0019_4¶?GìPað,½?][ºVº?%_x001F_¡+2³º?¸·_x0011_Õ²?ÍJ÷tT¸?óU³9²¶?8_x0002_Bº?9Ë©F¶Ñ¸?ÎQy~§A¸?ü_x001A_ãÄÍÀ¶?ñ"Q^iB¶?îÚ·_x0002_ ¹?0Ò_x000E_w¸?­_x0004_%9¸?Ñðu°Â_x0014_¹?Ëïh¸8»?t´Ã³¶_x000B_»?Àµ¤à%»?_x000C_àË÷Fc¾?úB¯B{û½?ðòj_x0001__x0002_úX¼?`&lt;°¾Y/¸?6Ò)hú½?¼µùD©Íµ? ¯Jàã¶?_x000D_"á_x0007_(g¸?öf¿Vmµ?MÁÈê»Ë¹?_x0007_y9XÅö¹?ogD0¼?ÌçÔ´7K³?ìø[Z¿·?Û_x0006_`ßÇ·?Àz@lé¼?0á¦m_x0008_õ¾?'î©Ü¹?QãöHü¹?ù²_x000B_ñ»?F_x001A_`1µ?F&gt;&lt;ë_x0015_~¹?¢ßÁ¶º?-_x0012_àZáº?hF&amp;_x000B_ø·?¿(­_x001F__x0007_Þ¼?èß¢¹? M_x0017_ê¹æ»?ÚPyN¸?1]Ðø®¸?²u_x001B_kÒª¼?_x0014_,¥¯®k¹?Ê@Â_x0011__x0005_À¶?ÿÉæeF»?_x0002__x0004_B2ÿrß·?{ë&amp;æÞ¶?¥¨_x0013_¸_x0001_Ó»?Ñz0_x0004_ _x001B_¾?ÐÞÐº?&lt;tY_x0011__x001E_ô»?lI*¿³?o$\¶?a§u&gt;)j¶?xr_x001D_þøu¹?ôø&gt;_x0003_T·?6¹£»?s_x000B_;­R¿?ò¦{oZµ?_x0019_kBH_x0003_¼?`©»ÏP¸?}+_x001F_²L¸?_x000B_0_x0003_d­²?cà¾#Pµ?üî!D×·?_x000C_ñ6»­¾º?ÞKª¼¬¿?²2h·?&lt;ì¸Ù¼?\[^£VE¹?_x0017__x0001_Àã¼?vQ$ì_x000D_&gt;»?pyrDS»?_x000F_Q×_x0004_[Ü¾?.¤NU²e·?¬Æ9_x0006_,¸?}_3_x0001__x0003_Ù]º?(V_x0011_ùä·?_x001C_±ý²zÍµ?i\ÊG&lt;·?à±ÿ_x0001_¸?0q©º2¹?5Ôþ¡µ?p_x001E_&gt;_x000B_ëJ·?\ÛP_x001B_w¼?+_x0003_NN_x0015_-º?Ô~å1¸?²Kg±é3»?èiáæÎ¸?arïáó¸?»å;µ?ÁÒª&amp;Ø¸?íÄ01»?7_x000B_þG_x0004_e¸?QÝÑ_x0016_£ò¼?µ&lt;ØÝW3¸?ûÖÜ´¾?¦Cø«¾Å·?Áw+À¢å¸?~_x0013_:Fº?8_x0014_¬k¹?hÆ«M,¹?&lt;Å°ÄG¸?*¶S9»?}åã_x0008_f?¸?rÛ¶¦»¹¾?¹±_x0002_ðß¸?¯#ñ~ô»?_x0001__x0002_{¸Z2äº?tQ¨légº?MsÊ%.¹?éAóÌ½?&amp;¬_x0013_=Hñº?ðòàÊ#¼?_x001D_^¾²M¸?lÄ¶?þU5âA·?D_x0016_3õ´½?|tR×_x001D_æº?z¡FÎ_&amp;·?h$ÂM8º?~)ó)¥¦¸?ú½_x001F_|»?Ä¨R=_x0002_¾»?5Ó:ÓÈ9¹?³óD0Äî¼?*ahöófº?Dt£dê´?z#ôÓwp·?ý¢)]Ý¶?°:Ç§´?_x000D_CG½ZE¼?Ë$a¢¾_x000E_¼?:&lt;ôPb¹?°¹3!#_x000B_¸?ÚaJ_x001E_cP»?«ÀZ_x000F_·?Ã."-{º?¸Ä~Â#ì·?3ÏP_x0001__x0004__x0002_¸?E¢AÆ½?_x0017_òB4A¼?òûùs'º?¨é31½?'MmuVbº?¡_x001B__x0003_ÔÄ­¼?*©£ä9_x0014_·?uaÁWåo¹?_x0015_b3æ'¸?»_x0006_¹/_x0003_B¿?Rä'_x001D_î_x001E_º?õw_x000F_Võ·?î&gt;w_x001C_g¼?_x0001__x0011_l[3º?Y±ÿ*m´?üýüÄßº?Ñ¢_x0014_5»?_x001E_æÑØ¹º?òÞL{ÜC¸?«rc\_x0001_·?r#»_x0013_Ö'»?bªþìyz·?Ûí¡¸/Èº?Pâç3_x000D_½??_x0017_sÿ4¼?þêð]¨»?[v_x0014_\E!¼?¸­-»Æº?VL_x001B_`ôº?$ä&amp;.Ý7¸?ÂûÝj_x001A_v¶?_x0003__x0004_¿e»âZ¸?%s_x0004_ÎV_x001F_¸?ß=ê¾à_x0007_µ?¯2_x0007_LßÒ¼?ÿh_x0013_×¨?¹?ÑV_x0010_oc³?#IlC9¼?B95ãáV¸?_x0001_3[S_x0019_¸?4__x000C_¢a¼?J¨ú&lt;º?*$n?Ýµ?aº_x0014_ýä.¼?²Cþôz³·?ÂUl¬îº?+[âùOx¹?±ïìH_x001C_º?OÖóº^µ?Y-6b»·?Iü,ÀÇ\»?e¡×w%Ý¹?ã_x000B_ýÅÝ[º?Zr_x001E_Â_x0014_î¹?e?ãW_x0001_»? [VÊ¨Ó½?Ù] =¼?)µ_x000C_BTm¶?_x001A_a´µ_x001A_n½?ò;	â_x0017_¹?`à²¯9_x000D_»?&amp;&amp;·&lt;Z_x0002_º?Þ9+_x0001__x0007_Éú¾?Ë #%ûJ¸?0Ã0¢_x0016_1º?*ÎNjº?ù¯jz4_x0004_µ?P@KÙ¸?«\û_x000F_]%·?_x0002__x0007_­Ñ#i·?.ª÷_x001C_bó·?q#¹ÏÈkº?2	R%K$¹?ô?6+jº?ÇÛ¨då]¾?H«­¶E_x0017_·?í_x001B_ÛÆº?	ëS³._x0017_½?_x000E_`Hý3á´?Ê{_µÜøµ?_x0004_W¹..Ñ¹?×#ýÆð¶?RÑ_x000F_ñ¼¹?sX_x001D_hô¹¸?af¬L¹Ø¼?ë_x0016_Bº²¶?ðTa6»?yçËk_x0015_¸?Ñ_x001F_ç_x0005_µø¹?_x0006__x0003_÷t¡¼?wÞ_x0019_Á§_¹?_x0019_sð¹2¾?±_x000C_¶©_x0018_º?úñ_x0003_ÇÃ§º?_x0004__x0006__x0012__x0007_Æ&amp;À?_x001C_úÕH5º?ó_x0002_;¹¿Z»?¢_x0006_jc_x000D_¹?·HWü_x0015_·?b¹_x0016_³µ¼?ÞG'8²¹?ª~_x000C_]H¾?*Á£Dº?½7*y=ï´?¾U_x000F_t_x0019_Û¹?ì¥Î!_x001A_¼?Â_x0008_é:_x000B_(µ?A|6._x0001_¹?Íc©»7Ì·?þ_x001D_DTú·?¼ÒÞC_x001D_»?´*Ãp&amp;°·?Ér!bõ'¸?­ëú&amp;)·?²­_x001B_#Ò·?óp_x0004__x001C_¸?ÑË+R_x0001_º?[´Èè¹?_x0005_R©Pº?ï_x0003_7#_x0013_ö·?ëÖÜí_x0006_n»?_x0016__x001B_¤¶C¶?h6mõj»?_x0014_kÙ_x0006_(·?7N«r_x0007_º?wì_x0019__x0001__x0003_¶&amp;¸?®_x0019_´_x001A_»?5»SC­ù¸?_x0004_[=ü§¼?Â@Ò8Ñ_x001D_»?¾NÃ]ùL¹?©Ör¸_x0016_¸?¿÷»÷_x001E_¼?).ïe¹?D¯6¦à ·?JR_x0004_ 6µ?" ?{_x001E_J»?_x001B_¢_x0014_Éâc¼?Ê_x0011_`Ö¼?ÆþRnñ»? v£Ë!K¹?]t_x000C_"_x0007_·¸?)§__x001D_­¹?jGÝ3Ì¸?(É1_x000C_eë³?tFHÅê¹?]h_x0002_À$"¸?__;×»?:ßº	¹?!ÇL#_x0005_»?jÈÑ_x000B__x0019__x0011_¸?©à¤±®xº?õßÇ_x001D_êÊ¹?ÞG2ë_x0004_³?{ÍÝ&gt;&lt;¹?ÔI×T¥_x0016_»?NT_x000C_L	º?_x0006__x0007_¤9_x001F_µ"`»?³_x0012_È8_x001A_ü¸?F_x0016_©´*Á¸?"£_x0004_§e-¼?ÅÚ£è·?ô_x0008__x000F_Öêº?_x0003_r_x0010__x000F_¾?X_x0011_\é_x0011_¤¹?y_x0015_ÿ{¸?1^k½£^¼?ú)CÅ_x0001_×»?õÌiöçµ?¹q_x000D__x0013_º?ÌÉòÆ_x0005_¹?²M¢âú_x0002_¹?×¯ÈSÆ_x0006_¶?Ófà|®s¼?~sÈ»­í¿?-_x001C_â;þñ¹?1:8h·?üwµa_x0003_»?_x0011_µ{ÍN:º?³jÑóy¹?êÎ_x0017_äæ_x0005_¸?§»ïW,&amp;¹?ÑcÕY_x0013_¹?ñ£µ_x0016_¿U¹?_x0011_w·_x000E_,»?ûz¢qº?_Ë_x0012__x0008_ûÔ´?­­×r»?V£lÎ_x0002__x0003_é_x0011_²?Îzsv? »?MJòdàm¿?÷VðYc»?Ch/	¼·?I_x001A_ÃÝóâ¸?cwej	¾?_x0018_þê*_x000C__x0010_»?ö_x001F_à×6º?q.ö6B|¹?ÏE É»?ü«Þ_x000E_³¼?H_x0011__x000F_b_x0017_¶?» óz{ïµ?_x0012_èï¤:ö¼?a?_x001C__x0015_ÂÂº?4(û?{;¹?½þ_x0014__x000E_½?Âó_x000D_4W¹?=±ªA¹?S`_x000F_@k_x0006_º?²IÐc»¶?ìÇÕ¿û#¸?îÌ¬)¬úº?_x0013_8§©_x0019_°º?b_x001E_ÚB·?æSú+ç¹?q6_x0017_¯ý¼?¾_x0001__x0014_pí¡¸?gj³_x001D_Nµ?(p Í=°¯?|_x0004_ÊÙás»?_x0002__x0005__x0013_gUj_x0013_¼?_x001E_J£_x0004_2¶?JaÈz¼?î_x0016_7·?³õí\oR·?äÄiz:»?7È_x0002_¡°üº?ò]Do_x0018_¼?#oè³C]·?ÎXÆý_x000B_¸?åm\uz¹?Y_x0010_/è¹?Në7_x000E_»?ôA_x0018_sB¹?jå_x0010_^¸?1kT_x001A_i»?ZKVã Ò¹?R^Ø6»?j0d­E¹?_x0019__x000B__x0016_¾_x0001_¹?©Ð§´?ÛîtçÃº?³^õ¸?:íb_x0001_Í¦¾?®©_x000E_MÇ¹?í_x0013_8_x0002__x001A_ð·?Äë_x0003_Ãµ?_x000F_a¨$ò­¶?-sÃ].©·?°SÐCH·?_x0019_¦ãè¸»?~_x0018__x0010_Ò_x0001__x0003_Èêµ?_x0019_:oëÝ¸?@ìð&gt;^¹?X_x0018_í-t¹?Ó¼ænä·?®_x0012_nYØµº?»ü¡÷â®·?I¤üEm¹?#j9Íc_x0002_½?MÊYá_x0013_»?Ô¢(=ãº?_x0012_¼eÛ_x0005_¼?ý_x0019__x0008_þb¸?[^V3_x0012_»?V~¥,;_x001B_½?¢_x0001_8ö)÷»?¬@Î±à¹?S	P(¯u»?S»Ù¿¾·?µè@¥0Ð²?3_x0007_¬®ùÉ·?8ÁCè.û¸?þ[V_x0006_a¶?þò-ÔLé¸?_x001A__x0001_G¹ý³?»²Ð7Ãã¹?uN¥V@Fº?Yê_x000B_Ñß½?ìà3¢»? Ä ræ½?r)J&lt;Ñ¶?zWJE_x0017__x001F_¾?_x0001__x0004_± ·\r¹?®ùéþNÃ¹?´eé²;µ?Jò:¹?Ì5&amp;_x0010_ÙP½?ÄÎ«tqW·?_x000B_UÈ=½¨¶?½¯õ#±»?Má/_x0007_°¹?UÚ"LÊ¸?o¤PÃZ{¶?Ð&gt;õ_x0015_¸?½05º}Ù·?hí_x001F_÷«·?JNüX;_x000F_¿?kªûÁÑ_x0003_º?	±_x001F_°Y8½?P_x0006_ÉB\$À?_x001A__ÏGJÁ¹?o·óe4_x0002_¼?ç'w7ñCº?|cm&gt;.·?n_x0010_ää¸º?ÿZ¹ú_x0013_á¸?ÄaÏ_x000B_T»?;MÚ8'±º?_x0011_ÚKV½?sGÝ_y»?áT!êÁ¿?éîi_x0016_4·?j¼_x0004_û»?1UD_x0007__x0008_j¢·?fÔE&lt;V_x0004_¼?ÐhrT¾?T¿¥_x001F__x0005_·?èco§Å¼?÷%.¾.¸?_x0010_m3½?_x0010_óëYói¸?~*øÒäÀ·?Ø)¢rH»? ã-¶*¸?ügm¶'_x0012_·?»jÆÏ¸?Ò½_x0002__x0017_ùE·?_x000E_ËáqÌ_x000B_¹?¡j(uþ³¸?\0_x0014_Ã·?&gt;92·SÉ¼?]	6Ûº?_x000E_&amp;_x0012_è)º?bWýqsµ?Ç&gt;÷Ì÷¸?W¦Úvèº?_x0001_YÊ[Ú¸?¥`¤_x001D__x001F_0»?_x001F_HáOö´¹?\¬|*r¼?._x0008_Ã%!µ?:_x0006_pÉ_x0003_¾?_x001E_$»c¼¹?Hq@EÕ»?h1_x000F__x0017_Ì_x001A_»?_x0003__x0004_&amp;=l'_x0007_»?_x0014_óû_x0006_µ´? _x0012_W_x0002_E_x0006_¹?º¾ÛE·?l´½áÔ?»?ª_x0004_&lt;ÓòY¹?pïØ_x0013_¹?3_x0014_?@Ï_x001E_¹?X¡ß@¨º?1à_x000D_Ü_¸?Âei_x000E_ô_x0017_»?sdzé½?i_x0010__x0014_Ðþ«»?º´È»?¶_x0005__x0016_)4+»?7_x0003__x001D_ë¹?ÑðÝ7Ü_x0008_·?_x0010__x0011__x0004_8À?i:¡ãÖS¶?ÁL»z_x000B_À¹?9_x0001__x000F_³?´?%à¢9_x0003_=·?ÌW÷Ýûº?ðpecTpº?_x001A_G_x001E_·j¾?_x000B_³_x0012_ºAÈµ?Jm·Õ&amp;¾?_x0014__x001C_ÍÇ_x001D_ ½?±p´Öº?O_x000F_ÅNéÌ¶?ÆÐÖo¹?Á" _x0002__x0003__x0004_´¸?êüQÈÄ»?Ô¿èe½?sú¥|ò½?ùiG_x0011__x0014__x001C_º?¢yË¤ö»º?	º°*²H¹?G7xÊN¶?i_x001F_õ`Í¼?_x000C_ÿÖm·?ÆZ©);iµ?øWDo}_x001A_¸?_£æf¶?_eRY/Ä¸?=_x0003_§Ð¹?a_x0002_¥ì_x0015_×¶?_x0006__x0004_Ý?@_x0011_¹?J._x0011_°öº?HO##up¶?·#ÈX¸¹?ñ¾s3_x000D_·?Þ_x001D_Ûo¶»?_x0001_m_ï_x000B_`¶?_x0005_Iô&gt;\Ó¸?ê¶aR!8¶?nîhäÞ¶?èí÷âN¼?_x0008__x000B_B^/}¶?^Ò/Ôº?_x0014_µÉµ³»?Yô:Fÿµ?eÖ+gÄ¹?_x0001__x0002_&amp;);ÀS¸?m¼;uûn¸?P÷ÃJ_x0011__x0011_º?Í£Ú .&lt;º?e&lt;è»?PD3³&lt;´?CþK`&amp;ê½?h9_x0016_jÂ·?æëÙì»?_x000F_«_x0015_oÿÜ¼?ÃS_x0004__x0008_^'½?_x0015_m«@ú´?Fí%²¸?_x0003__x0002_Iw]Ï¹?¡=H)¶Ôº?lJm_x000F_x±´?ßR@íá°¸?¦yì¯wë·?Ñï_x0011_à¡¹?_x0008_	Ãó_x0008_B»?_x0007_DîM·?6æ¹íp¸?a e)à/¹?Jb£_x0019_7Ñ¾?èyöà[@¼?i_x0015__x001D_®2S¹?_x000F_Ï÷°ù»?Ù_x0011_¶Ã¢ÿ·?_x0011_³}òw0¼?ÇIÀ*Öý¹?T8®{H¸?¯Ó_x001D_,_x0001__x0002_u¹?_x001E_«Ëªi¼?%oÜ·_x0014_º?Vuº?Ãõ_x0016_lÄ¼?aã½Ìss¶?P_x0001_óÛÏL´?¢#4(§·?®HË¦¿»?þª¶z½?Ø:¹7^þ¶?ÙYËcu1¹?&amp;i_x0008_	Mº?_x001D_A_x000D_Ç_x001F_½?î"Í	¦ ¸?ïñRíÍº?bp_x0004_ga¹?Ýï_x0005_Yº?Í_x001B_6{Þ¹¹?É_x0010__x0018__x0013__x001B_¼?Y@_x000F_¯&lt;¸?êwÉÍY¸?;_x000C_Î_¨¸?:Üy4¨·?Î_x001D_FáË¶?Û[§_x0005_í¹?VÏUG¼Õ¿?¢ÌËújþ¸?N_x0019_'RÖ·?uÃÙüÐ¤¶?êO_x000C_z·?AJ²_x001D_'_x001C_·?_x0001__x0006_Ù-Ðë"³¹?f Ü¸ý ·?Ãlx»¹?$¸î_x0018_*§½?^¨.Êü»?=âúQ"»?M2Å_x000E_Ì»¸?ï4_x0019_½_x0008_»?%|_x0012_´G¶·?Øm!º?¼²Z{Ï_x0011_¶?Þý_x0004_e§_x0008_¼?c^,ê¾?÷_x0003_ _x001C_É¶?á§ãN¸?£=p¬=½?¥­^«+&lt;¸?Z¦-sÞÙ¶?®lY{?Ôµ?R_x000D__x0004_ù_x000B_º?{»eyÍÛ»?e3I ¹?9§_x0006_úv»»?yü1S¹?;rô_x0018_VÝº?1f×V_x0006_m¼?8ÀÈÙePº?Ä¿«ìr¸?_x0008__x001A__x0005_sd¹?±1K'ä¹?+oõdvÍ¹?_x0002__x0013_dy_x0001__x0003_»_x001F_¿?ë¤g_x001D_¸÷º?Ê_x0013_ýeC½¼?_x0007__x001A_ù_x0016_}3¹?_x001C_éDøë_x0008_¶?_x0014_ÿWoQ¸¸?zK_x000C_GÎ·?Û_x0016_ÁWz×¹?ÄØ¨Ïº?ª_x0002_"y»?¬"±ËºË»?	µ{ÅÈ¹?}Ö¹N·?_x000F_Ù_x0019_·W»?th_x0018_ê)h¹?_x001E_*Ácµ?jÃq_x0008_Ïº?÷ù¥«ÿ»?¦|_x0018_+_x0014_ º?W'6Û¶?	¡9«ÁÒº?hQi­x·?éW§êá»?õ±,OK»?_x0003_×íïiÛ¸?´ýü:±¢¼?±ë[ú¥»?êBqD\)¼?ùgV-ík·?ÉG}­lÀ?`)o_x0015_½?Ðí*½D»?_x0001__x0002__x0008__x001D_Ã?_x0012_º?\{_x000F_TRsº?¦æ)_x001A_cì¶?Ò_x0011_`n7É´?M«ï	ÜY½?ê_x001E_¿¤»?ÂÛá)¿?Gï/!_x0007_J¹?$Ù°Q_x0013_¶?Ð_x0017_\Õç_x0015_¼?_x001A_]5Q¹?_x0005_÷ó:b·?Ü¨Ñ×§7¹?¨=ÞÙ¸?þ+Ù³¶?»å_x0011_e_x001F_¶?ï9_x0003_dZ?º?ì®æÊ	¸?ì¸FoC¤¸?_x0016_T`¹=~¼?D¹s¶U¸?Ð)av¸?û4¹O®U¶?­cËô$¿¹?DÐ_x0013_c9c¹?G_x000F__x0016_ª.»?Ôhimÿ}»?Ôs_x0001_Ù_x001C_¹?_x001E_ÁöQJ¼?_x001D_Ù*dKÿ¹?üx%Us¿?ZÈa_x0003__x0005_b_x0008_À?Epi.d_x000C_¼?zaÎ8[&gt;¹?p¥\7_x0008_·?2_x001A_KõJ[¼?_x0011_æBÌ_x000F_¹?-ulß7¼?òwC_x0018_Tõ¹?àØ~q¹?½Y@õ¶?z_x0014_[_x0001_Ô+º?Qö4¹?&amp;7ÄYFuº?_x0018__x000B_¦/¶?_x0012_½2ú(~º?Xév*`_x001D_µ?GßRÃ»?SAÛ_x0001_+Àº?xäüöº?\ä´P»º?ç¶=_x0002_x_x000E_º?Ö'I:¨ïÀ?´wØÍ¹©º?æTKdº½?æï[Â-°»?³_x000C_Ó_x0014_Z¸?ÿ"_x0016_ß_x0001_(º?XÎ"_x0004_a_¸?vì¼yÐª¹?TÇP4§¹?!9_x0005_(l¸?ÞzD$ËË¶?_x0002__x0003_%#²2`Q¸?ºõÕÃÕÿº?©¶p¶¼å·?+Yÿ_x0019__x000F_¹?+&lt;ýcí¸?Ø\&gt;`Ul¼?__x000E__x0001_N4*¹?_x0012_õÜcÏú¶?(´Ñúti¹?*òèÈØº?Oéx_x001F__x001D_ý·?ôk&gt;él¸?KñÔ¥uì»?_x0010__x0004_,`û^º?ü@Ö+Q¹?êÌÐ½Ûµ?¹¥®ò$½?_x000B_J%_x0008_ø¶?´BåU¯¶?Ú;qÔ_x0003_½?)Ò_x0013__x000C_å;½?túH¸µ?F_x0011_â·?å§ªÄL¶?èô}_x0004_mq½?¾_x0017_|êdz¾?¥ãÖ_x001D_²|·?Ò0¶K·N¹?_x0018__x0002_×ê_x0004_»?t&lt;_x0011_áï¸?/`v½é¸?W´d_x0004__x0005_·?$eËº?xFzy³?b| (Î»?à_x0008__x000D_â»?B_x0013_¤»?¡¼áòIº?kð¿Sè'¼?«É7¾?_Êk_x0002_¸?TR§et¸?4_x000E_Òîúº?ª_6OÀ»?4Ãy±²M»?²P4_ªA½?8_x0001_|Ølº?qï4·?0õUM_x001D_nº?_x0019_q&amp;s&gt;;¶?ÓÕÀO_x0002_Ö¹?Û.l×d_x001B_¹?å(éº?È_x000B_T^[¹?_x0016__x001F_Õ5_x000F_µ?fé}ä*«½?ÉÛªQ'¹·?jhõ·?MÖÏ_x0004_Yk¹?_x0004_.Q!g»?b_x001D_¨%r·?h_x001B_¥_x0003_ñ¶?&gt;4ê¶?_x0001__x0003_{R'}_x0013_æ¶?_x0017_o&amp;8á_x0014_º?åÎcFoÅ¸?ÑfC_x0019_·?`_x000B_S¬fHº?_x0017_,Fãdº?_x0002__x000D_I_x0015_Ä^´?ô_x0013_ìòÅW»?»^oÙ¾­¹?~_x000C_ê%!ìº?_x000B_,Ywµ?ßÃÌß,û¼?¥íâoR¼?ª£bfaº?ë_x001E__x0010__x0007_k_x0016_¹?³§;mñ¸?é¼6äµ?2òÄ;)®»?vøÉÐ¼?:¦òº?_x001F_²ÉyÈ¸?ÀÜ_x0003_H¶/º?D@zÊÙ½?$)ð_x001B_(¹?&amp;G&amp;ÛØ	¶?{àÆ$_x0010_µ³?Ý\_x0019__x000D_&gt;¥¹?1_x000F_êÅ»?{XAÇ»Â¸?ÂÄ_x001F_L6Ú»?_x0013__x0003_DCÈó¹?X¼ÏX_x0002__x0003_ûm¾?97Õa_x001A__x0002_¸?Qy©dkß»?eK¢9z¸?D'_x0014_»í¾¼?!î?Êf¢º?ôîTËPTº?_x001C_Ûm6Õ¸?\,YF6´?¨Ó)}½?_x001F_×(;¶?)_x0004_§?ÿº?òy&amp;nÕ¶?_x001E_ )-K_x0010_¼?­£[XC¸?Ä&lt;ãõlº?4_x0006__x001F_©c?¾?¥ãn»Ù¹?¯&amp;`k]¸?ÇÛyðº?PË_x0011__x001A_º?_x0001_»	)n$»?øSo4_x0014_Sº?dÓÐ_x001A_H@º?$ N¦Éº?_x0008_ú*_x000E_ôµ?ñø_x0001_¤º?6ì_x0017_Ï·?vsù_x000E_jÝ¸?yCoX:¶¶?_x0003_+Â¿¸?¯Þ bÚº?_x0002__x0004_U*âY¶«¸?_x0004__x0017_)È_x0005__x0007_½?BøèF¹?k_x0014_j5¥_x0002_¹?VB_x001E_E)¶?_x0004__x0018_*G±å³?äNÇ0ü;»?_x001C_u_x0008__x0002_£º?Þé+dºâ¹?Â©ö_x001B_yH¶?à`}_x000D_Z·?0_x001E_vÝ"¶?µ¼9~#Zº?M7_x0005_t¶?£eEõ_x0016_º?A_x0004__x000E_À´?å÷Þ¯è¸?ÇO_x0016_Þ'u·?_x0008_|Õé^»?/?_x0017_Tx¸?ã¦Ç&gt;n¹¼?ÞZåÚ_x0003_Ý¹?3mf2·?ìMM¸?«ïmeX¹?_x0016_ê_x001A__x001C_¶?QáÐ*H6¹?Q_x0001_ªá©¹?__x001B_m:Äº?ü2,Ü1¸?NIéy_x000B_º?Ä)_x0012_þ_x0001__x0004_Q¼?¸_x001A_±»µ?¨#÷.ß·?_x001F_&lt;_x0006_þ|º?»ÓÄE_x0010_î¶?ä_x0003_º?¿_x0010_/X5¸?Ä&gt; 9Á+·?bÆÝ_x0011_$º?_x0003_ÁÊý¸?Ã(OÏ _x0008_¹?_x000D_q3} _x0012_¸?D&amp;æ_x0018_þ%¹?Æo_x0001__x0010_º?E££¸`½?_x0003_x_x0002__x0001_=ó¸?ç!&gt;_x000B_/¸?z¯pù_`·?×a­8)ä»?F&lt;Îf¸?É_x001F_Î´?ÊØ+½_x0015_´?Víælj±·?¤«,Iµ?¯¢õúb½?P»¼ü~¼?»38¾?¸)S_x0005_¾+¶?P_x0006__x0002_/Üè¶?àVP.ðJ½?&gt;È&gt;¾Ó·?!5Ç³Û·?_x0004__x0005_³Ù_x0016_9_x0019_·?&amp;_x0007_Þ¼õô¶?ódóvº?v_x0007_Nåóµ?Å&gt;Ñ_x001D_ß¹?Kcy#Ì2¶?ÎAÏ(º?_x0003_}ls¸?·aö²{¶?Iój½¬¹?CIFGµ[º?_x0004_Mí¤v_x0014_¶?_x0017__x0008_mÞ ·?_x0010_õª¶?K_x0001__x0014_ãø¶?Jµ¢èw·?Âj_x0014__x000D_ÓP¸? _x0012_âJ·?_x0006_æ_x0002_^_x0007_ø´?éö_x0018__x001D_Ö¹?_x0003_êä_x0003_ªÈ¶?þ_x0016__x0014_©Ñ¸?¶_x0019_\N_x001C_Ïµ?1]U_x0005_¹?lfEwR?¶?¾6!m_x0016_é´?±¬ñÎ§_x0014_´?}/_x0003_2~.¹?ú·__x000F__x001C_³?¶ã_x0017_æÍ¸?_x000B_=îæB6·?\é_x0002__x0004_­µ?òDë=É¶?¤6¦°?nÜmu×ó¸?e.$I_x0011_¸?jpP·?ÜQrà2»?×AeÏ·?ÍÁqê_x0012_·?[\²À^·?Õþì_x001F_³?m÷Ø)Ã_x001B_¶?_x0018_qèE_x0012_½²?²ì¾_x0012_1¶?ÿ¢_x0001_¡é¸¸?6Vyfy³?fÏ_x001F_Bx¶? B±U_x0013_¸?a½:¶?¾åZ/®?Ä©¬_x0007_¶?zJyM#_x0015_·?7æý_x0002_Ò²·?'É_x001F_Øn ¹?_x0003_"+ñüàµ?ðv¥M¶¹µ?ÚV­·?ø_x0010_ q[¶¹?Ta1"_x0016_¶?_x0013_ÿÞ¤ã)´?-ÜÁÝUÇ¸?Ö0{^@ò´?_x0001__x0004_&amp;_x0007_â	µ?I/JB9»¸?QªdÃK;µ?ð¤_x0016__x000F_e´?15_x000E_Âè¸?ÐiÆ»5³?ßJ^nÆ¹?_x0007_;RÆ_x0006_·?_x0010_í{	´?&lt;+þoøC¹?óv_ñc÷µ?ñ_x001E_]_x000F_»_x000F_´?_x0003_÷_x0014_éU·?£¡Æ}¬¶?T¥\ùvµ?#RÞ _x0010_¹?P#Î±o¹?_¶_x0001_vÏWµ?ÀRrú_x000F_·?ïvåV$¶?_x0002_´_x0017__x001C_F0¸?)zdÂù¹?n_x0002_ü_x0011_Ö¶?@DùS®Ó¹?A³_x001F_oT¸?­_x001D_O·?¡{ô_x0003_å´?_%ÎcÍ·?Ë_x0005__x0006_VM5µ?(+0&lt;_x000E_&amp;²?6cûl?¸?=­Åg_x0002__x0003_ë_x0017_´?^®ÏDé·?Bº=¼dµ?=\Å½[´?OY_x0011__x0004_ÔÔµ?ÊÕP&lt;W¹?Kù¨vú¹?ªV K9´?¨*3_x000B_¢²?oüD~Ø¸?û{GPhà¸?Ø_x0007_«)g¶?M^X9$³?i)_x0006_³/»?_x001A_Ã´ýÔ·?¦ºZIPº?¢«8ð×³?M	Ó¬e¸?qvÃàÊ·?XwÀ¦|º?y_x0016_ÚÈ¡¬·?=yC_x0010__x000C_¸?_x000B_ÿËRwº?_x001B_,f_x0001_=¶?¿^pJF¥º?ð7,é5.·?ì¸Tç°¥·?»iCH\Èµ?_x001E_w]åjø·?ª8_x000C_ÈµÂ¹?toäi8·?_x000E_jëËÆ_x0004_º?_x0002__x0004__x0013_O²ï_x0008_O¸?u_ù#«T¶?_x0004_Yú(ðµ?_x0019_Ñª:*@·?¤rÔ9¶?_x0001_càôøµ?¤YëhnY¶?_x0002_Y¶_x0012_¨t¶?KF)Ã_x0010_D·?[QÅÆ¶?·/:aéX³?ùð3ê._x0003_·?ÚwÙ"i¶?Ð;_x0016_aº?#(b¬T´?WÞ_x000B_ºB·?çfO}¹?dõM³?0/ÜX8Fº?(¢TÒu_x0015_º?¨,rÀÏt¸?[_x0003_©dVªº?îí_x0019_I«F·?8F¿*}´?8÷Â_x0011__x0013_µ?ÊøÃé¹?ËEh¥_x001C_¸?_x001D__x0013_mK²?ûR_x0019_vÛ¶?_x0014_êêì*·?Á_x0006_yqÙµ?&gt;â_x0003__x0004_6Sµ?=X×|¶+¶?_x001C_h!¨½¹?*V¦U_x0004_ëµ?ÔåçEu|´?ðZê&lt;L·?îÝ_x0005__x0010_½?+­&lt;=_x0003_ûº?,ÕüppÓ¶?Í%xn&amp;L¸?ô_x0005_#óõ=´?²ø®&lt;_x000E_¼?þ¼]Äl¸?_x0002_S*ßæ¶? jÀ%¸?²ÈyÛ©·?_x0014_ïtKÅ6·?v±':·?2_x0006_óà]¸?ñy~_x0011_è_x001D_·?Væ¸ø2¸?ßÞ+_x0011_s²?±@vüð¹?6_x0001_±®¥³?_x0013__x001E_¡*öL·?«?®G»?jYV|µ?_x0008__x0007_«5ch¸?=_«³?dü;_x001C_ªµ·?-XðÜ´º? Ü¦Åæµ?_x0001__x0002_ã)Àµ&amp;¶?iI Úûgµ?_x001E_T°®·?m%_x0012__x001A_UÏ¸?Ý*psøa»?~ ¼)¹Ê·?Kî_x001B_	­´?'_x000C_äÄ_x000F_b´?_x0007_Á±Ñk·?:_x001A_õT¹?61îþµ?_x0001__x0019_oww´?Òü_x001D_ñx³?_x0005_°øÊ@_x0004_´?GÈYA_x0001_0¼?ëÇ!·ø4³?µÿ¤C·?_x0012_×g_x0015_îH¶?®_x0012_Z¶?Ü_x0013_Ö&lt;Ïº?Ú;_x000C_¼_x0003_Ô²?øì¼i×¶?+LÙ úH¹?_x0012_÷I4î³?_x0002_YÈº_x000B_º?j4Õg&amp;·?#6P$O¹?£&lt;?Z_x0016_º?¿Å_x0003_Â_x0018_ã·?Ce_°µ?/*á	_x0011__x0002_·?E¹Q_x0003__x0004_Ò_x000E_¸?ßtD¿Lµ?ú	¥ï0³?wñ_&gt;6¸?EgO9Ë²?Ý_x0005_Ñ®N¸?_x001C_C±_x000E_Æµ?Ôo_x0004_Ï÷§´?_x0008_Be_x0003_qà¶?ªt#¹æ÷¶?`bg¢µ?X_x001A__x0018_q¸?TöîY_x001C_Ú¶?äGúò7_x0002_¸?Ô¤ôkP_x001E_¶?_x0006_ª~µÓ¸?_x0007_É9icê¶?è"Æ´?¢Ü_x0019_=_x0001__x0019_¸?z-³û³?»ôó¡ÃÁµ?}[x_â}¸?6CðÓÔÌ¶?_x0012_AS~'ñ¸?½¾ÈcßÇ·?dAì94¶?P\Hlhñ·?^e2Þ¸?nd;}Zá·?¸E_x0012__x0011_¢·?=!Vc¤tµ?(NÙ_x0016_ä·?_x0003__x0006_0V@¸?§yô¨´?3(¥_x0006_á·?;_x0005_íîC´?_x0016_ Ð¾º?N_x001D_/á_x0006_·?ßcê_x001D_nµ?n_x0012__x0014_fÇ¶?¸_x0019_ü&lt;z¸?Zå æ·?V_x0010_[kP_x001D_¶?kfpV¶?çÏËTi0·?Ì27Ùª9·?._x000F_YÜÝ¹?¾%_x0002__x001D_fº?_x0004__x0015__x001B__x0003__x000B_B³?*¯Ó$§¶?öD¾o ´?_x000E_p²«Ï_x0001_¹?_x000B_{ÛË¹¶?Q0ï%_x001D_µ?ÿ¹lxd~º?óÉYç±µ?/B^¾k´?wLåî_x0012__x001A_¸?j¤´úß´?_x000F_7[þwýµ?ö_x0007_Ñßº?R_x000B_H_x0006_­¶?_x001E_ÛÿvH¸?®Õà_x0001__x0002_lÚ¹?GßÇ×²_x0006_¹?_x0003_ØöÚòFµ?FMðzú9´?_x0001_ÝG"²?_x001E_Ç*¹ûµ?ê·ÈI_x0002_¶?_x0015_©È'Cµ?sâ'¶þ_x000B_¶?º_x0010_ÞNÏ¶µ?_x0019_§wx_x0005_¶?ÂQ±úÓ·?Î_¤[á¹?	h_x001E__x000F__²?UúªT_x0016_í·?]_x0007_	×?"µ?¿dv=å_x0012_¶?/6Ñÿ·?ÙÒÀ²)¤¹?úx_x001A_¨6º¶?	I_x0012_¾a©»?­¢ì»ê·?_x000C_Uz}ª¸?_x000C_/Þ_x0017_·?Ëögð_x000D_q³?ªÜq±ñ³?»pO_x0004_jº?lëªC@Òµ?QHå_x0001_×¸?P¨g+xµ?TIù_x000B_¿¸?¾æGî!F¶?_x0001__x0002_{õÔµ?¾uº`x6²?Èð_x0016_Ö´?¸Ìk-_}¶?¾­_x0010__x0003_öì¶?ÿ6M¤¹Äº?g S)_x0004_¹?KÕânT=¹?1À$Ë¸?H_x0003_I/_x001B_½´?_x0019_ûýtpµ?èCsY¸?¤1 &amp;p³?¥â¬­ápº?_x001E_©°·?ó_x0012_aæ¼·?ËãGþ³´?,`ã#îµ?´è5	`µ?©dÎî,Ú·?Ýe_x0013__x001A_Ó(»?O_x0017_&lt;Ø&amp;¸?Ãv/Y_x000D_ç³?½_x001C__x001A_îäµ?ì_x0007_³"Waµ?ê^Ö»?;c¸_x0015_Ï:¸?4á_x0005_ _x0019_¸?®_x0017_ü_x0005_¥µ?R¿â`úi·?ö¾f_x0015__x0004_Ñ¹?Æ_x0013__x0004__x0001__x0002__x0019_³?­_x0013_Öì¢·?Íoý²òð¶?¨÷ÆJq(·?Ü_x001A_ÝP5¶?ðGÉ|+_x000E_³?f®~ë}]¶?%Å¸÷_x0014__x0019_¹?nL®¬Â=¶?¥lêÀ·?¿ÖH5'Y»?Öoµ»I_x0018_¶?,N_x0012_8v·?)¤÷¶¹?_x0016__x000B_Þ2¸?Å¿Ñ_x0003_$·?_x000B_RÉ1¡¶?j5«µå!¸?Â}Y7_x0019_À¸?_x0002_6#¢Þ·?)x3Kí_x001B_¹?$i¤¸?º¼H¸?_x0001_p_x001A_Üo¸µ?_x001A_8_x0011_Ü7Ð´?õb¾ã­¹?g\t_/²?ÏfD_x0018_×¨¶?R*_x0016_Fw_x000D_º?`uõâîEµ?gðÜ1j¼?I6_x001B_bÙ·?_x0001__x0006_=âÌ_x0013_·?H~ßV_x0010_8¸?¥ýö"·\µ?b,Ú	¹?¸5-A·?ó(áíÒà´?=_x001F_²v@¶?	&gt;`_x0003_C_x0002_µ?ûÎ_x0013_	Ð¶?¤þú&amp;-¸?¨Yh_x0019_±Í¼?_x0018__x0001_Cæî¬´?ü?µX_x0014_µ?F¤U-;·?rÁÑy_x0017_µ?R(îx.µ?ØVJ¶?ÉÈá5U¼?;X_x0004_#_x001E_¸?f_x0001_ZûÅ_x0004_¶?8(ðëü·?òÅr5,¶?§õøúÜc¸?æcìâ_x0008_¸?¶å­D³?1k dÈ´?õ\¶r²Ùº?_ÒP©mw¸?_x001D__x0014_ñ²?n¦²;³·?_x001D_S²ôöF¶?_x0008__x0005_ò_x0003__x0004__x0007__x0003_¸?_x001D_jp¸º_x001F_¶?ê_x0019_¶¥¶?ià¸Ú_x0019_e¶?_x0005_¿wëç¹?.ö¸Ì·à³?_x0001__x0007_¤¹À¶?Im¨z¶?d_x001E_B_x0004_#¼?:·të_x0003_º?J&lt;_x001A_¹¿¶?nK&gt;Ú_x0002_Þ´?7g4B_x0003_¶?ÖÈ,ÌüC²?°_x0006_|WÌ¸?-óV?·?Fø!.Q¾¶?¶3G_x0004__x000B__x0018_¹?¹þêd··?sLÍry·?ø_x0007_&amp;°¾·?ä9_x0008_gJµ?3k'ªÂ´?±_x000F_áÛ_x0011_áº?7\ÿ'º?{¦;úpL¶?~7²Ý/Yµ?³Lð_x0007_zµ?vøëùà_x0007_¹?üVprð]¶?lq¶|áa¸?Á£_x0004_ZU´?_x0001__x0004__x0007_Ë_x0011_ÕÝí´?blQZ0Á¹?iëjÝ_x0018_»?_x0011_¥Å8¸?ÄªýB_x000B_´?y"«c¨µ?ÄGìÓ&amp;U·? _x0003_O»^³?*­Ò_x0013_Åµ? º£_x0007_Ò´?çDvL_x0002_æ¹?Tö_x000B_hë¸?yÄÓàþ¶?»³Ö ^o»?W_x0004_Ë³_x000E_­¶?­ _x001B_G/µ?wl:ï¹?àËõ¹_x0014_ü¶?NÒÝÔMÒ¸?.Íù_x0010_`·?_x001C_"o_x001E_Ü·?_x0012_à¾àÃ·?mêT_x0001_t´?NzFj_x0008_¶?	_x000C_¦~-ÿ¸?3°_x0019_Õµ?®SOÃô·?è±°rmN¶?_x001D_þ×y5U½?K-ÂÉ¤²?@ ¹´?_x0001_ÞT¯_x0003__x0004_ÕÄ²?öëzÒ_x0006_\¹?*7º_x0001_æ¸?vú_ÊôG¹?&gt;ÿe4u¶?_x0002_¤)|ðÝº?à[WæõÉ°?ky_x0019_a\¬µ?Ôô:õä¸?_x0013_û_x000E_÷ñµ?),ª¥½?|_x0013_Ó±?*Óo¦(¸?÷øâS_x001B_·?\òyë³?ØTDÕqö·?rÝT_x001D_[S¶?-.W°Ã¶?½¶¢µv·´?¤_x0013_­ìÒ´?Ó¹=dG¾³?ÝE3y_x0007_&gt;·?è`W.H_x0010_·?4Ü½_x0004_eK¸?¯¶DFDõ³?Ï Ì3"½¹?uÞ_x0018_Q[¶?_x000E__x0001_±´?çQp_x0005_ï¸?éU"«¬þµ?íB´h¹?Ú¦"_x0004_j¸?_x0001__x0006_,ÈÕ(½µ?û_x0005_p³_x001B_Ý¶?z4ÒÎd&gt;¸?"º?é¿C¶?Oá£Ã¶µ?t_x001F__x000B_?¶?±_x0002_2áF¸?°l_x0008_g&amp;Û³?ï­Ìé3·?_x000D_Ú¢@cj¶?¥î³_x0013_r·?W±5ê!"·?¸_x0007_|¢Ðµ?tK_x0011_,_x0003_¶?¸_x001A_\÷0$¸?¬mê_x0018_,¸? ÷Áü»¶?©ÐÄÁî·?K_x001F_C¿d÷¹?%Ä5¶ µ?_x000B_[=_x0018_Ö_x000B_µ?_x0002_¸Ýb¶?:Ëigµ?°¬LE¶?r¬mqý¶?~üúµ?_x0008_«t³?½q{°¶?øÆ4X~¶?²Ç_x0004_±üÜµ?=@¶·?_x001E_ß_x0014__x0001__x0002__x0008_o¸?naL£Ý_x0006_¶?_x0016_=õk*·?õq_x0001_µ?ê{Â_x0002_þ®¶?[OÐdÿ³?çÊFÎ¶?Õ_x000B_»?.D,|_x001F_¹?À{wf·?ÚKO×®Þµ?å%Ë&gt;§·?.&gt; %¿_x0001_³?d«_x001A_é¶?¶¸®&gt;_x0002_&gt;µ?(*»¤³¶?ø_x0006_&lt;,èµ?®\ÀQ®Ý¹?Æ`e_x0003__x001D_¹?=çµ¤9I·?!³¤¸_x0002__x001F_µ?_x0017__x0010_BÄ¤-´?dû!1à0·?¾Ï_x0002_y\6´?«s_x0006_¥µµ?ðí3ÎûY²?&gt;_x0010__x0019_Pç_x001C_º?TÛY¶ÿz¹?=Ë°º_x0007_³?îåÕ'_x000F_9¸?ìó_x0011_ãµ? aû\@¹?_x0001__x0003_ú_x001E__x0016_qîº?¥¾XÉß8º?|:")_x001B_5»?­é_x0001_G·?J_x0018_4póì¹?Á_x0005__x000F_;a_x0006_¸?_x0012_¤@Í÷º?9.Ö_x0002_[·?4¬§¸?D_x0002_SM R¸?¦eßÇNç´?ØC.)·Þ¼?¿Ëf_x001A_Xµ?K9fÔ¦¶?­ZT_x0010_µ?~Õöv\º?áA_x0001_ ¸?/¢Úèbq¹?_x0018_#*¸_x000E_¸¸?_x0005_Äm¤A¸?"áÀ_x001C_Os»?Dò_x0001_®EÉº?K_x0002_#0´e·?ã&gt;¬Ç¢´?+ÓrâûÝ¶?(ø|û_x0007_´?wªBýZä³?úËÞ³_x0006_Kµ?&lt;âWK~·¹?Ã!:µ?º_x0019_5ã_x000B_¹?Î^ÿ3_x0001__x0003_âì¸?_x001A_héÚ\eµ?_x000E_@"¬µ?_x001D_æ_x0007_Lc4µ?Üâê_x001C_á¶?§VcÏ_x0004_·¶?_x0004_Æ_x0010_ïty¹?OíRz¡"»?!}_x0019_ª&gt;n·?åJV­_x0005_7¹?Ä9ÿp7µ?ïÿ-]SB¸?&gt;&lt;æû·? -eÃã+´?ácxì}¹?ù~8^&lt;¾?Bm±ÏÑ[¸?_x0002_Û´_x000D_sì²?.áÙ_x001B_u¸?_x000E_i¯_x0001_§¸?M°jx)_x001F_´?_x0003_"d¢_Ë´?±B#î»?G_x0014_¤¶?_x0012_óß³­n¶?_x000B_mòÜù±?ÍZ-Uç²µ?_x0007_ON×ð_x000C_¸?TÑ_x000C_¶?Â|0êßÁ·?O)[ï¥¹?-¹qy¤q¶?_x0001__x0002_ÇÐõ_x0013_&lt;¹?Ùt	/_x0016_¸?_x001E_Õ3xL_x001B_¸?ó¼÷_x0018_Í_x000F_²?1øOµ?ñÆr_x000F_½Aµ?_x001C_a_x0015_u_x0003_²?ÊþlQ*è¸?Vp&amp;m[¶?Çê_x0007_,õ´?»¸úÆºB¶?ç3@_x0010_´Y´?ÓÕü_x0018_¢F¸?ë_x000E_öò_x0019_·?¶&lt;g¤OÍ³?é`_x000D_Ë1´?ýmÈOhï¶?u:¢F,·?Äi½÷D°º?é¤_x0019_S±?ZB­íÔÿ»?O5vUªâ¸?°êµÛû_·?[_x001A_àa.¤¸?oÞe#º? 93ëã^¹?ýþG)FX·?\+ô¥Ä¶?ë_x0010_B{{¸?á&gt;Ô]]·?.Uì_x0018_o¶?_x001C_ëÂæ_x0003__x0007__x000F_µ?ÕäPG,·?©w_x0008_ÐH»?_x0018_@*¼_x0006_µ?_x0002_r_x0007_ÈB»?ºí)-R·?´_x000D_Ñÿ¶?Ú_x0019_ß±?^i¸?Æ_x0001_X`§ó¶?2Îìï´?þ°½Tªµ?öI°ÿ¡¢±?YrÙ&gt;°_x0011_¶?Ûý_x0006__x001F__x001A__x0005_¸?K÷_x0019_YÀ¶?3¬ld¡¤´?2O#;±?_x0015_qXC³_x001D_¹?$`_x000F_n$µ?¤#ÙØH¡¸?W²{î*_x000C_´?íÐ²¯lÃ³?_x0012__x0012_×êúæ»?óvòû^¸?d¾³_x0002_U¹´?$ôr_x0017_ö0¹?_x000B_¨Ç&amp;¢³?ã_x0004_ng_x0012_z·?[Tt·?Ôè5øÉ¨·?wÂï_x000D_¹?_x0002__x0006_aÁ_x0008_We¹?_x0017_ZH4º?éte;Ò³?`_x0017__x0005__x001A_F¹?yX_x0005_ñ¡¸?4ÀÇ9jg³?È4ÅOÛÇ»?øqW_x001C_&amp;Ò·?8¡´þL¸¶?1«O_x0004_f¶?xm_x001F_üÅ_x0010_»?oSàR¶?*]J_x000E__x0001_Ì¶?cVÇ_x0014__x0010_P»?ÒÖXáp±?_x0003_ò`v#3·?KDÁ_x0010_a_x001D_·?äg¥l¡{·?À®?rä¶?ïÞ\_x0012__x000B_¹³?+Èe%" »?ÈúZ¯_x0014__x0005_º?_x0017_NAÿ	%´?._x000B_e&lt;L¸?^2_x001F_lµ?/_x0002_imÂÔ¶?_³Éó±¶?Éüµ_x001C_w¶?¡Úê_x0005_'ü´?ª'_x001A_ä[¸?µÂ4ì@¼?Á_x001E_êä_x0002__x0003_nL´?åý3ñ/µ?®:y¡±%¹?ôUáÔÙ´?Y_x0016_|$Sº»?Â.Ñí6õ¶?j~Ê ¶?	6Ù¶¸?_x001C_£¨³»#¾?ø4d_x0004_µ?Bvý^Éµ?jEeØû´?ú´Y§â%·?_x001D__x0014_¢Y_x0016_¹?Té~®Ãº?_x001F__x001C_u_x0001_àµ?z°k÷kµ?¦3ùÝÜµ?)«_x001D_=_x001B_Úµ?ÞIn_x0005_¡´?_x0008_Yj`ø¸?¢¤?ºº?^ý_x0002_Lô¸?sVgåââ¶?©õ?ãëÿ¶?Q6þ[_x0019_º?_x001D_5»³?Nêd_x0017_P¶?_x0018_"_x0017_=_x0006_µ?ó 2_x000C_éµ?_x000B_E|µpÜ¸?æE×³Âµ?_x0002__x0003_J_x0004__x001F_i_x0015_Aº?×+Û&gt;}Ç³?·&lt;_x0018_3£Ø·?âg _x001A__x001F_·?Gê&lt;x2º?BÂü_x0017__x0004_ù³?	Õ]A_x0006_´?`R¯|*¸?Óµì_x0001_·?1Å&lt;±m´?_x0007_*ï4ó_x0016_·?§wÿåàò´?S+u_x001A_t·?¼_x0005_Ãe_x001A_+µ?RW_x001D_8L¶?Ó±³¼º?ÜuwW¸?axãD_x0006_¼?_x001C_=³¡öå¶?NHmÅ±+¹?=©_x000C_SÚ§µ?_x000C_( ;qV¸?L¬fôµ?$ _x0007_­G´?&gt;µb:´?_x000B_J&gt;[°¶?Dø/_x000F_ø/¶?¥Ìþk×µ?PªÔÊ­¤¶?Ê!_x0016_Ô ¸?T_x0016_Õçû¸?&lt;ê¥¡_x0001__x0002_äR¹?,ýVH%º?'D_x0001_¼å¶?+Ìbg º?ìò¶£kK¹?´×_x0017_ µ?By_x0015_Å·?fVñ_x0015_2µ?_x0013_KB÷»±?3a_x001F_Ó}·?ÃÂ_x0016_YJ´?Ùy^ëÉ_x000C_·?·D7öQµ?)|xÙU,º?Üw\(A´?_x0018_§_x000E__x0014_h´?mßú_x000E_µ?0©,_x0017_62µ?±vÈË`=¸?Bs{u_x0005_~µ?¾x_x0006_á\¹?¯ê8¸_x0008_¸?²@_x0017_ªª¹?Àj&gt;j)u¹?_x000C_úë¯²³?  _x0018_µu¹?»)¯eHº?&lt;¥1'ÐÌµ?ÈBw[Ã¸?Ô¬_x001B_Bc¸?TÚ-Å¸?ç0Uò -¶?_x0001__x0003_AO_x001D_få_¶?[#[_x000C_¯·?_x0002_w_x0004_ú_x0018_¶?_x000F_=iXZ·?èÎT70£¶?_x0018_c_x0008_KßM¶?:í@ÿô²?G7xé+E¹?_x000B_Õî¡_x0007_(µ?´÷=íÃc·?pk_x000B_µ®µ?()ö¶?¾Õ= °»µ?_x0001_´UJ¶?'&amp;_x0008_¤Ï'¹?ô.)ö(^´?f_x001B_¢_x000D_q·?À"Øµ¶?_x0019_­_x0006_Ës´?mÙÏTº?í¾!©¯´?wwá²[ÿº?ç¹,Î3¸?G_x001F_·°¼²¸?fp_x000E_¡¼?Æ_x0011_6t_x0016_±?iê·£_x0012_º?H5_x0017_S¿_x001A_µ?ëS6_x001C__x0011_³?O_x0002_q^ô¸?Ê¾bêml²?lÔB_x0001__x0004_SO´?UòÜ_x0003_3µ¶??Þ?KP?·?¢ _x001C_`_x001B_¢³?_x000D_òcµ?ØòöÐ¶?Y*!KüS·?.îz*ìß·?ðãVazk¹?ÍÀýµwÌ´?1ühé¢º?ímÿT|¹?»_x0006_Òa·?ø)i¹?º@¶Ì)°¸?_x0005_³çVÉÁ¶?m¯£ 8¹?hQ_x0019_ ¼¼¸?÷ü³ÖÊ¹?I_x0014_mË¥Û²?Ð«_x0008_É9µ?¸l.ã·?Õõµ~B#¹?õ_x0010_PMè)µ?R_x0015_QK_x001B_Û·?onð_x0002_BYº?6Ã¯SD~³?Z,Eêzò·?#ØcÎ=³²?øº_x000C_C°³?dÂ*8¼·?qÃs_x000B_¦ù¸?_x0002__x0004_ð©Øzrµ?`_x0018_ùÕÕ·?¢_x0018_9Ö_x0003_¹?_x001C_NðÏ·?4«¥i²µ?LÀ^rÊØ´?jfÜ_x0007_	ì¶?_x0014_	ð_x0002_þ·?ÖòJ¿Úñ¶?YñÞbyµ?ÒqÔáõu´?¹f_x001D_½k²?ó(a´?_x0003_ _x0012_¸4+³?cPaÐ{·»?i&gt;§É_x000D_¶?_x0002_5³rr¸?_x0001_~¬´¸?_x0019_-èK_x0013_¹?ÊQÿ+×_x0007_·?cmoI´?(GÊ(ÐUµ?Z[F"Î¹?"'Î¡»?_x0018_?ÝR·?´_x000F__x000B_È_x001A_´?jQÏ]¹·?ó=ðö_x001B_·?_x000F_åØ²iµ?o_x000B__x0002_õ_x0010_¸?Üû_x001F_G³?µÉ'_x0001__x0004_¦_x000D_·?@,¼b¶?Ç&amp;ÓN_x0003_¸?a¨!_x0005_&lt;º?¾_x0017__x0013__x0014_È¸?_x0018_ÄXEë©´?y_È_x000D_·?_x0013_çÉ_x000E_1Ù¶?ww1®g¹?­ñÌ=÷íµ?_x0012__x000E_¥7¶?4_x0002_Kav_x0005_·?Å(ú ³·?~;¦bÝD¸?Ùô*¹?²µbO{)¶?¦,D³´?ÓÐ&lt;n6ý¸?_x0007_×,«¾´?_x000E__x0012_·?öl®~_x0019_³?_x0003_Ü/ªoè·?_|¥&amp;¸?B.fÝûë´?cÚIª·?_x0017__x001A_0_x0011__x0005_ú¶?F_x0008_í6à"¶?õ_x0018_ÉDs¶?8îZµ?_x0015_±Ú&gt;¥êº?°D^_x0017__x000F_¶?n9U#æa³?_x0002__x0003_Yc_x0018_}ål¸?4(#b_x0004_Î³?#èQºXµ?ó'¾_x0006_$X¶?«_x0001_Ç·?eºs_x0005_Q=±?¢_x0012__x0012__x0002_t_x0015_¸?âÁ ®¸?ï_x001C_ô Á«¸?{Ul¶?èÙc·,º¹?¹_x0007_·áá²?~)¿¯¶Á´?ÙæÅyXÚ¸?+fÍm·?&amp;n/Ì&amp;a·?	ÃK)_x000F_Y·?,ÐÍöp´?6]Áq¯·?ðÏÇ¸±¹?(_x000C_Qÿ;»?M_x0003_?_x0001_í¾µ?Ðx:]6°?_®_x0015__x0015_¹?Ö»;E2?³?ñ-¢AÌ·?© ¤_x0010_p·? |ù!_x000C_ú·?ïµZä.Nº?ñ_x0015__x0014_Úù´?eÈ©¯_x0014_¶?ñ6A_x0001__x0003_0a¹?ÓÐ³_x000B__x0002_b¶?þ,2ÁUöµ?¿ù1JS³?»~­_x0019_µ?¼3©_x0010_h·?Í"È2ÍC¸?¦´nô[·?®ò7.¤µ?üúFíÝ1¸?çB3§û¹?+@Ëº·?¹O_Pð·?®P_x000C__x0004_ vµ?Ùïçú°¸?ù Ý1¹?Ì,_x0004_ÁP¹?ë_x0003_7_x001B_É·?^"¤$&gt;º·?dïPg4¹?Ý@¸Î\!¶?ânº?ªrîD4Å´?ùÏT_x0003_Â¶?_x001A_Ä_x0012__x0001_#Ëµ?sÙ¹Î'¶?'&gt;çñÃ¶?¹¨í_x000D_þ´?yCßtõ?µ?b¿vQ_x001A__x000E_¹?¡s8ß@¹¶?¼mû2M@»?_x0001__x0007_ìúÐ¶;C»?i*Ó!!î¼?ù7_x001F_M4Á»?_x0018_ú°¨µzº?sæx»»º?_x001B_ã¡Kº?µR¡f+¹?,¬|Úy¶?~_x0016_,µtÀ¶?`eh?X_x001F_·?­v9iìÅ½?fAÑ_x0019_íµ?ûÇU/¹?Ì%L_x0004_tQº?º|®¨OÆ·?ú_x0001_ªoá¹?@6!ñ_x000F_»?á_x001D__x001F_&amp;¹º?ãÖª_x000E_²7¸?°Xþß-¸?X_x0006_ÚFü»?³w÷af_x0010_¼?nÛð&gt;=µ?%	%Ý_x0005_÷¼?V_x0017__x001D__x000C_/¸?_x000B_)äaì¶?GúÎæ.µ?_x0004_ybÕüµ»?×´Û¹f·?Î´Ô_x0003_»¸?_x0017_£­W^_x0015_¹?w_x0019__x0002__x0017__x0003__x0005__x0005__x001A_»?_x0018_ç_x0001_bFº?k_x0007_Õí¶?_x001C_0·µ?;_x0007_¯_x0005__x0010_¸?Ùd-»?EÁÎ»?_ª"¡¹?¡_x0018_àF_x001C_»?rJçÅ¹?éëÑúµ?óÑ®òVµ?_x001A_÷ØýÒ'º?L}õÇ_x0003_¶?Ñ°ô£°¸?Þaµ«_x0014_p¸?S¡_x0019_O_x0012_»?Ðw_x0010_£¹?÷S×S»?ê'Íéµ¼?æ_x0002_ÀêY»?ûð¤_x0003_Å_x0018_º?{ _x0017__Å»?i?3gµº?ö¯_x0011_ú`½?_x0012_ú_x0004_~º?V×Ä»Ì»?/CXøÔº?Þi±_x0007_i¸?CèiàÐº?_x0012_Ä?YLª¶?ó=_x0005_Ýï!·?_x0001__x0006_yæyð4|º?_x0004_!_x000E_ºÁ£¸?ÌÉ¹_x001D_èÚ·?ý)ÉÅ¼?f_x0001_oÕ»?ó_x000D_µÅ¼?Y:4_x001D_¹?S4ì|	¿¹?_x0016_Dä_x0005_¿É¼?$&gt;&amp;þ%?·?#_x000F_ÌH_x0011_=¾?aRw¯3¸?Ýµ ­¶?_x0006_._x000F_rX´?_x000F_ù|O»?]L_x0002__x001C__x000B_¼?á%jÎd¶?_x001F_=ÕSµ?ÑuÄ	7½?w'W_x0018_÷¸?6BØ¶:»?Ù¤$õÔ_x0002_½?:ìMX÷æµ?-ClÂ¶?E_x001D_@{3º?_x0012_ô_x0017_ùÐ»?÷º-U-ø¶?Ù3_x0003_8·?\KÉªº?_x0004_¥gHp_x001D_º?Â_x000E_@¸»»?_x0006_xÿu_x0002__x0003_ÅÀ?@N·jº?f_x000D_¿^£J½?ÍÎî_x0017_9Ýº?¯ð|	¥·?Ú2¶ºçg·?õ'6$ö¨»?ì},}¼?¿_x0011_c^bð»?Q_x0019__x0001_½ê¹?üûÚ_x0002__x0003__x0014_¹?	ÍÜëÇç¸?;Å¡·ÎO¸?	!?^º?+|)X@·?_x0005_lRÒ·ì¹?]uìÈ¶?Ì¯\*_x0005_ûº?`_x001D_uëNÔ¹?LÚò½?Üýì~_x0012_½?j_x0006_iÉz´?è½åÐ%·?¶$Þ\J¾?-å¥vc=º?²	"(5¼?xÚf«ñ­»?D}ïÊðµ?h=Ç¦Çõ¶?ê´¼·?§3é¼½½?ù:NÉc»?_x0005__x0006_%ûû¸è¹?ÞóÙ_x0007_s`¼?_x000F_Á[³¶?ÖXvb,»?[v-¯lß¶?6¿0_x0003__x0018_#»?ã?G0¼?P_x0017_ì×Ê¼?Ûj?»?íf¤Ð¼?Ô'úæu·?.l^?U·?è¼S_x000B__x0001_C¸?_x000C_Ü¥\·?¥uþy±$º?"úFqX¿?S _x0012_ãÙm·?Õã_x000F_8_x0006_º?Ù[C½w_x0002_À?Ë(Ãmj¹?&lt;¦He(Ü´?D¤ìñY¹?Å¹ÊZä+¹?îw[_x001A__x0004_·?ý9_x0015_Rì ¼?_x0017_ð`Á^:¸?ws_x0006_Úiº?wm¿Ð_x001B_|¸?øú°%µ?î\_x0018_²^E¸?C)ìR¦¹?$øÃ_x0004__x0008_¤»?&gt;ý´BÚ·?aÃôë¸?_x0011_8 nÍo³?=øîÿ¹?qp£»s¶?ýÞ_x001E__x0002_l»?&amp;*U6å_x000E_¹?_x001F_(4_x0010_|_x000D_¸?ÇY_x000E_²_x0015_3¶?5v_x0005_èTº?i_x000E_-_x001E__x001B_Ú½?®_x000B_PÍ_x0003_Ö¶?\_x000C_Að áµ?r.×c_x0012_»?ø_x000D_gÊ·µ?-m_x0007_m*g¹?ì+ÍáZÒº?_x0007__næ_x0001_´?ô$ê_x001E_¸¼?#_x0012_QpT¸?Ôn1{lo´?_x0015_¿±û ½?Ð_x0007__x0001_ér½¾?¢_x001A_ho÷¦½?}!,1×¹?²ròÔP{¹?Æþ¯ëÕ¾?7×{{_x0015_æ·?LÊ_x0018_µ¸?_x000D_á£ï_x0006_¹?²J}â¶¸¸?_x0001__x0005_­@2+·?ó\_x000C_+GË¶?°¹·«»?þÇ¨§Äµ?_x0010_·P4Òr»?Å_x0017_¤_x0010_ó»?ØÉ_3_x000F_/¹?gCÚÃáº?2a*á}_x0005_¹?Áä8'F¸?uYJ»?eº	»?0êÂjÓ"¶?è÷_x0015_kx¼?æ~PWð¹?ïGÊ®&lt;o¹?ô_x001D_BþqY·?Ù_x0002_ÖÙâ¹?_x0017_!©¤¶?gRì3ãÇ¹?ÚWÇQÕ ·?ï_x0015__x001D_7¿?ËªÎ¢Û¹?è_x0003_C_x0011_Ûþ´?¿v"_x0004_D³·?¬Ý3Å_x0006_»?_x000D_=)_x0004_»?«÷ëkoN¹?úe¶©²?_x0005_ßÝ	_x0001__x0002_º?ôÉ¸_x000C_é*µ?Iëã'_x0004__x0006_Ç·?5p10¹?_x001C__x001B_#h@¸?`_x0008_aBór±?_x000C_xâ_x000E_t¸?A_x0001_Ð_x0003_/¹?õÊÝX¨V·?j&lt;imµ?WKÍ+a»?ð	ùÿ¡¸?ËRÄÝKÿº?éúpÞ¹?_x0002_=/üOº?jË³SZ·?ONm5»?&amp;+|_x001D_y¶?Ó;IÌÕ¥¸?¾ê_x001A_æ½?Si3&gt;[;½?éòV¼ò¼?_x0011_A_x000B_¶4Ûº?U#êv(íº?X{ä×«_x0005_»?Ø}_x0015_¶z¼?·I_x0002_JÀ?_x000C_H0#J_x0012_¹?.kd*´?¹^¿hmS¾?±Ý%AÖ5¹?_x0002_W;+:_x0012_º?µ(òGÄ¶?_x001C_l|_x0017_5°»?_x0001__x0002_F¿NØ_x0002_q¸?_x0019_4+_x0019_Ñ¹?úB_x001F_»?Þn_x0012_u¦_x0003_¼?v\¢Bbº?lì_x000E_¼?é¦è_x0008_ä¶?`ëÅi_x0010_¹?_x0008_ÝS/N·?ox_x0002__x0004_ -²?Çwÿ+Ó¼¶?¼½Ûè¶?£r_x0005_Ëñ¡³?ãì1O×¾?Y¿_x0004_E£¹?·Jq_x000B_O»?â©õå`º?Øó¤x¦¤»?°³nÏ°e¸?_x001E_£ k+êº?º_x000B_j?gP¼?iKNòÆ¹?&gt;L0ÁQq¹?¦Ì7cù¯¼?mÀG_x001F__x001D_p¼?ÛÏbóØ¹?_x0018__x000B_ÓÑ7¾?ØÑ_x0016_$¼?fùÊ¥_x000E_[¸?¥Xc_x0005_×äº?øýaæ×)¼?xgU_x0001__x0002_ô¢º?kzSM_x001D_$»?º_x000F_O_x001C_¤Â¹?xí$D±¶?Éì¬Æk¼?_x0008_h3³?_x0014_¹¹_x0014_µ?ü_x0014__x000B_X »?zmÔOº?kl1Â±"¹?Ê_x0008__x001B__x001D_6ôº?_x0007__x000B_P_x0011__x001A_º?Ã$è_x0017_·?"E?8´?SÝ×ü_x0015_A¹?ÕÎjÃyµ?úI1ÿeµ?Ì	_x0013__x0001_:¦µ?võ_x000C_¡I_x001B_¹?&amp;_x0013_EOï'»?Ò#ðÂ­¸?_x000C__x0012_Ï_x0015_·?bPrâTa¹?½ª_x000E_p'·?w]ÄSTç¸?~Ciêä·?ô+étº?Û_x0010_&amp;aV¹?¾2×)_x0001_¿?Þ/_x0017_Í¦%»?*fd¬·?Fu_x0003_­´»?_x0003__x0005__x0006_D	ø·?ã_x000F_¬~Ã=¸?8Õ_x0014_Öá¸?_x0018__x0014_Báô_x001F_¶?¢3_x0016_æ_%³?d´áðH¸?ä;$4¾?Ïµ´§ÑÀ»?@ÎÈVÆÎº?_x000B__x0008_|ØÙº?Z_x000D_¦T&amp;!º?Ôß_x0004_0%Õ¶?£1ýùIã¸?ª*Z_x0005_"è·?Ëü$_x0002_á¸?_x000B__x0013_~´_x001C_·?j:UUD_x001A_¶?n_x000B_¯_x0007_Q¸?,Ödè}·?}_x0001_m_x0013_d»?Þ^B·?)&lt;T*i¼?Ä^_x000F_]M¼?N_x001C__x000D_î´e¼?¨³Phº?rãõufRº?Ü3#`bó¸?_x000D_·ñ9ô¹?,x«Í¹?ËÛ8#?¼?uH¥M7¼?Þ_x0004_Û_x0002__x0003_ö_x0018_¼?_x0003_lXUØ»?Ù&lt;³«*.¹?¾_x0008_8|yl¸?_x000D_x#üôÎ¸?ìÿ_x001C_y!º? Ùß©_x0018_ÿµ?2½j.·?#º_x0008_Z2º?G_x0018_)âU¸?a·y]ÏÎ·?ð%¤Îª¹?¶õ_x0014_ºg¸?=_x0007_"M^&lt;»?õãJ°¨¼?3_x0019_û¶?Û.ÈØ8èº?kÐ%1¹?áÌc¶d¹?_x0010__x0013_¶/º?ì÷êµ?Î\cÐ_x0012__x0001_¸?Á_x000D_p_x0015_4»?]mm¹ø¹?%ñaÙ¶?F¡!þ¸ô¸?h¶¿×#¼?[íu_x0004__x0017_¸?_x0002__x001B_P_x0005_ð¸?E_x0016_¯äÇ`µ?ú,ÕKz½¹?Í1Ågü¹?_x0001__x0006_ÀÕËÖ_x001A_¼?Éj_x001B_â¼?w6_x000F_ÓÖ_x0014_»?ü_x0007_¸&lt;Ðx´?Ì&gt;!_x0002_T¹?¼Z_x0003_¹?*©fÎCx·?_x0004_S?_x0018_¤¶?îZR_x0005_.\¾?Qá$[ù¸?vá\lDo½?_x001E_ø¤"_x0013_¼?w/_x0010_f÷Iº?§¢¼ÌGµ?e[³1»_x001D_¼?G_x0011_w.ùs¼?ð_x0010_B~~¸?~õÝZªÁº?\mO5Ç·?ºÁÇ¶?DÙ/_x000B_]þ»?tM_x0019_×"I¸?rçgÉ;=¶?|ê_x000B_ód¿?	.4_x0001_K¼?³ªÈ|_x000B_»?_x0002_AiUVvº?_x0008_îXX¶?ÍÅ·?_x000D__x0017_U_x001C_MÝ¸?_x0011_E¾x½?_x001F_%X_x0001__x0002_È¼?éx -.Êµ?Ö÷z^_x0002_b¸?UÁù¸û*¹?_x0001_'5&amp;é¸?-{¤"+iÀ?_x0015_©o)àº?|_x0008_l_x0012_ý6¹??y×¸?û_x0002_zª¼?á_x0010_"cIº?´Ì _x001A_û7º?_x000E_õ¥c5:¸?XO¬­Èº?³|_x000F_b¦·?qB_x0010__x0010_¶?ëÊzé_x0010_º?ªV&gt;ë0»?_nÁKë«»?_x0008_¿-á(:µ?pY_x001C_âtD¶?oýC±Å4¹?&gt;Ï;÷r¹?Ó%M5;¹?_x0015_[Õîÿy»?MGóÎe½?Ñ½1r_x0013_òº?#º·4¨å¾?6@EHp/¼?·«w_x001D__x0008_¼?_x0017_³ÊH_x0014_Ô¸?)Ý×¶¿µ?_x0001__x0002_]û&amp;ñuº?²JW{/½?&amp;_x0014_M¶_x0010_b·?¹ )0·?ã_x000B_Ím"º?þ4ºª3·?-¢ö ¹?^óBZü_x0007_µ?ß¥ QQ¶?,ñùis¹?+Ë9v¤E½?_x001D_g§'¬*½?'4®¨À·?¸_x0013_÷»_x001A_º?gk9½_ º?×½&gt;*J_x0008_º? _x0014_ÏE_x001C_?¸?[_x001F_Î(&amp;¹? àý;Ýl»?_x0006_E¡úÑµ?ê(_x0004__x0006_ÛQ·?_¢¶czDº?¯Ò¤À¶?Êÿ¸Òî»?¤[´T©´¼?ÿ*_x0010_hOÌ·?Yîmxê»?ÕWÛ¼Çü·?ñw©L~¸?£(½U5ºµ?off	a¾?_x000B__x0007__x0014_7_x0001__x0005_ûï¶?âmæPæ»?]CdÀ±_x0013_¶?p=¡_x0012__x001E_¸?Ö¦_x0016_ÿò_x0002_·?_x0011_/_x0014_ÀÏ¸?D[cJ=U¶?¤c©¿M£·?ù¨Å&lt;ãz½?Rî[!hWº?äàmð·?nc*ÿ=Þµ?åD	?_x001E_º?^\QFænº?_x0003_Éý©m¹?'¨ ¥¼?öÈÂ_x000F_®A¿?Ð:}i»?öâ_ú_x0019__x0004_¸?Z_x0017_GdÅ_x000E_º?UØ_x000D_ð½?D¹61²¹?dO;8Yº?á_x0006_üü[\¹?ÙiÌðx¶?þÜÛº?_x0001_,_x001C_2_x000B_ï´?	wÅ$ñº?,ÅÎ¿?ìÅ_x0008_© °¶?»â#n´·?^_x0012_C u(½?_x0001__x0002_#,ÜÏ¹?la¼~¹_x000E_À?}-¥ÞVY¹?ÚñÆä«U¹?¶Üµ-V½?Gä_x0013_â½?X_x0019_¬»¹?»¹ñ'	»?Mo_x001C_zË¹?®Gè½[¼?Kß¾Ø·?¥.¬åë¶?é_x0006__x0017_»?Z_x0005_öró½?N	µ"kö»?@VãÞê+¼?¤º{|=Þ·?ø_x0017_ìõ_x001C_¶?/×Eõ·?D2è§G¹?u½¯è@º?ÛÒ~XdÈµ?¼;øe®`¶?_x0012_(cf»?ê_x0002_¿zÓ·?Äg_x0018_~.»?&amp;r	_x0002_¡)º?_x0003__x000C_Þ_x0019_è¨·?Éb¾Y'¼?_x001E_Ú_x0013_s¸?üa_x0013_c¹?f4åK_x0001__x0002_ædº?¾ÊÌÖ:¼?§_x0010_×_x000D_E;º?u8_x0018_öîh·?·º?d_x0016_.Ý_x0005_{·?¿­¤b._x001C_º?¾ÛÊÇá"¸?_x000C__¸8¾·?RYp+ý¶?D;|Ó¶º?_x0019_Õ9Al·?L{sØ;D»?ÃáÌeX¹?_x0017_V5t#Øµ?÷p_x000C_+¸?KÀ_k&lt;¹?_x0019_)r×É5¸?Kgõeâ»?úmW»VÙ´?@ +ÃAé¼?²[	&lt;|¶?)±W|`ñ¸?}*±­·?ûð|øE÷º?±V_x001A_º?Ú­J_x000C_a_x0008_¸?DÒ_x0007_C¾_x0011_´?Cl'jD¼?Ý_x001E_àcÝ·?01pt·?_x001E_n_x000E_ìe:º?_x0005__x0007_°Ì_x0001__x0003_e¹?y3ÍãAu¹?VÓ©V_x0004_`»?_x0018_ ÝIÿ¶?:_x0012_s¸?Ó6[tÀ¹?(mõqOÇ»?^_x0015_zÖ4º?a¥¢JÝ1º?&amp;D*¥|¹?)"!_x0001_}d¸?ö²_x000E_Éö·?)2ÅÖ¹?c/pòêû¼?¬Û_x001B_$D¸?ð_x0014_-7»?7f_x001A_Öµ?uÒ{_x0013_¬Íº?_x0002_Ì÷÷C_¶?CD+þµ¹?âóWî9}»?7LûùOY¼?ö]n(÷Á´?ÐÜ$.{´?x®tW¤¿?°ü_x001E_]_x0008_¹?]qißó´?NV¡¦u¹?²[×n_x0013_¸?"_x0019__x0006_oâ_x0005_»?x1	áê·?fn_x001B_b_x0001__x0002_üB½?ªw¾BÌ¸?ûÝ_x0017_L¶?4×óàíº?©ªW§¸?Ì!iµ?æ[Ý!ä¶?F×/Ü_x001E_á²?lÕ;zy¦»?_x0002_Cj$Å¬¸?Þê_x000F_dæ¸»?ó_x001C_£$¯ï·?å)þ¡_º?É¿yðÇµ¶?0öÒ?ª¶?}$-ÃkÁ¼?_x000B_ëÖÐ! ¼?þY'ÿ·?ß*Òqbº?_x001F_kWå_x001E_B¼?.!_x001A_µÌÐ·?M,oûa¸?w°r)0¶??æftJ¹?l«ÐqÕ¼?+_x0019_OôÅ»?×^¡Ñ¶?h_x000F_h¹?_x0015_Á_x0007_º?ç_x001E_å¾_x000E_Äº?¦Hj}^Y¶?Õ Æ°±º?_x0001__x0003_°ÔcÆUz¹?x§ç³®xº?y)!¸?ìæ_x0018_z$L¸?Àíqôµ?ª"x^·?=AÅ"Ì¼?_x000E_¬y..e·?ÀøÅ)Ð¼?_x001A_òx_x001E_i_x000D_¶?­Å¶5_x0018_µ?_x0007_¢¤ô_x000D_¾?~CFI6º?_x000C_ß,/.··?_x0002_»r_x0013_Ò]¸?BZÃù¼Ú¹?¥÷HD_x000C_¡º?òú¦³6·?ôÚ_x0002_Û¸?£j|óªµ?n7Äù´¹?¯î_x0017_a¸?))FÝ½?)·_x0014__x0005_ïà·?_x0011_oÃûÓ»?pOm%ãS³?ug|W7$µ?&lt;_x0012_¼~_x000E_ýº?¯âø5ú_x0002_¹?Þ_x0018_æç»?väpLø´?±üp_x0002__x0004_ £½?/~MÇ-Fº?¥_x0006__x001C_ñ_ »?&amp;_x001B_3¾¸?G¦äN·_x000C_½?»¹B4x¸?a_x0006_7²ü_x0014_º?òÿ¿-+_x0019_¹?_x0006_4_x000D_1÷»?fS&amp;ørX»?]_x0001_ÿvØå¼?_x001A_tµ|_x0010_¾¼?Dü u¬¼?P#¿X®_x0003_º?{¹ííº?3ßò8¹?ò_x0010_G7I¹?ØÅ×ØH·¹?|X/(p%¹?ô	Ésº?µÝF\&gt;»?¶¬,ò©¿?_x000F_ä»?ÌÉù_x0012_?µ?m`W_x0003_m¹?QI¬_x0010_qº?_x0017_Z_x0016_D¹?$òv¥2¹?pÔ¿3¹?_x0016_]à)_x0004_^¹?1Fn2ø_x0008_·?»«Åjz½?_x0001__x0004_Ó_B¾»å¹?õÃoY3*·?J_x0003__x0002_ÇÕ·?ì_x0011_^ó.º?ñT¿h_x0019_¦º?&amp;Fý_x001E_äº¼?_¤Ú¨ß¹?Z 'ÐúB·?39ÞÜlR´?­æ¨d_x0006__x001F_¾?_x0013_Í¢_x0001_Ä_x0015_¸?íiWhMö¹?Ñ°ÌZ¨G·?2æ*¥Éü¸?a!x5¸?0_x001C_ä0zÛ»?_x0005_|ûS\'¸?Ò_x0008_U¾¶_x001E_¹?÷ö0Ñ¹?_x0007_¬ª¹lº?ÆC£ÿ_x0007_p·?v#ý¬_x000E_¸?×ÖÔæã_x0019_·?£É°R^¸?_x0002_SÆÚ¶?%rÒÀ;_x0019_º?_x001D_­è$±_x000C_»?ü(_x001C_óÆ_x0002_¹?_x0013_Ã` g»?Xv B-¾?ùÕ-@ò¼?­ùuâ_x0001__x0005_ò_x0004_½?&amp;¥ßñ¹?h+ ··Kµ?áüáåÅ[º?Ó_x001D_c{õ¸?,Ó_x0008_*¸?£¶_x0001_,d©º?jÈ_x0007_Ïy¸?¬ä½_x001C_~_x0003_¸?m-oÚÂÝ¸?_x0015_4}Õdv»?I_x0014_.­?W½?,ô÷d+_x001C_½?ODy¦8Þ¶?ãÁ)4_x000F_·?ÞÙÆÕj&lt;¼?Î_x000D_8â·?+BûÐ¸-·?­fðì»?DåI¤°¯´?¦_x0003_Gú=º?Z0l1~Ê½?ÕÈ a0¸?Èm_x0002__x0004_^Q½?6Èhi!±·?_x000D__x0006_«HhÍ³?«Ìõ{á¹?_x0014_ãÜo_x000D_9¶?{¼L_x0019_4§¸?¹õË_x0003_Ä·?£	|¿«_x0016_º?f_x0002__x0003_ì_x0016_Ñ½?_x0005__x0006_oóGÙE¹?_x001A__x0013__x0019_b]ç¹?oÒ½_x0002_=ß»?"Ü×cÝ¼?_x001E_·)íÉ¹?moxÑn¶?(G°§jM·?_x0001__x0012__x0019_Fû¸?Ú¨Gf½?6_&lt;Ö~î½?_x001A_DÐ·§W¼?pÖ¸ ¡î¹?¶ò@!{ãº?_x0018_»C_x0008__x0003_¹?®õi_x0008__x0002_Öº?|}Áy"k²?~héµ ¾»?ô&gt;5®×º?jÄÔB_x0006_½?¹[´«×+¶?ùà_x0013_Ò#º?h_x0014_I_x0004_s·?XÄA]Ê·?_x0014__x001F_ËÃ¹?ÇogÔ¸?J(÷L,3»?_x001D_G $_x000E_w¸?Æ_x000F_Ü2¾?ËÎ]¢_x0006_ä¹?À:^q÷_x000F_º?¶ñð_x001E_¾ã¶?¾¼0Ï_x0003__x0005__x0012_©¹?Ë:%I¶?_x0015_ä°WAQ¹?u[8r3¯µ?ERíÅº?ßQk!ìL¹?a__x0001_&amp;»?@_*ÏÅ¹?µû_x001E_T.ÿ½?ë»ùOj»?5Òª!R¼?èð¤(Mº?_x000B_å0bÆ\»?eIrüÂ_x000B_¸?@_x000C_æ_x0004_óÎ¶?äî_x001A_Ìw_·?|k×Ô¹Ò¹?ÝTªÈB_x0017_¼?T½ùþ_x0001_.º?_x0014_+¥D_x0010_·?_x0002_&amp;( væº?E_x0005_ªê¨_x0003_¼?~§Âïþ¸?ÌÔ_x0002_ú_x0018_N¸?¥_x0008_îLô¶?f_x001D_²ö}¹?NpÑUk&amp;¸?D¾_x0003_P¤¼?[ØdÈøsµ?}"Ï_x0005_¶º?hÏQQk_x001B_¸?	gZ_x000D_	_x0006_¹?_x0004__x0007__x000D_{ËPï²¸?ýQû_x0002_úº?&gt;¥_x0006__x001E_J¸?õ_x0004_-_x0001_*»?~m_x0012_h_x0004_R»?5(.Gá_x0004_¹?_x001F_j_x001D_C¡#½?%Î9sÎ¿¸?_x0001_úòõYn¶?@]oÊ¹?­_x000B_Ô_x0005_¶?H@Ó_x0015_I»?þNdo¼?í÷¢Ô¿º?:3@cQ¸º?_x0003_ß-I1»?¿K%å¹?_x0011_b^ ´º?}Vì¢Wº?ÃPC§¨¸?VbÙ°¶¸?K_x0013_Ê¶=J·?7_~Nv¸?Ã{T©½¦º?_x0002_þ_x000F_p_x0019_x»?ð´ËþÎò¹?N_x001D_ô¸?O]8ºõ¾?'.(ËØÃ¸?pI'_x000D_º?_x001C_Õm;:(¹?ù_x0019_¦Á_x0001__x0004_ñ²»?úÇ3ëê´?½h_x001B_Þí¸?~±*µ?M_x0018_[Ó«Ñ·?ëj :,º?Ùû_x0004_å¸?Èº«n¸·?HZsYV»?_x001F_&lt;ý;Hª¼?^_x001C_L_x000F_'¶?&lt;_x001B_3_x0012__x000C_·?þ'Å9vÐ´?\ iã³?Hù_x0013_Ó ¸?ô®uÌ_x0008_¼?_x0011_êàBfº?5W_x0017_¨·?'¢_x0018_,å_x0017_»?_x0018__x0002_CQF®³?ÏÑÚ1Ä$·?íZI&amp;ø&gt;¹?ZýXês·?é_x0003_û7F¼?SßI_x0001_%¸?Q_x001F_hV&gt;´?¡¤jÏd»?ú_x0005_\_x0002__x0017_¹?ÖºeÉù¹?&amp;KñØ÷»?ËÁ_x001A_6¡»?aüê]Y¸?_x0002__x0003_±&lt;"&gt;¹?0Joï|¾?¢w_x0019__x001B__x001B_¹?,O¤_x0016_g¹?51_x001C_3Ù»?ý_x000F_ N¤Ô¿?û°*mSo»?_x0010_èfþ¹?ÍØ#_x000F_»?_x0012_-E£²{·?ê5GÊ¾?\¨%E_x0015__x001A_À?j_x0007_¿Êó_x0005_º?¼ý_x001D_[/1¸?SlÞA	¾?hG¯6o_x0007_·?WB£ètx¹?{_x001F_ofÇßº?XÌz`Þ¼?ñ'f%Þ¬º?-ëNØ¸?$¢_x0012_º_x000C_Ç¸?Z¤õp¥ý¼?;ÃûÈÌº?_x0019_RqéÁ¸?ñÍ_x0001_w¸?}6u6P¹?_x0005_µÊ/ù»?!k³ F»?_×p_x001D_ã!¹?_x001A_lZ6,¸?k»_x0004__x0006_©T¸?_x0003_÷W_x000F_öº?G_x0001_Ì·cBº?_x001A__x000E_qZ¼?ö-sÔ¤¸?2?³Ñ_x0011_sÁ?_x000C_ÚÃ_x0006_À&gt;¶?´GÝr·_x0016_½?_x001D__x0005_'¡×¼?&gt;WÏ_x001F_f¸?û_x0014_ÃdP§´?;|þÌ%¾?í§¦d²½?5XG_x001A_n¸?ÆÞÏÈ»?$¨._x001F_=M»?çU»_x0014_\í·?T6÷î¼½?þÖ	.²¾?_x000D_B4B×Êº?«îNðÁ³¹?t¾h:_x0017_®½?ë.·ÅÕ¸?î¸ÿ¢_x001C_¸?`my_x001D_ch¶?L_x001B__x001D_á}ø·?Ù_x001B_=&amp;¨¹?&amp;wxÓ¾?_x001D__x0014_&amp;½º?_x0002_ûY¯?ª¸?ò\3ÞKa¼?¯"®Îy6·?_x0002__x0004_¥¢_x0004_¢}ù½?±=^**º?×F%°_x0017__x0002_º?ç%_x001F_¦`½?b\Æß¹¸?6.2[ÑÕ¹?_x001F_ÚM,¯¸?u ©kº´?5Â?+_x0016_Ê¸?·â_x0016_¤¹¹?_x0010_Ø_x001F_&gt;_x001A_­¹?âa¶é_x0015_C¹?_x0005_Gi6er¾?ùë´4ÛÁ¸?_x0015_ËU|½?-&lt;x;1_x0007_¸?Ã:_x0012__x000C_¹?_x0012_¡é_x0018_¸?U_x0001_­º?UÈ&lt;Áùoº?÷.lo6½?C¼_x0008__x0017_	¿?t=_x001C_úlð¹?t|¥ÃT÷³?ê45Ë_x001A_¶?¦²_x0018_tO¹?¤¶K½¯¹?gWþê°Æ¸?#ùãërº?_x0005_îç_x0014_ës»?átü»t½?_x0003_Ãàï_x0002__x0004_RË¸?Õ?ðùlwº?åö_x0014_HÝ½º?_x0013_ÎJC®¹?l¼2A-¸?ºí/Èð_¹?ú7õR¾ß¸?+/æú¯º?Îs»ðy_x001B_¾?òº_x0012_9êE·?è¸pwF:·?&lt;ï¶¯·?ÿ&lt;À=¤W¸?×±ß_x0012_8»?Ý_x0003_!V0Çº?FÅQM£_x001F_¿?dÀZ¿æò·?Mþ¥ßû·?i_x000B_ÿ¢3Ò¸?_x0012_+Í¹·?%_x001E_Ïc1þ¹?½»Û'Äq@_x0012_6_x001B_LÌ¤p@Ê)¤3¦Zr@_x001B_ªÙòòs@BJÕ²Õt@_x001A_â_x0015_Á5_x0001_u@jq!_x0003_js@"ö¾p@«_x0017_ÇxÖ)r@ ¾'éÔq@_x0018_.¤¤ên@_x0002__x0007_0Q_x000D__x0004_í+p@Ô^tµ_x000D_r@º_x0003_î_t@'-äÔBp@ ûCâ_x0004_8t@¾GcÇ¿q@_x0013__x001A_Î#ÄÙn@_x0006_Inµio@"­"@ÅZr@&amp;wÞ_x0014_Ýq@xþ_x0015_ý¨q@äîÂùp@ñ¿öóJr@"T«_x0011_ÐÑt@C_x000F_¥_x001E_ú"n@å"?§Èt@:µ@ÍÉn@_x0010_Múo_x0015_ n@úêÀx¯_x0014_q@Åþº¢qq@Ú) Öõn@Ãðþç]Kt@öA	êÏKq@eb0¶bs@[&amp;£ñÚ¤o@ãêÄ¸qq@_x0003_ÿ3_x0005_-n@Í#Ü_x0001_,¿p@èåá¿M½s@ú_x001E_8b¸_x000B_s@ØIÉ_x000B_Ur@_x000D_úJ_x0001__x0002__x0005_t@ê;à.0q@HÅÌ! &amp;p@_x0002__x0002_¤ë²n@r\ÊÔ­p@&amp;¡M_x001F_{o@ÆîvÑìhs@pj_x0004_E¯äp@Ò=_x001F_¸Õr@ñÈÿ´q@E¤vùûªt@Ë ´÷_x0006_Du@zç¬gÃu@ÆNÓÃup@«Øñ_x0004_,r@_x0002_e|êp@Ý_x0011_ª²_x0016_³s@&gt;Ü«_x0003_8q@Ý_x000E_x7Ç&amp;t@jbêûs@8ª|g+zr@sÖ_x0003_Íòq@~~_x0018_ ap@Ï/ÃBa¨q@¦Gªþd¯p@û©`Väwr@^_x001F_Q_x0014_ÜÖp@ÎLý_x000C_q@Zå~Üs@_x0016_Æ,_x0013_?Ír@_x0018_Á6töq@H_x000D__x001D__x001A_äq@_x0003__x0006_Ú_x000E_â¬'s@ö_x000B_?z_x0010_Jq@úe§El;v@^þ_x001E_çxq@Á3_x0004_8}o@CÂXàDp@FOR_x0018_Rs@èG~G_x001F_Ót@¸Ì_x000C__x0005_ðÉp@½F@fQp@MøË_x000C_¹)t@R&amp;:_x001E_î»p@¦q	_x0019_s@)	üL~Éq@éÇ"þA_x0001_q@N¢Ý_x001D_p@c ©¾¥t@(F×ÌÒs@À?_Fy»q@[«_x0010_V_x001C_wq@R/¤kur@ãewët@._x0017_QG&gt;Ép@_x0006_}ò_x0018_¬x@À_x000E_My_x0007_ær@À:_x0007_ot@Æ3¼pt@à»L_x0012_»n@h¾4û@co@ßÊÝ¾_x0012_s@ê_x0002_±PL"w@úZ©E_x0004__x0006_Tr@H_x0002_UQör@V«²_x001E_r@_x0014_7_x001B_Õ½q@ðO9mq@¸_x0006_kYQt@¶_x0015_à'*Qp@Öuí_x0019_Älp@µü¼ÿlmo@ëC0{Ôs@6áçÁèq@Ó Ê_x0001_nw@`¿úAÍu@åH|M.Eq@õF_x0015_Ì"p@fÈkÛsv@õ®#4»s@VF_x0010_¡Uær@}ÖE_x001B__x001A_r@_x0005_7Öµ^$o@øù_x001D_q@åú~ç¨p@­×Vt@E¸Jts@Ê_x0003_X_x0019_³@p@Ñ©_x001D_¼s@^½§ãw2q@ã`¥K¬ùu@mÅxÆðêr@Áå\Ru@6?°_x000E_|!r@*â6ÔFt@_x0003__x0005_n-cÅ°r@`;,v(_x0002_u@»ÿr@jVT Ï¼p@[_x0019_õ!ËÚq@uvump@PLªÒËq@_x0006__x0001_¡à%t@_x0003_ÜSã%ìp@Õ_x0005_Æ0íïq@Ð¹´_x001C_òv@.^å ÷q@`ò»àvn@öykYQs@¦1	*Íër@ÀÞ5Zzo@ÎKz¾os@ª¹)Â$o@c_x0006_Ï¬§r@_x001D_k½dOrp@JUú¢¥m@_x0012_Ú£ç(p@£ü|÷s@}®_x000E__x0001_`u@eÙ¹ÿJçp@@_x0010_ìëíq@íûm_x0004_×l@rIzÉ&lt;ks@H_x0018__x001F__x0008_g~o@æÒ_x001A_s@Cìàã¿r@)ïký_x0004__x0005_j~p@#ÉÞ_o@£dËØýs@à®óºjps@Í?}Ç­öp@xaMlJp@ÃöæuCdt@ð¸E9ÇIl@Ó_x001C_Ñ ù:q@Ê8_x0001_._x001C_s@B|ý^×l@Ã³#Å_x0005_^t@OyG 8t@0_x0001__x0016_&lt;n@£_x0012_côv@#ÂC'_x000B_âw@Ò¤'_x0011_Ë®s@Õû­Ó?q@Õ_x0002_ü_x0008_Ïq@vS_x0003_»7u@3r8s;_x001C_r@¾!Gë·ýn@]½Tq@º_x0002_vÑý/o@2¹e\_x001D_q@zË§Æ8áq@psÚSû&gt;t@-~²Ê2k@ú!q¤_x0008_s@À8®Þdt@úØ_x001C__x001A_j¶r@ûë4m_x000C_æp@_x0004__x0006_þR_x001B_Jy¯q@pòS7Ãr@íU¶Ü×_x001D_r@è#¶2t@úÚ\_x000C_m@Ê9ìÐdss@¹ð/_x000F_q@ýöûFp@]$_x0014_ûíór@ÊÌ,Gµut@Â#2_x0005_£n@_x0004_â;_x001D_êos@M±;ñAp@µÚswÊ/v@Ö&amp;´pñ¢q@_x0008_º¦il@£íkÊo@ÓÚÂ_x0001_ïr@?ØÀ¼tr@ú	Q¤_x0002__o@è_x0008_FÇm@û#ÀãoÒr@_x0004_uÜ_x000D_rj@_x0008_u´)ðr@3_x0003__x000D_POr@ÃW_x0017_0à5o@Þ_x0013_õjëÍg@è\m@í¶ß_x0012_¨r@À Ü|tXn@ 7_x000C__x0013__x0012_dm@*;	`_x0007__x0008_PWs@zù/¨Å,n@ÚW_x0014_Ñõ#u@C4sWOr@H_x000E_sõ=_x0017_s@?Äýï6q@Fæ¼®³_x0014_r@_x0005_7Çþ_x001F__x0008_q@Ü"_x001A_ a_x0004_q@R'ò×òÓr@_x0010_BPn_x0003_t@¶Ø³¯{r@MÞTðMs@jYÒ_x001B_®Ir@úïQ_x000B_&lt;@r@«/TgSq@X_x0001__x001D_dpv@±î&amp;o²s@(æ_x0002_æ8Åm@jN9Ýùu@_x0010_ü.GÑp@* XñSr@u_x000C_g_x0002_P6p@ðë´ú#,s@å­/_x001C_Qr@/~th²ãp@2ÿ-·¬q@ªÌ&gt;­u^s@­I_x0019_µÿIt@õç"Ê*t@_x0006__x0019_5zÃ_x000C_r@µç_x0005__x0001_äBs@_x0001__x0002_Þ|}òòÁq@s_x0016_P·"Åi@ög_x0014__x001B_´Mp@ª_x000E_Oyp@_x0006_º¤Äl@F1_¯å_x001B_v@@~ø?µr@0-fís@¨I_x0006__x0019_MAr@vËVr@¦½nM»s@_x000E_Ëï¯o@S_x001C_¶_x0005_}Þr@_x000D__x001D_&lt;ðq@ó6q@zVr_¬u@Kù+7¿2u@VÒ_x000E_Coq@ ._x000F_ÇF u@Î, àp~t@BËÜÛ_x001C_8p@_x001A_M@s@3å¦Èu@È_x001D_àztp@³ÝPÞÅor@e­~XGr@Øz[,o@]1§yq@ã_x0004_koâi@óÙAÃ_x0016_up@ªÃVCq@K'_x0001__x0002_lôr@xU!_x0005_Üp@v64¿r@ ÁêKz»s@ýðÍãúám@@*êv_x0001_Èo@u¨;/_x0017__x0005_r@ÅÍñG:n@í8î2_x001C_¡q@1d_x0007_ZUp@n_x0019__x000D_æ­þr@ÿ@ºDÞs@VÜ_x001A_2²Yq@r]p@ª_x000F__W"r@_x0006_fuïíDq@­Ã_x0008_ês@Ð_x0016_&lt;_x0018_X¦n@_x0012_&gt;×öætr@8¸EìDs@@C_x001A__x001F_*u@_x0006_0gø?s@_x0015_ _x0013_6_x001C_q@ý_x0003_©3Îs@±L¬	q@£ý5_x0003__x000F_o@Ý;ØÕs@°_x0010_AK_x000E_Øq@ºØ5_x0003_fh@ðÄx_0An@_x0002_h}ìÉiv@È@ß9gªr@_x0001__x0005_C½Lb_x0002_r@â_x0019_¡iÇýq@ã¦dÌ8p@_x001A_7×f|4o@Ê_x0010_ÆØr@X&amp;À®*)r@Ê¶Z1k&amp;r@Æ4v_x001F_Cn@µtéGp@DT _x0016_Ó_x0014_p@«.Bp@_x000F_¹EVs@_x001C__x001B_«_x0004_ap@-ËÀ"t@È_x0015_»Ér@îâÝëOt@`å»³©»t@õ6æ q@³AªðÕr@mÓ½_x0015__x0003__x001C_r@6´_x0002_o±¡p@#m_x001F__t@ÆÞ;©õs@ÒIãiu@&amp;_x0015_é_x0014_Êr@ÊËl_x0004_¾ûq@%·ÀGp@ÕØ®µ_x001C_¶q@à¿@Hs@ºFùgj_x0018_q@_x001D_8Ðoöo@iA_x0017__x0004__x0005_4)s@¨sí_x001F_Äâr@_x000E_+Øíq@ÒYÂ&amp;r@Y_x0017_å¤}p@_x001A__x0003_&amp;Ät[u@¸_x000F_h_x001E_Q_x0010_u@n-õ¾w_x0010_r@edeªs@zZ,Ö-_x0005_t@êqñHp@c;0¿â(u@Nìwùl@j_x001E__x0002_ß_x001A_q@Å_x0017_O_x001A__x001A_t@JE±_x000E_ý5r@ëÌgjmbo@|=aãªp@û­k )r@hÄÖ+Wáo@¶:Ø_x000B_q@hbe±Ðk@ øÅ£_x0001_Gp@°&lt;¸¹ëds@C_x000E_hõ_x001E_:r@#íÓü·t@3ô;x_x0014_t@öÞ_x0011_ûgLl@ÚV~Àú;r@_x000D_OïÌr@ÍN©¥û¢p@ºÕG%\o@_x0002__x0006_ éû) s@!A[XKq@®_x000E_|L)Üt@þÇJ_x000C_,r@[]_x0001__x0001__x0003_¥o@ý.S_x0001_è*l@_x0013_á·§xts@]ãP@D_x0001_r@bÜ8_x0014_füq@N_x001E_KÂr@_x001A_Ú0_x0014_zp@E_x0005_©t7`q@&gt;YÖâ)Îs@	u#ùÈo@VD¯¢¼n@:ÑB)v_x000F_v@ýI(u@j_x0002_c»zRs@º_x0011_@ã¼s@jµ¬jo@àýÖll@_x001F_¯l1q@Í_x001B_!s°Ûq@^äÑZ×{u@_x0015_dú Ãm@Hky_x0011_p@Ctþm&amp;kr@KPËÊJr@]ÝÙR_x001E_u@µV&amp;Ù_x001D__x0004_o@Øsm_x000B_,Qr@¨&lt;ê_x0008_	h"p@ûî%téür@5ÌZ_x000B_s@öv¤þr@Ð_x0003_æCçp@_x0016_&lt;öl_x0018_Õr@Mg"íap@b2¹CÇap@SðP!;r@JûA_x001E_&gt;ºr@-7Àns@_x0002_e_x0011_£«ên@Uoõ²úÊl@»Å_x000E_x­r@HUùÏot@v-=GcÔo@,Îq@Ã_x001D_nÂ­t@Jy_x000D_&lt;T&amp;s@õî~~o_x000D_z@k&gt;i÷_x0001_s@Z/ûr\Av@P_x0010_l_x001D_¢þp@=¼]hÞám@_x0007_ÿ_x000C_¥¨_x0006_q@H\Ü_x001E_¸_x001C_t@t3(_x0004_9÷p@ p·=ñm@fÃEZMs@ÀÇ_x0005_»Z_x001B_r@{mlÌ_x000E_×q@_x0013_]¸¡QYn@_x0001__x0002_x_x0005_¯r&gt;tp@~!_x001C_ãr@^Ñaôê±s@Ã_x001B_2uiu@_x0015_rÞU3'r@ÕtG^TIs@pCg¹Ibr@ÓÏ{*;Ûo@«{K9ªq@¾_x0010_ûGê¼p@Ý_x001C_0­J_x0016_t@f[_x0013_¬i¡o@_x000D_çô~_x0003_ÿp@ýO¨³rÍq@àË_x0008_}$[k@°ÓñÃ_x0011_r@«à_x001A_Á_x0015_îr@ ?é[¼_x0018_q@£Z&amp;_r_x000C_t@ýîþÁ¢n@_x001D_oÂ±q@_x0013_92ôïo@êB_x0016_Ät@_x001E_ëæ$È°q@áÉ¶¶´q@ÐÀÍ ×ãr@x¾Ì69q@_x0016_b}mWïn@C¼´à®p@ Ó\üåk@í&lt;ªôÄ6o@3üÚ_x0001__x0002_s@2PÄ_x0011_Áp@e?^Æøq@ªª¼6m@_x0005_Ø¼Â°¤q@¶_x0007_e6|u@Î5_x001B_ì]p@8_x0019_¨t@¥ÄÎºät@&amp;Áã­r@Î1zzq@ý'M[*æq@]Ç9~t@ª+ùØÄ±q@ÃÔÚwäq@vX§Ê?«n@«ª_x0006__o@Ã_x0010_QÔEHp@ÈxN-n@Þmxê»s@Íù°_x001B_¨u@êÚ_x0003_þú]q@z6_x0004_r@m)þ,_x001A__x001D_t@ÒÌ_x0013_û&gt;t@£_x001D_uLxz@3¥ñÂÛp@F¨[;_x0007_?r@à_x0014_¤_x000C_t@òn: r@_x0006__x0017_ð	s@À3_x0003_þút@_x0001__x0002_òÍ-÷«q@mæ:Ã_x000F_s@ãÁî^s@R~ü³ûn@þ·9ìr@fÕ	uP)u@°_x000D_«XÝs@ªc=îÊr@Km×ªwp@¦ÜW°p@Í²ôt_x0007_m@_x0013_ýÈû(îr@3öÛÝðq@Bn¬Á_x0017_Tq@¨~9å£o@V/ê&lt;p@z{»ëV§o@m_x001A__x000E_çþr@ëõp_x0018_¾_x0003_q@º`?cOp@¨¹_x0006_ìc¶r@¸Ô1p@Ãè0:¹s@`7eÔ;r@«©(Ë}s@¬KÁóq@_x0002__x000D_²_x000C_o@®\ 9bq@²Ý_x000C_Frôp@=yú_x001D_ßq@9°1_x0017_w_x0007_p@^ü_x0006_Ö_x0001__x0002_lq@Õ$òÏm,o@¥¥EÔVq@Ãu_x0004_áko@_x0006_ú+KM_x0019_t@V²Û&amp;ö_x0011_q@ô½/\;p@0ölp_x000E_ör@]eå®°_x0011_r@#¿_x0005_h!o@_x0008_ÄV¨_x000C_Ör@_x0003_f}²Rk@_x001A__x001E_¾nu@c§_x0016__x0001_æp@^_Ê¤_x000B_p@ã£_x001C_(èÛq@òÁ¢$Út@uñ_x000C__x0016_&amp;p@ZlÂ¶þÝt@ø(_x0018_¨¹i@ª¶7þr@ª_x0015_ßvõm@Ëè_x0013_~Åp@íH¨¤7s@~oã2ºr@°ª¼Nr@ò_x000E_ãq@®Á¶¡Bp@¾Ðóu@Òq@ÓG*[ýÆr@ù_x001E_Ê9#t@bV6#Q½q@_x0002__x0005_@+_x001B_ÖÊgs@ýrjkQ»s@#çõ_x001E__x0013_q@Àª&amp;Þqr@ó?æLÔr@½kxâlt@_x0013_Ý_x000F_¿Üøq@¢ÇËFÀps@-_x0006_ö¤"Øo@ðQ«Rêßt@H½ì)Fn@ÕF@v8p@òµ«äÎ_x0012_t@Ã=Ï,_x0013_u@_x0016_oDjVl@æñ&lt;9õn@:÷µru@°©ì[q@*6&gt;_x0017_]j@ê_x0004_%Eoo@NH[ZÒp@Õ*_x0011_1&amp;ýp@¦^Oà¢èp@jû-~àèt@ïçë8_x001D_÷p@ð´@_x0001__x0003_m@³«×võFt@vm_x0019_J\_x0012_p@VÓ4~o@_x0011__x0014_¾ÒNp@ÊÓçøj@"8_x0002__x0003_cs@ÐÊ¿û6uq@Ë_x0002_áeu@Ò±ÿ+Pr@_x0004_eYõár@áÚ_x0012__x0001_Xop@r¤¨:vn@ô\Åª8t@Í²ü_x0016_¢ûq@ÍeÐ$m@]Ïk7Ö0u@3¼$53t@Ý}k_x0014_p@½Ô®Ëqp@jÛCÈ-°q@Q²ÙwAp@Ð_x0016_jÕKÞt@c=¶mÀr@éØôým@ö@Q´ar@îÎõ!© s@uSn_x0015_Öq@ _x000B_ªV5m@ÓörÍãp@27VB&gt;p@ há_x000F__x0001__x001C_q@|åó#am@B#!ZÛnq@Zu&amp;ú_x001C_=p@Mß(}+`n@Ã^¡³#¯r@;«_x0011_ÞPp@_x0004__x0007_V¿_x000B_v_x0004_u@ýWu_x0001_D³o@_x001E__x000E_±ip@À¹(½ªVt@ª_x001A_gÑ _x000D_r@¦J%aÃàp@O&amp;_x000C_F_x0012_q@_x0013__x000C__x0008_{r@pL- v_x0011_t@º]_x0003_õ·q@Ó=_x0019_q@Ø_x001F_§'²©p@Ft:_x000C_C_x0013_o@Ò'_x000E_*ø_x000E_p@:û"½t@~*?4Ó·q@@_x0013_Ï,_x0007_¢u@vfe9.rj@¢_x001A_Ã2o_x0002_o@hÿÉ»Ö×s@ÐO{Dq@3²P_x0019__x0019_r@H9#\8Ðn@~_x0004_LTu@¶{_x0005__x0012_Yr@_x0006_qg&amp;s@» _x0008_T_x0018_r@póûX$Üq@-E_x0003_0_x0015__x0004_s@v¥ýùðs@_x0007__x0018__x0014_Ã2ªq@_x000D_Á_x0005__x0002__x0003__x0014_@r@Õ_x0001_®q@J_x001E_¹_x0019_¤u@ óþ_x0019_5Øs@3Î¿Ô_x0019_s@JßS¥Jr@_x000D_6Ä8»2r@v_x0003_4Jp@h_x0016_õ&lt;_x0002_r@_x001B_òú_x001E_q@Ko­C_x0016_r@Î_x0013_Xæâo@HuÈP|s@Ìé	Gt@BärÊ_x0002_£t@vJ}/P¼l@frñ¼Û_x001D_n@~Ívr@ó_x000B_Ç_x0008_äp@¦_x001F_qse_x0013_r@&gt;_x0005_·i_x0005_t@~Ak«Àq@w£Á!_x000B_q@íÑö½'t@ÛNLÖæp@êÅÏá¿n@îê=õ°p@t «hcp@b)FTâ«q@PzsÑ`ar@@ÎØD«q@ßnõ_x000F_p¿p@_x0001__x0002__x000B__x0018_h_x0010_ýïm@Sa·_x000B_u@0°feOÈq@_x001D_õæfq@ØÆ4¸o@æß¦ÅÝ®q@ítv_x001E_ï£o@]¿}ø_x0003_iq@ã_x001C_ÃP+r@&gt;«â¾vYq@Ï°PT_x0003_q@6´_x001A_µRq@õoBÔ_x001C_çl@#DZÏ6p@íBCp@5_x0013__x001F_/øq@; \[n@àÒìZª^r@_x001D__x000D_cÝ7ís@$W_x0013__x0015_"q@Âe¢pF_x0017_r@ _x0007_íwu@_x001B_]åØVªr@Ã*×Ë&gt;t@_x0003_¥÷snr@_x000B_A.À_x0011_p@â_x0017_*-_x001A_0q@uÙ_x001A_JÌp@Jýwây(r@r_x0001_"®s@Ã=Qr@Õrß|_x0005__x0007_&gt;_x001C_q@ÂÖºt"s@ë*_x0011_è9t@HìÇí_x0001_Äs@_x0018_ÎÀk½gr@è_x001E_I=JÁp@Z§?C¾q@fn¼,t@9HMHm@üÐÜ¢!_x0014_q@Já_x0019_×_x0001_s@ 	2qn@w#4_x0005_ãp@è_x0002__x001A_uw@S ïÇzs@ªZ{í_x0014_Wt@_x0006_Ndy°on@âD´ç@k@_x0013_OÍÕ]u@M©öÅ«¦o@j^Gsr@ç{_x001A__x0004_ëp@Sr\Ë´r@ý«L&gt;{_x0013_v@ÇÔ÷jAp@=¶íþÖ{r@_x0007__x0003_È½r@J_x001F_qnFFt@zºD_x001F__x0016_3r@.öÄ¾çp@S_x001A__x0002_©÷o@ªÒ_x0001__x0015_q@</t>
  </si>
  <si>
    <t>5c5d7b71e282a7156ba7cb0afc8b5715_x0002__x0003__x0006_½²8ÅCv@N0µ_x0006_ñpu@{éD_x0002_±_t@_x0019__x000D__x0016_5oq@ê_x000D_ß;Càt@¶y¸Ûà_x000F_s@S"Ð¡fr@Ýò?ùVl@iX_"q@.|¾ø7r@M_x001D_½b :t@ÐïÐÊ}¦k@ãtà_x000D_«,s@_x001A_²Æ}=p@`né,£p@#mzo"r@L_x0017_c5_x0008_ q@Ð_x001B_z¿_x000E_t@=¶5_x000D_¶s@EB¥_x0018_t@Ã.v[,mo@-_x0012_Þ(Iq@¡øÃ_x000D_Osp@Ö§D_x001F_Ûp@#1Þ_x0014_Wúo@_x0001__x0002_)_x0014_s@@÷¡×¨ìn@&amp;Æ²Ès@ã_x0006_Gãc»r@ØÊx]£q@"âws@_x0016_©Qe_x0001__x0002_alv@_x0008__x0018_ð8ÓËq@À&amp;«r@Ð8;èq@ò"ê_x000E_3r@ÚsNùn@sû,¨Wum@¾ªÇY_x0006__x0013_p@¢fP§¾q@ãÀ&gt;¿_x001C_u@² òl;s@FxKØ_x000F_òp@_x001A__x0010_ëªr@_x001B_dÞô&gt;Üq@Â³	¥_x000B_r@5£4I_x001C_Öp@q«[[Mèp@ßL_x001E_}Åq@ÛÓd_«To@rÃX_x001D_g_x000C_s@U¨®Ð«n@JdD;es@Ð´´_x0019_H¯l@_x0010_@çuøp@_x001B_£mu¿Îp@z§ýTês@~ñÞgq@+Nos@ 0nT=t@Ý¥ODp@UËè¿?Êu@ZÏ¥wmp@_x0002__x0006_£Æs_x0013_¬Fp@Ór"âÝr@Vh_x0018_÷ý_x0005_m@à1Ä_x001D_,´q@íV¥µt@Ãë¨4r@;_x000E_d²t@ûèïfoÑs@£_x0019_:¹_x001A_s@&lt;þ«{}p@tL¢r@â __x0010_Ì¾r@c_x001B_I³q@E´°²p@P_x0015__x001D_Y'[r@%_x000F_é¼s@ôÊ¦sÏr@Ú|1`ñr@]_x000D_z¦q@mÆS@_x001A__x0013_v@½Á¦ö'o@@õ	9Rs@_x0001__x0005_r=p@ó_x0003_Rt_x001D_r@¨Ü©[Po@ø[_x0014_º8n@ûÝ_x0004_üm@í6_x0018_B÷@o@_x0003_Ð_x0006_É_x001E_Ös@_x0019_ìo\Y5p@.0aûôdq@_x0005_ïð_x0002__x0003_nr@ÊÈcaHr@MÖÚ³n@båºâ;q@0_x0001_,ãl@_x0005_g¹+'p@kÄn@xÉÿ^°r@_x0010_ù rSr@_x0016_$Ü¼¿s@}ù¾ý&gt;s@ê_x0008__x001B_ÉtJl@³#_x0003_Bl@aé¾×ª_x0003_q@&amp;._x0005_Ü&amp;ìq@iÒ³WRu@xÏ½_x0001_±q@X¨ÕL_x0005_o@*|p _0s@Ú¹\yp@uøàI{s@:cê8£zs@hÿÝ| 9t@ZüÂzá¬p@_x000D_lóiSp@=öîdëv@®×_x001D_¨s@«l2Ï4r@_x0008_Ýtö&lt;¦q@"7®³t@Ú£Z&amp;_x000C_\t@}Óø_x0008_¾r@_x0003__x0004__x0005_~T_þ±r@ó8WQ©@m@0ÿê_'¦w@ÒGs"j:u@Á_x0002_Àà@p@æ`k_x0018_ìq@`Å}ègs@Ý«_x0017_{_x0003_r@½³åVrör@öJ£\4s@ _x0003__x000D_R£ýs@_x001E__x001E__x001E_0s@&amp;æëv=_x0001_p@_x0010_ov}_x0014_Çp@PQTüÐßr@¸I4nßr@ê.áâ_x0006__x001F_m@c_x000E_Èldo@sÍ÷¦7~s@_x0008_ÂÁ:|q@káàVxs@Ër_x0015_Ã&amp;s@êæ`l{1s@H_x0010_Bndt@¸_x0018_:í_x0019_s@ÊBéqÝ;p@¾_x0011_[§S­s@]|DÙ¯r@}(l0"x@:tîQ/Ho@&amp;jjOÖt@_x000E_Éø_x0001__x0003_¦r@¡]ÇÀo@_x0013_W¶])no@«ÞrÙ»ñu@sØi]ýr@_x000D_vØõÉq@8×_x0006_2§±s@%ã7_x001E_ÅÇr@»êÃn¨=q@_x0012_é9:_Êv@_x001E_[¦8Ft@35	îãÉs@Ne,'âp@h SªÔ¨p@­ÖþêÉn@ãt¶hÊ$o@ý5Y¤ëGm@0!\éao@~ù8ó`r@Î;¨úðs@.î_x0002_ó_x001C_s@IàðË*Öp@Å±§5óÈs@ÓU¸¶îQm@²TÅ?t@6ßJä_x0005_u@ëMÊøCPr@vI¼@_x001D_ör@zµ&lt;ëlèp@;n¶_x0016_î£q@_x0017_ïFÄ?Gp@ãW_x0011__x001A__x000D_l@_x0001__x0003_¥_x0019_å7¡0r@ø_x0001_öâØDp@£{Ý	Æq@²l_x0003_aiq@ Ò¬ÂDít@û§='Nòo@05&lt;æ_x0010_u@-:6_x001B_Óq@ðÙ_x000E_ÔÆ¼o@Ö£¯»Ìn@ª°&amp;_x0004_/3q@Ï´ãÓSr@Ý ý¹Gdr@¦Ù¼}v@__x0017_ôâ°[p@!_x0019_TçÙi@x¸Y1o@;ûdE_x0016_r@&gt;îâõ3_x0003_r@ã£ÖDÝ2q@(VlJ-_x0019_r@*à!_x0001_¸·t@J5Û»_x001D_hv@#mè°Æ1r@Ðbø(ær@P'lCîq@R_x0002_ac!îr@À¦3~Éßq@ìçGp@XÓ¬uµkq@eË_x0001_£7Or@½_x0015__x0006_	1¦r@¦¦Oqq@.®_x0004_5_x0018_q@Áíi_x0015_;/p@s¦_x0016_Ó_x0008__x001E_r@Ð_x0003_w_x0002__x001B_Fr@MÈÐÑÕ·p@z¸ö_x0014__x0017_u@JG­æ_x001D_r@8amêÈp@¢ ûrq@CÆ_x0007_=1o@-_x0004_Ü_x0007_æÑr@_x0003__x0006__x0006__x0006__x000F__x0006__x0006__x0006_RISK_MODEL.xlsx_x0002__x0006__x0006__x0006__x000C__x0006__x0006__x0006_Introduction_x0006__x0006__x0006__x0006__x0005__x0006__x0006__x0006_Model_x000C__x0006__x0006__x0006__x0003__x0006__x0006__x0006_D15)_x0006__x0006__x0006_=RiskNormal(0.025,0.004,RiskStatic(0.04))_x001A__x0006__x0006__x0006_TERMINAL Growth Rate_x0001_B15_x0001__x0001__x0001__x0006__x0006__x0006__x0006__x0006__x0006__x0006__x0006__x0006__x0002__x0004__x0002__x0002__x0001__x0002__x0002__x0002_)_x0002__x0002__x0002__x0014__x0002__x0002__x0002_TERMINAL Growth Rate_x0001__x0002__x0002__x0002__x0002__x0002__x0002__x0002__x0002__x0002__x0002__x0002__x0002__x0002__x0002__x0002__x0002__x0002__x0002__x0002__x0003__x0002__x0002__x0002_D16(_x0002__x0002__x0002_=RiskNormal(0.12,0.012,RiskStatic(0.12)) _x0002__x0002__x0002_Sales Growth Rate 1-2 Year_x0001_B16_x0001__x0001__x0001__x0002__x0002__x0002__x0002__x0002__x0002__x0002__x0001__x0002__x0002__x0002__x0001__x0002__x0002__x0002_(_x0002__x0002__x0002__x001A__x0002__x0002__x0002_Sales Growth Rate 1-2 Year_x0001__x0002__x0002__x0002__x0002__x0002__x0002__x0002__x0002__x0002__x0002__x0002__x0002__x0002__x0002__x0002__x0002__x0002__x0002__x0002__x0003__x0002__x0002__x0002_D17(_x0002__x0002__x0002_=RiskNormal(0.12,0.012,RiskSta_x0004__x0005_tic(0.12)) _x0004__x0004__x0004_Sales Growth Rate 3-4 Year_x0001_B17_x0001__x0001__x0001__x0004__x0004__x0004__x0004__x0004__x0004__x0004__x0002__x0004__x0004__x0004__x0001__x0004__x0004__x0004_(_x0004__x0004__x0004__x001A__x0004__x0004__x0004_Sales Growth Rate 3-4 Year_x0001__x0004__x0004__x0004__x0004__x0004__x0004__x0004__x0004__x0004__x0004__x0004__x0004__x0004__x0004__x0004__x0004__x0004__x0004__x0004__x0003__x0004__x0004__x0004_D18(_x0004__x0004__x0004_=RiskNormal(0.08,0.008,RiskStatic(0.08)) _x0004__x0004__x0004_Sales Growth Rate 5-6 Year_x0001_B18_x0001__x0001__x0001__x0004__x0004__x0004__x0004__x0004__x0004__x0004__x0003__x0004__x0004__x0004__x0001__x0004__x0004__x0004_(_x0004__x0004__x0004__x001A__x0004__x0004__x0004_Sales Growth Rate 5-6 Yea_x0002__x0005_r_x0001__x0002__x0002__x0002__x0002__x0002__x0002__x0002__x0002__x0002__x0002__x0002__x0002__x0002__x0002__x0002__x0002__x0002__x0002__x0002__x0003__x0002__x0002__x0002_D19(_x0002__x0002__x0002_=RiskNormal(0.08,0.008,RiskStatic(0.08)) _x0002__x0002__x0002_Sales Growth Rate 7-8 Year_x0001_B19_x0001__x0001__x0001__x0002__x0002__x0002__x0002__x0002__x0002__x0002__x0004__x0002__x0002__x0002__x0001__x0002__x0002__x0002_(_x0002__x0002__x0002__x001A__x0002__x0002__x0002_Sales Growth Rate 7-8 Year_x0001__x0002__x0002__x0002__x0002__x0002__x0002__x0002__x0002__x0002__x0002__x0002__x0002__x0002__x0002__x0002__x0002__x0002__x0002__x0002__x0003__x0002__x0002__x0002_D20(_x0002__x0002__x0002_=RiskNormal(0.06,0.006,RiskStatic(0.06))!_x0002__x0002__x0002_Sales Growth Rate 9_x0002__x0004_-10 Year_x0001_B20_x0001__x0001__x0001__x0002__x0002__x0002__x0002__x0002__x0002__x0002__x0005__x0002__x0002__x0002__x0001__x0002__x0002__x0002_(_x0002__x0002__x0002__x001B__x0002__x0002__x0002_Sales Growth Rate 9-10 Year_x0001__x0002__x0002__x0002__x0002__x0002__x0002__x0002__x0002__x0002__x0002__x0002__x0002__x0002__x0002__x0002__x0002__x0002__x0002__x0002__x0003__x0002__x0002__x0002_D21,_x0002__x0002__x0002_=RiskTriang(0.04,0.06,0.09,RiskStatic(0.05))#_x0002__x0002__x0002_FCF as a % of Sales 1-2 Years_x0001_B21_x0001__x0001__x0001__x0002__x0002__x0002__x0002__x0002__x0002__x0002__x0006__x0002__x0002__x0002__x0001__x0002__x0002__x0002_,_x0002__x0002__x0002__x001D__x0002__x0002__x0002_FCF as a % of Sales 1-2 Years_x0001__x0002__x0002__x0002__x0002__x0002__x0002__x0002__x0002__x0002__x0002__x0002__x0002__x0002__x0002__x0002__x0002__x0002__x0002__x0002__x0002__x0004__x0003__x0002__x0002__x0002_D22+_x0002__x0002__x0002_=RiskTriang(0.04,0.07,0.1,RiskStatic(0.07))#_x0002__x0002__x0002_FCF as a % of Sales 3-4 Years_x0001_B22_x0001__x0001__x0001__x0002__x0002__x0002__x0002__x0002__x0002__x0002__x0007__x0002__x0002__x0002__x0001__x0002__x0002__x0002_+_x0002__x0002__x0002__x001D__x0002__x0002__x0002_FCF as a % of Sales 3-4 Years_x0001__x0002__x0002__x0002__x0002__x0002__x0002__x0002__x0002__x0002__x0002__x0002__x0002__x0002__x0002__x0002__x0002__x0002__x0002__x0002__x0003__x0002__x0002__x0002_D23%_x0002__x0002__x0002_=RiskNormal(0.1,0.01,RiskStatic(0.1))#_x0002__x0002__x0002_FCF as a % of Sales 5-6 Years_x0001_B23_x0001__x0002__x0004__x0001__x0001__x0002__x0002__x0002__x0002__x0002__x0002__x0002__x0008__x0002__x0002__x0002__x0001__x0002__x0002__x0002_%_x0002__x0002__x0002__x001D__x0002__x0002__x0002_FCF as a % of Sales 5-6 Years_x0001__x0002__x0002__x0002__x0002__x0002__x0002__x0002__x0002__x0002__x0002__x0002__x0002__x0002__x0002__x0002__x0002__x0002__x0002__x0002__x0003__x0002__x0002__x0002_D24(_x0002__x0002__x0002_=RiskNormal(0.09,0.009,RiskStatic(0.09))#_x0002__x0002__x0002_FCF as a % of Sales 7-8 Years_x0001_B24_x0001__x0001__x0001__x0002__x0002__x0002__x0002__x0002__x0002__x0002_	_x0002__x0002__x0002__x0001__x0002__x0002__x0002_(_x0002__x0002__x0002__x001D__x0002__x0002__x0002_FCF as a % of Sales 7-8 Years_x0001__x0002__x0002__x0002__x0002__x0002__x0002__x0002__x0002__x0002__x0002__x0002__x0002__x0002__x0002__x0002__x0002__x0002__x0002__x0002__x0003__x0002__x0002__x0002_D25%_x0002__x0002__x0002_=Ris_x0002__x0004_kNormal(0.1,0.01,RiskStatic(0.1))$_x0002__x0002__x0002_FCF as a % of Sales 9-10 Years_x0001_B25_x0001__x0001__x0001__x0002__x0002__x0002__x0002__x0002__x0002__x0002__x0004__x0002__x0002__x0002__x0001__x0002__x0002__x0002_%_x0002__x0002__x0002__x001E__x0002__x0002__x0002_FCF as a % of Sales 9-10 Years_x0001__x0002__x0002__x0002__x0002__x0002__x0002__x0002__x0002__x0002__x0002__x0002__x0002__x0002__x0002__x0002__x0002__x0002__x0002__x0002__x0003__x0002__x0002__x0002_M31(_x0002__x0002__x0002_=RiskOutput("Share Price")+(I34-D13)/I35_x0002__x0002__x0002__x0002__x0002__x0002__x0002__x0002__x0001__x0002__x0002__x0002__x0002__x0002__x0002__x0002__x0001__x0002__x0002__x0002__x001A__x0002__x0002__x0002__x0002__x0002__x0002__x0002__x000B__x0002__x0002__x0002_Share Price_x0002__x0002__x0002__x0002__x0002__x0002__x0002__x0002__x0002__x0002_ÿ_x0001__x0002_ÿÿÿÿÿÿÿÿÿÿÿÿÿÿÿÿÿÿÿÿÿÿÿÿÿÿÿÿÿÿÿÿÿÿÿÿÿÿÿÿÿ_x0001__x0001__x001A__x0001__x0001__x0001_Tasty Bites Analysis1.xlsx_x0011__x0001__x0001__x0001__x0002__x0001__x0001__x0001_Framework2_x0001__x0001__x0001__x0001_	_x0001__x0001__x0001_Analysis2_x0001__x0001__x0001__x0001_	_x0001__x0001__x0001_Valuation_x0001__x0001__x0001__x0001__x0012__x0001__x0001__x0001_Financial Analysis_x0001__x0001__x0001__x0001_	_x0001__x0001__x0001_Checklist_x0001__x0001__x0001__x0001__x000D__x0001__x0001__x0001_Profit &amp; Loss_x0001__x0001__x0001__x0001__x0008__x0001__x0001__x0001_Quarters_x0001__x0001__x0001__x0001__x000D__x0001__x0001__x0001_Balance Sheet_x0001__x0001__x0001__x0001_	_x0001__x0001__x0001_Cash Flow_x0001__x0001__x0001__x0001__x000D__x0001__x0001__x0001_C_x0001__x0002_ustomization_x0001__x0001__x0001__x0001_	_x0001__x0001__x0001_Scorecard_x0001__x0001__x0001__x0001__x000C__x0001__x0001__x0001_Market_scope_x0001__x0001__x0001__x0001__x0002__x0001__x0001__x0001_Data Sheet_x0001__x0001__x0001__x0001__x0010__x0001__x0001__x0001_Other_input_data_x0001__x0001__x0001__x0001__x0003__x0001__x0001__x0001_DCF_x0001__x0001__x0001__x0001__x0002__x0001__x0001__x0001_Fair Value_x0001__x0001__x0001__x0001__x0015__x0001__x0001__x0001_Expected Return Model_x0001__x0001__x0001__x0001__x0013__x0001__x0001__x0001_GHCL Analysis2.xlsx_x0011__x0001__x0001__x0001__x0002__x0001__x0001__x0001_Framework2_x0001__x0001__x0001__x0001_	_x0001__x0001__x0001_Analysis2_x0001__x0001__x0001__x0001_	_x0001__x0001__x0001_Valuation_x0001__x0001__x0001__x0001__x0012__x0001__x0001__x0001_Financial Analys_x0001__x0002_is_x0001__x0001__x0001__x0001_	_x0001__x0001__x0001_Checklist_x0001__x0001__x0001__x0001__x000D__x0001__x0001__x0001_Profit &amp; Loss_x0001__x0001__x0001__x0001__x0008__x0001__x0001__x0001_Quarters_x0001__x0001__x0001__x0001__x000D__x0001__x0001__x0001_Balance Sheet_x0001__x0001__x0001__x0001_	_x0001__x0001__x0001_Cash Flow_x0001__x0001__x0001__x0001__x000D__x0001__x0001__x0001_Customization_x0001__x0001__x0001__x0001_	_x0001__x0001__x0001_Scorecard_x0001__x0001__x0001__x0001__x000C__x0001__x0001__x0001_Market_scope_x0001__x0001__x0001__x0001__x0002__x0001__x0001__x0001_Data Sheet_x0001__x0001__x0001__x0001__x0010__x0001__x0001__x0001_Other_input_data_x0001__x0001__x0001__x0001__x0003__x0001__x0001__x0001_DCF_x0001__x0001__x0001__x0001__x0002__x0001__x0001__x0001_Fair Value_x0001__x0001__x0001__x0001__x0015__x0001__x0001__x0001_Expected Return Model_x0002__x0004__x0002__x0002__x0002__x0002__x0002__x0002__x0002__x0002__x0001__x0002__x0002__x0002__x0005__x0002__x0002__x0002_Sim#1_x0002__x0002__x0002__x0002__x0002__x0002__x0008__x0002__x0002__x0002_EVGXD665_x0001__x0002__x0002__x0002__x0006__x0002__x0002__x0002__x0004__x0002__x0002_ÿà_x0002__x0002__x0001__x0002__x0002__x0002__x0002__x0002_2ZCV84VN7EFTSA14ET1ET17A_x0002__x0002__x0002_ÿÿÿÿ_x0002__x0002_ÿÿÿÿ_x0002__x0002_ÿÿÿÿ_x0002__x0002_ÿÿÿÿ_x0002__x0002_ÿÿÿÿ_x0002__x0002_ÿÿÿÿ_x0002__x0002_ÿÿÿÿ_x0002__x0002_ÿÿÿÿ_x0002__x0002_ÿÿÿÿ_x0002__x0002_ÿÿÿÿ_x0002__x0002_ÿÿÿÿ_x0002__x0002_ÿÿFD1FYDV9U1IF1YV5QIDQ8Q4G_x0002_GEFNXCRG7RB1XJUS66HKVI5S_x0002__x0010_'_x0002__x0002__x0004__x0002__x0002__x0002__x0007__x0002__x0002__x0002__x0003__x0002__x0002__x0002__x0002__x000F__x0002__x0002_RISK_MODEL.xlsx_x0018__x0002__x0002__x0002_2ZC_x0004__x0006_V84VN7EFTSA14ET1ET17A_x0002__x0004__x0004__x0004__x0004__x000C__x0004__x0004_Introduction_x0004__x0004__x0004__x0004__x0004__x0005__x0004__x0004_Model_x000C__x0004__x0004__x0004__x0004__x000E__x0004__x0004__x0004__x0003__x0004_)_x0004__x0004_=RiskNormal(0.025,0.004,RiskStatic(0.04))_x001A__x0004__x0004_TERMINAL Growth Rate_x0001_B15_x0001__x0001__x0004__x0001__x0004__x0004__x0004__x0004__x0004__x0004__x0004__x0004__x0001__x0004__x0004__x0004_)_x0004__x0004__x0004__x0004__x0004__x0004__x0001__x0004_ÿÿÿÿ_x0004__x0004__x0004__x0004__x0004__x0004__x0004__x0004__x0004__x0004__x0004__x0004__x0004__x0004__x0004__x0004__x0004__x000F__x0004__x0004__x0004__x0003__x0004_(_x0004__x0004_=RiskNormal(0.12,0.012,RiskStatic(0.12)) _x0004__x0004_Sales G_x0004__x0005_rowth Rate 1-2 Year_x0001_B16_x0001__x0001__x0004__x0001__x0004__x0004__x0004__x0004__x0001__x0004__x0004__x0004__x0001__x0004__x0004__x0004_(_x0004__x0004__x0004__x0004__x0004__x0004__x0001__x0004_ÿÿÿÿ_x0004__x0004__x0004__x0004__x0004__x0004__x0004__x0004__x0004__x0004__x0004__x0004__x0004__x0004__x0004__x0004__x0004__x0010__x0004__x0004__x0004__x0003__x0004_(_x0004__x0004_=RiskNormal(0.12,0.012,RiskStatic(0.12)) _x0004__x0004_Sales Growth Rate 3-4 Year_x0001_B17_x0001__x0001__x0004__x0001__x0004__x0004__x0004__x0004__x0002__x0004__x0004__x0004__x0001__x0004__x0004__x0004_(_x0004__x0004__x0004__x0004__x0004__x0004__x0001__x0004_ÿÿÿÿ_x0004__x0004__x0004__x0004__x0004__x0004__x0004__x0004__x0004__x0004__x0004__x0004__x0004__x0004__x0004__x0004__x0004__x0011__x0004__x0004__x0004__x0003__x0004_(_x0004__x0004_=RiskNormal(0.08,0.008,RiskStatic_x0002__x0005_(0.08)) _x0002__x0002_Sales Growth Rate 5-6 Year_x0001_B18_x0001__x0001__x0002__x0001__x0002__x0002__x0002__x0002__x0003__x0002__x0002__x0002__x0001__x0002__x0002__x0002_(_x0002__x0002__x0002__x0002__x0002__x0002__x0001__x0002_ÿÿÿÿ_x0002__x0002__x0002__x0002__x0002__x0002__x0002__x0002__x0002__x0002__x0002__x0002__x0002__x0002__x0002__x0002__x0002__x0012__x0002__x0002__x0002__x0003__x0002_(_x0002__x0002_=RiskNormal(0.08,0.008,RiskStatic(0.08)) _x0002__x0002_Sales Growth Rate 7-8 Year_x0001_B19_x0001__x0001__x0002__x0001__x0002__x0002__x0002__x0002__x0004__x0002__x0002__x0002__x0001__x0002__x0002__x0002_(_x0002__x0002__x0002__x0002__x0002__x0002__x0001__x0002_ÿÿÿÿ_x0002__x0002__x0002__x0002__x0002__x0002__x0002__x0002__x0002__x0002__x0002__x0002__x0002__x0002__x0002__x0002__x0002__x0013__x0002__x0002__x0002__x0003__x0002_(_x0002__x0002_=RiskNormal(0.0_x0002__x0004_6,0.006,RiskStatic(0.06))!_x0002__x0002_Sales Growth Rate 9-10 Year_x0001_B20_x0001__x0001__x0002__x0001__x0002__x0002__x0002__x0002__x0005__x0002__x0002__x0002__x0001__x0002__x0002__x0002_(_x0002__x0002__x0002__x0002__x0002__x0002__x0001__x0002_ÿÿÿÿ_x0002__x0002__x0002__x0002__x0002__x0002__x0002__x0002__x0002__x0002__x0002__x0002__x0002__x0002__x0002__x0002__x0002__x0014__x0002__x0002__x0002__x0003__x0002_,_x0002__x0002_=RiskTriang(0.04,0.06,0.09,RiskStatic(0.05))#_x0002__x0002_FCF as a % of Sales 1-2 Years_x0001_B21_x0001__x0001__x0002__x0001__x0002__x0002__x0002__x0002__x0006__x0002__x0002__x0002__x0001__x0002__x0002__x0002_,_x0002__x0002__x0002__x0002__x0002__x0002__x0001__x0002_ÿÿÿÿ_x0002__x0002__x0002__x0002__x0002__x0002__x0002__x0002__x0002__x0002__x0002__x0002__x0002__x0002__x0002__x0002__x0002__x0004__x0002__x0015__x0002__x0002__x0002__x0003__x0002_+_x0002__x0002_=RiskTriang(0.04,0.07,0.1,RiskStatic(0.07))#_x0002__x0002_FCF as a % of Sales 3-4 Years_x0001_B22_x0001__x0001__x0002__x0001__x0002__x0002__x0002__x0002__x0007__x0002__x0002__x0002__x0001__x0002__x0002__x0002_+_x0002__x0002__x0002__x0002__x0002__x0002__x0001__x0002_ÿÿÿÿ_x0002__x0002__x0002__x0002__x0002__x0002__x0002__x0002__x0002__x0002__x0002__x0002__x0002__x0002__x0002__x0002__x0002__x0016__x0002__x0002__x0002__x0003__x0002_%_x0002__x0002_=RiskNormal(0.1,0.01,RiskStatic(0.1))#_x0002__x0002_FCF as a % of Sales 5-6 Years_x0001_B23_x0001__x0001__x0002__x0001__x0002__x0002__x0002__x0002__x0008__x0002__x0002__x0002__x0001__x0002__x0002__x0002_%_x0002__x0002__x0002__x0002__x0002__x0002__x0001__x0002__x0002__x0004_ÿÿÿÿ_x0002__x0002__x0002__x0002__x0002__x0002__x0002__x0002__x0002__x0002__x0002__x0002__x0002__x0002__x0002__x0002__x0002__x0017__x0002__x0002__x0002__x0003__x0002_(_x0002__x0002_=RiskNormal(0.09,0.009,RiskStatic(0.09))#_x0002__x0002_FCF as a % of Sales 7-8 Years_x0001_B24_x0001__x0001__x0002__x0001__x0002__x0002__x0002__x0002_	_x0002__x0002__x0002__x0001__x0002__x0002__x0002_(_x0002__x0002__x0002__x0002__x0002__x0002__x0001__x0002_ÿÿÿÿ_x0002__x0002__x0002__x0002__x0002__x0002__x0002__x0002__x0002__x0002__x0002__x0002__x0002__x0002__x0002__x0002__x0002__x0018__x0002__x0002__x0002__x0003__x0002_%_x0002__x0002_=RiskNormal(0.1,0.01,RiskStatic(0.1))$_x0002__x0002_FCF as a % of Sales 9-10 Years_x0001_B25_x0001__x0001__x0002__x0001__x0002__x0003__x0002__x0002__x0002__x0002__x0003__x0002__x0002__x0002__x0001__x0002__x0002__x0002_%_x0002__x0002__x0002__x0002__x0002__x0002__x0001__x0002_ÿÿÿÿ_x0002__x0002__x0002__x0002__x0002__x0002__x0002__x0002__x0002__x0002__x0002__x0002__x0002__x0002__x0002__x0002__x0002__x001E__x0002__x0002__x0002__x000C__x0002_(_x0002__x0002_=RiskOutput("Share Price")+(I34-D13)/I35_x0002__x0002__x0002__x0002__x0002__x0002__x0002__x0002__x0001__x0002__x0002__x0002__x0002__x0002__x0002__x0002__x0002__x0001__x0002__x0002__x0002__x001A__x0002__x0002__x0002__x0002__x0002__x000B__x0002__x0002_Share Price_x0002__x0002__x0002__x0002__x0002__x0002__x0002__x0002_ÿÿÿÿÿÿÿÿÿÿÿÿÿÿÿÿÿÿÿÿÿÿÿÿÿÿÿÿÿÿÿÿÿÿÿÿÿÿÿÿÿÿ_x0002_ÿÿ_x0002__x001A__x0002__x0002_Tasty Bites Analysis1.xlsx_x0018__x0002__x0002__x0002_FD1FYDV9U1IF1YV5QIDQ8Q4_x0001__x0002_G_x0011__x0001__x0001__x0001__x0001__x0002__x0001__x0001_Framework2_x0001__x0001__x0001__x0001__x0001_	_x0001__x0001_Analysis2_x0001__x0001__x0001__x0001__x0001_	_x0001__x0001_Valuation_x0001__x0001__x0001__x0001__x0001__x0012__x0001__x0001_Financial Analysis_x0001__x0001__x0001__x0001__x0001_	_x0001__x0001_Checklist_x0001__x0001__x0001__x0001__x0001__x000D__x0001__x0001_Profit &amp; Loss_x0001__x0001__x0001__x0001__x0001__x0008__x0001__x0001_Quarters_x0001__x0001__x0001__x0001__x0001__x000D__x0001__x0001_Balance Sheet_x0001__x0001__x0001__x0001__x0001_	_x0001__x0001_Cash Flow_x0001__x0001__x0001__x0001__x0001__x000D__x0001__x0001_Customization_x0001__x0001__x0001__x0001__x0001_	_x0001__x0001_Scorecard_x0001__x0001__x0001__x0001__x0001__x000C__x0001__x0001_Market_scope_x0001__x0001__x0001__x0001__x0001__x0002__x0001__x0001_Da_x0001__x0002_ta Sheet_x0001__x0001__x0001__x0001__x0001__x0010__x0001__x0001_Other_input_data_x0001__x0001__x0001__x0001__x0001__x0003__x0001__x0001_DCF_x0001__x0001__x0001__x0001__x0001__x0002__x0001__x0001_Fair Value_x0001__x0001__x0001__x0001__x0001__x0015__x0001__x0001_Expected Return Model_x0001__x0001__x0001__x0001__x0001__x0013__x0001__x0001_GHCL Analysis2.xlsx_x0018__x0001__x0001__x0001_GEFNXCRG7RB1XJUS66HKVI5S_x0011__x0001__x0001__x0001__x0001__x0002__x0001__x0001_Framework2_x0001__x0001__x0001__x0001__x0001_	_x0001__x0001_Analysis2_x0001__x0001__x0001__x0001__x0001_	_x0001__x0001_Valuation_x0001__x0001__x0001__x0001__x0001__x0012__x0001__x0001_Financial Analysis_x0001__x0001__x0001__x0001__x0001_	_x0001__x0001_Checklist_x0001__x0001__x0001__x0002__x0001__x0001__x0001__x000D__x0001__x0001_Profit &amp; Loss_x0001__x0001__x0001__x0001__x0001__x0008__x0001__x0001_Quarters_x0001__x0001__x0001__x0001__x0001__x000D__x0001__x0001_Balance Sheet_x0001__x0001__x0001__x0001__x0001_	_x0001__x0001_Cash Flow_x0001__x0001__x0001__x0001__x0001__x000D__x0001__x0001_Customization_x0001__x0001__x0001__x0001__x0001_	_x0001__x0001_Scorecard_x0001__x0001__x0001__x0001__x0001__x000C__x0001__x0001_Market_scope_x0001__x0001__x0001__x0001__x0001__x0002__x0001__x0001_Data Sheet_x0001__x0001__x0001__x0001__x0001__x0010__x0001__x0001_Other_input_data_x0001__x0001__x0001__x0001__x0001__x0003__x0001__x0001_DCF_x0001__x0001__x0001__x0001__x0001__x0002__x0001__x0001_Fair Value_x0001__x0001__x0001__x0001__x0001__x0015__x0001__x0001_Expected Return Model_x0001__x0001__x0001__x0001__x000B__x0001__x0001__x0001__x0001__x000C__x000D__x000C__x000C__x000C__x0001__x000C__x000C__x000C__x000C__x000C__x000C__x000C__x000B__x000C__x000C__x000C__x000C__x000C__x0001__x000C__x000C__x000C__x000C__x000C__x000C__x000C__x000C__x000C__x0001__x000C__x0001__x000C__x000C__x000C__x000C__x000C__x000C__x000C__x0001__x000C__x0002__x000C__x000C__x000C__x000C__x000C__x000C__x000C__x0001__x000C__x0003__x000C__x000C__x000C__x000C__x000C__x000C__x000C__x0001__x000C__x0004__x000C__x000C__x000C__x000C__x000C__x000C__x000C__x0001__x000C__x0005__x000C__x000C__x000C__x000C__x000C__x000C__x000C__x0001__x000C__x0006__x000C__x000C__x000C__x000C__x000C__x000C__x000C__x0001__x000C__x0007__x000C__x000C__x000C__x000C__x000C__x000C__x000C__x0001__x000C__x0008__x000C__x000C__x000C__x000C__x000C__x000C__x000C__x0001__x000C_	_x000C__x000C__x000C__x000C__x000C__x000C__x000C__x0001__x000C__x000D__x000C__x000C__x000C__x000C__x000C__x0001__x000C__x000C__x000C__x000C__x000C__x0001__x000C__x000B__x000C__x000C__x000C__x000C__x000C__x000C__x000C__x000C__x000C__x000C__x000C__x000C__x000C__x0012_'_x000C__x000C_d_x000C__x000C__x000C_ÿÿÿÿÿÿÿÿÿÿÿÿÿÿÿÿÿÿÿÿÿÿÿÿÿÿÿÿÿÿÿÿÿÿÿÿÿÿÿÿÿÿÿÿÿÿÿÿÿÿÿÿÿÿÿÿÿÿÿÿÿÿÿÿÿÿÿÿÿÿÿÿÿÿÿÿÿÿÿÿÿÿÿÿÿÿÿÿ_x000C__x000C__x000C__x000C_ N_x000C__x000C_&lt;_x0003__x0004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0003__x0011_'_x0003__x0003__x000C__x0003__x0003__x0003__x0001__x0003__x0003__x0003__x0013_'_x0003__x0003__x0010__x0003__x0003__x0003__x0001__x0003__x0003__x0003__x0002_æGE_x0001__x0003__x0003_ÿÿÿÿ</t>
  </si>
  <si>
    <t>5e94b5623316276c4f486b141cc2bc7a0|1|104419|20ed38b851fac4e80db8af4dd069e62a</t>
  </si>
  <si>
    <t>Revenue Trend</t>
  </si>
  <si>
    <t>EPS Trend</t>
  </si>
  <si>
    <t>GM% Trend</t>
  </si>
  <si>
    <t>PAT % Trend</t>
  </si>
  <si>
    <t>Receivables Trend</t>
  </si>
  <si>
    <t>Inventory Trend</t>
  </si>
  <si>
    <t>Promoter Share Trend</t>
  </si>
  <si>
    <t>Debt Equity Trend</t>
  </si>
  <si>
    <t>SSGR Trend</t>
  </si>
  <si>
    <t>ROIC Trend</t>
  </si>
  <si>
    <t>EPA Trend</t>
  </si>
  <si>
    <t>EPA/Sales Trend</t>
  </si>
  <si>
    <t>5 Year ROIC</t>
  </si>
  <si>
    <t>5 Year ROIIC</t>
  </si>
  <si>
    <t>5 Year EPA</t>
  </si>
  <si>
    <t>5 Year EPA/Sales</t>
  </si>
  <si>
    <t>CFO 3 Year Average</t>
  </si>
  <si>
    <t>CFO/PAT 5 Year Average</t>
  </si>
  <si>
    <t>FCF/CFO 5 Year Average</t>
  </si>
  <si>
    <t>Capacity to Sales Growth</t>
  </si>
  <si>
    <t>5 Years Sales Growth</t>
  </si>
  <si>
    <t>5 Years PAT Growth</t>
  </si>
  <si>
    <t>5 Years EPS Growth</t>
  </si>
  <si>
    <t>Average SSGR%</t>
  </si>
  <si>
    <t>The Demand for Condoms in Male and Female Category</t>
  </si>
  <si>
    <t>Although the volumes of condoms used year on year is growing, there exists a gap between the potential use and current use</t>
  </si>
  <si>
    <t>of condoms. This underlines an important opportunity for increasing supply of condoms. It is estimated that the global market</t>
  </si>
  <si>
    <t>for male condoms would touch USD 9.3 billion by the year 2020(Source: Global Industry Analyst Inc.). While the male condoms</t>
  </si>
  <si>
    <t>market would demonstrate a growth from annual 27 billion units to 42 billion units, the female condom market would also expand</t>
  </si>
  <si>
    <t>from the current annual 100 million units to about 340 million units by 2020. (Source: Industry sources).</t>
  </si>
  <si>
    <t>With the introduction of female condoms,</t>
  </si>
  <si>
    <t>we aligned our capacities and thus our annual male condom capacity moved from 400 million pieces to 325 million pieces and</t>
  </si>
  <si>
    <t>64% is current capacity</t>
  </si>
  <si>
    <t>how come not much increase in raw material cost with sales increase?</t>
  </si>
  <si>
    <t>Out</t>
  </si>
  <si>
    <t>of the total sales achieved, the male condoms contributed close to 51.0% while the remaining sales came from our female</t>
  </si>
  <si>
    <t>condoms category.</t>
  </si>
  <si>
    <t>Enter new geographies such as South America, Eastern Europe and CIS countries</t>
  </si>
  <si>
    <t>ii. Add new value added products to the basket and expand capacity and add different types of female condoms</t>
  </si>
  <si>
    <t>iii. Brand Promotion: To initiate Cupid brand promotion program to promote Cupid Male &amp; Cupid Female condoms in India and</t>
  </si>
  <si>
    <t>abroad</t>
  </si>
  <si>
    <t>iv. Cupid would continue to spread the awareness and promotion of both Male &amp; Female Condoms on the social media, like</t>
  </si>
  <si>
    <t>Facebook &amp; twitter and also to expand the sale of its product online.</t>
  </si>
  <si>
    <t>why AR n debtor days going up</t>
  </si>
  <si>
    <t>Cupid currently has four sales channels:</t>
  </si>
  <si>
    <t>• Ministry of Health – Government of India (no orders in FY14 &amp; FY15 so far but expected in Q4FY15)</t>
  </si>
  <si>
    <t>• Exports to multiple clients (ground work for developing export market started in 2009-2010) –</t>
  </si>
  <si>
    <t>(80% of sales currently).</t>
  </si>
  <si>
    <t>• Contract manufacturing [customers include Cipla, Chokhani Pharma, DKT (an international NGO</t>
  </si>
  <si>
    <t>working in India)] (~15% of sales currently)</t>
  </si>
  <si>
    <t>• Own brands for Indian market (5% of sales currently)</t>
  </si>
  <si>
    <t>Exports carry high margin, other channels at present have low margins. With DPCO’s price cap on retailing of</t>
  </si>
  <si>
    <t>condoms in India, the margins have contracted. Mankind Pharma, the biggest branded player (Brand: Manforce) has</t>
  </si>
  <si>
    <t>shut down its plant</t>
  </si>
  <si>
    <t>The global condom market has been growing at 8% annually driven by efforts of governments and</t>
  </si>
  <si>
    <t>NGOs globally to put across safety and birth control messages. Global market size at present is 17bn</t>
  </si>
  <si>
    <t>pieces and Indian market size is 2.4bn pieces. It’s a huge and growing market and Cupid’s current</t>
  </si>
  <si>
    <t>capacity is just 2.5% of the global market size. We expect Cupid’s sales to grow at minimum 15%</t>
  </si>
  <si>
    <t>annually. Cupid is expecting large order inflows from Keyna, Uganda, Myanmar, South Africa, Brazil,</t>
  </si>
  <si>
    <t>and Indonesia. MoH orders may also come in towards the end of FY15.</t>
  </si>
  <si>
    <t>Cupid and Female Health Company (FHC)-Chicago (Plant: Malaysia) are the only companies in the</t>
  </si>
  <si>
    <t>world to have developed FC and gotten pre-qualification from WHO/UNFPA. Its uniquely designed FC</t>
  </si>
  <si>
    <t>have been approved by WHO/UNFPO for their worldwide bulk procurement programs. FC is an</t>
  </si>
  <si>
    <t>oligopolistic market with only a handful of players - Reckitt Benckiser, Origami Healthcare, Silk Parasol,</t>
  </si>
  <si>
    <t>Sanghai Dahua, HLL Lifecare Ltd and Tianjin Condom Bao.</t>
  </si>
  <si>
    <t>It also developed a unique shaped specialty male condom (SMC-1) and has received worldwide</t>
  </si>
  <si>
    <t>patent on this.</t>
  </si>
  <si>
    <t>FC has been in existence for many years but is likely reaching tipping point now with awareness</t>
  </si>
  <si>
    <t>creation by FHC. FC market has been growing exponentially lately. FHC (through its distributor</t>
  </si>
  <si>
    <t>Semina) last month won an order to supply 50mn FC to Brazil. This is the largest single order (previous</t>
  </si>
  <si>
    <t>Brazil order size: 20mn) for FC and indicates the high growth potential in FC. Cupid had also bid for</t>
  </si>
  <si>
    <t>this order through its distributor in Brazil and reportedly was L1 but yet the order went to FHC.</t>
  </si>
  <si>
    <t>The worldwide need for FC far exceeds the current utilization of the product. HIV/AIDS continues to be</t>
  </si>
  <si>
    <t>the leading cause of death globally for women in the 15-44 year age group.</t>
  </si>
  <si>
    <t>Cupid’s 12mn pieces FC capacity has been recently expanded to 25mn pieces in expectation of strong</t>
  </si>
  <si>
    <t>demand growth and large orders. In the half year ended Sep-2014, it made only 4mn FC (67%</t>
  </si>
  <si>
    <t>capacity utilisation). As FC production ramps up with inflow of orders, profit margins will significantly</t>
  </si>
  <si>
    <t>improve as FC carries significantly high margin than that in MC. FC realisation is 17-18x higher than</t>
  </si>
  <si>
    <t>that of Mc but FC cost is only 2-3x higher than that of MC. MC market is competitive and offers low</t>
  </si>
  <si>
    <t>margin. However, Cupid does not currently have FC orders beyond Dec14. High capacity utilisation</t>
  </si>
  <si>
    <t>may not happen soon.</t>
  </si>
  <si>
    <t>Cupid’s current annual production capacity is 375mn pieces of MC and 25mn pieces of FC. In the 1st</t>
  </si>
  <si>
    <t>half of FY15, it doubled its sales and yet is operating at only 37% capacity utilisation in Mc and at 32%</t>
  </si>
  <si>
    <t>utilisation in FC on expanded capacity. It will not require any capex till its sales volume grows 2.5 fold.</t>
  </si>
  <si>
    <t>In any case, it’s not a capital intensive business.</t>
  </si>
  <si>
    <t>Latex rubber is the main input to both MC and FC made by Cupid. FHC uses Nitrile polymer to make</t>
  </si>
  <si>
    <t>FC. Latex consumption per piece of MC and FC has risen by 20% in FY14. Part of this is due to change</t>
  </si>
  <si>
    <t>in production mix with higher proportion of longer &amp; thicker pieces and part due to rising wastage and</t>
  </si>
  <si>
    <t>rejection during latex handling and production process.</t>
  </si>
  <si>
    <t>Also one can see the annual capacity is 400 million pieces male condoms and 15 million peices of female condoms i.e 96.4% and 3.6 %.</t>
  </si>
  <si>
    <t>govt. FC price in RS</t>
  </si>
  <si>
    <t>B2C FC Price in Rs</t>
  </si>
  <si>
    <r>
      <t>Growth ahead</t>
    </r>
    <r>
      <rPr>
        <sz val="11"/>
        <color rgb="FF404040"/>
        <rFont val="Arial"/>
        <family val="2"/>
      </rPr>
      <t>: Female Health Company(FHC) sells ~60 mn units and cupid current rate is ~15 mn. Cupid is in the process of doubling its capacity to 40 mn and looking at its cost competitiveness &amp; market penetration, it is quite possible that cupid may be able to reach to the annual run rate of 40 mn units in 3-5 year time. Profits could be higher than sales growth due to higher margins in FC, management efforts to increase automation &amp; efficiency, operating leverage etc.</t>
    </r>
  </si>
  <si>
    <r>
      <t>Competition:</t>
    </r>
    <r>
      <rPr>
        <sz val="11"/>
        <color rgb="FF404040"/>
        <rFont val="Arial"/>
        <family val="2"/>
      </rPr>
      <t> Currently, there are followings players in the industry:</t>
    </r>
  </si>
  <si>
    <r>
      <t>Female Health Company</t>
    </r>
    <r>
      <rPr>
        <sz val="11"/>
        <color rgb="FF404040"/>
        <rFont val="Arial"/>
        <family val="2"/>
      </rPr>
      <t> (FHC)- Market Leader with annual sales of ~62 mn pcs. Its cost of manufacturing is ~15 Rs and selling Price is 35 Rs. It will be difficult for the company to maintain this run rate from public orders due to competitive pricing of Cupid. Company sees the possibility of the same and has started focusing on direct sales in USA.</t>
    </r>
  </si>
  <si>
    <r>
      <t>Cupid:</t>
    </r>
    <r>
      <rPr>
        <sz val="11"/>
        <color rgb="FF404040"/>
        <rFont val="Arial"/>
        <family val="2"/>
      </rPr>
      <t> Company has just started its journey with large orders from Africa. It is available in around 30 countries as of now and is in process of registering in other countries (FHC has presence in 132 countries). As company evolve, it can eat market share of FHC as its selling price is ~24 (cost price is 4 Rs), which is much lower than FHC sales price. Its product is also getting very favorable response from the users as it is easy to use (very important &amp; critical factor).</t>
    </r>
  </si>
  <si>
    <r>
      <t>Sanghai Dahua Medical Apparatus Company</t>
    </r>
    <r>
      <rPr>
        <sz val="11"/>
        <color rgb="FF404040"/>
        <rFont val="Arial"/>
        <family val="2"/>
      </rPr>
      <t> in China which is licensed by a NGO PATH based in USA: It manufactures O'Lavie brand. Its selling price is ~50 Rs and based on various survey its product is not easy to use. Thus, its not a threat, atleast in medium term.</t>
    </r>
  </si>
  <si>
    <r>
      <t>Tianjin CondomBao Medical Polyurethane Tech:</t>
    </r>
    <r>
      <rPr>
        <sz val="11"/>
        <color rgb="FF404040"/>
        <rFont val="Arial"/>
        <family val="2"/>
      </rPr>
      <t> Its brand is Phoenurse and is not a threat as it is in testing Phase.</t>
    </r>
  </si>
  <si>
    <t>As we can see from the above table, gross margin of the company is increasing. This is mainly on account of higher margin in Female segment. As per the management, gross margin in the female and male segment is 80-90% and 30-40% respectively. Lets see the following table to understand it better.</t>
  </si>
  <si>
    <t>* Rough calculations</t>
  </si>
  <si>
    <t>So it is clear from the above table that gross margin is around 85% in the FC. Selling price of Cupid FC is around 24-25 Rs so cost of manufacturing comes to be around 4 Rs.Cost and selling price of FHC is 15 Rs and 35 Rs respectively.</t>
  </si>
  <si>
    <t>Moat:</t>
  </si>
  <si>
    <t>Based on the above facts, i think company has cost advantage. Further, operating cost for cupid is very low as compared to FHC.</t>
  </si>
  <si>
    <t>Secondly, as it takes long time to get approval and market size is too small for the big players to concentrate on right now. There is high entry barrier in the industry.</t>
  </si>
  <si>
    <t>Disc: Invested and views could be baised.</t>
  </si>
  <si>
    <t>otal demand for 320 million Female Condoms (F.C.) in 2020 - based on estimates presented by leading institutional organisations in a conference last year. Increased off take will depend on the ability of these organisations to raise funding, however, Mr. Garg is optimistic about strong growth over the coming years for F.C. Demand</t>
  </si>
  <si>
    <t>Global Condom market is 27 billion USD expected to grow @ 9.3% CAGR through 2020.</t>
  </si>
  <si>
    <t>Mr. Garg reiterated projections for F.C. demand to quadruple to 320 to 350 mn units by 2020 - F.C.</t>
  </si>
  <si>
    <t>pending will be driven by the Sub-Saharan (African) region (18 countries) where spread of HIV continues to be high and prevention of HIV will be a key priority and trigger for F.C. Cupid is completely focused on these areas for future growth. FHC, the current world leader also considers that Zika virus in addition to HIV may be an important trigger for sustained growth of F.C.'s.</t>
  </si>
  <si>
    <r>
      <t>Next tender from South Africa for 2018 - 2021 is supposed to have robust increase of about 50% in value. Cupid is very positive on Africa and Mr. Garg is confident of dominant market share in the next tender. The FHC concall transcript provided a point of concern (Page 7) where </t>
    </r>
    <r>
      <rPr>
        <b/>
        <sz val="11"/>
        <color rgb="FF404040"/>
        <rFont val="Arial"/>
        <family val="2"/>
      </rPr>
      <t>FHC claimed that they were asked if they would provide Education and training for Cupid's product</t>
    </r>
    <r>
      <rPr>
        <sz val="11"/>
        <color rgb="FF404040"/>
        <rFont val="Arial"/>
        <family val="2"/>
      </rPr>
      <t>. I spoke one on one with </t>
    </r>
    <r>
      <rPr>
        <b/>
        <sz val="11"/>
        <color rgb="FF404040"/>
        <rFont val="Arial"/>
        <family val="2"/>
      </rPr>
      <t>Mr. Garg</t>
    </r>
    <r>
      <rPr>
        <sz val="11"/>
        <color rgb="FF404040"/>
        <rFont val="Arial"/>
        <family val="2"/>
      </rPr>
      <t> about this issue and he </t>
    </r>
    <r>
      <rPr>
        <b/>
        <sz val="11"/>
        <color rgb="FF404040"/>
        <rFont val="Arial"/>
        <family val="2"/>
      </rPr>
      <t>was emphatic to rubbish the claim of FHC calling it a face saving measure, and firmly stating that Cupid Distributor is providing required training and education, and that the reality will be seen with the next tender allocation</t>
    </r>
    <r>
      <rPr>
        <sz val="11"/>
        <color rgb="FF404040"/>
        <rFont val="Arial"/>
        <family val="2"/>
      </rPr>
      <t>.</t>
    </r>
  </si>
  <si>
    <t>Revenue</t>
  </si>
  <si>
    <t>Current PAT Margin</t>
  </si>
  <si>
    <t>Average PAT Margin</t>
  </si>
  <si>
    <t>Current CFO/PAT</t>
  </si>
  <si>
    <t>Average CFO/PAT</t>
  </si>
  <si>
    <t>Current Dividend/PAT</t>
  </si>
  <si>
    <t>Average Dividend/PAT</t>
  </si>
  <si>
    <t>Dividend Growth</t>
  </si>
  <si>
    <t>Current FCF</t>
  </si>
  <si>
    <t>Average FCF</t>
  </si>
  <si>
    <t>FCF Conservative</t>
  </si>
  <si>
    <t>FCF Normal</t>
  </si>
  <si>
    <t>FCF Growth Rate Normal</t>
  </si>
  <si>
    <t>Discount Rate Normal</t>
  </si>
  <si>
    <t>Terminal Growth Rate Normal</t>
  </si>
  <si>
    <t>Terminal Growth Rate Conservative</t>
  </si>
  <si>
    <t>NORMAL</t>
  </si>
  <si>
    <t>Maintenance Capex</t>
  </si>
  <si>
    <t>Depreciation/NFA</t>
  </si>
  <si>
    <t>Maintenance Capex %</t>
  </si>
  <si>
    <t>Investment Capex %</t>
  </si>
  <si>
    <t>Investment Capex Multiple</t>
  </si>
  <si>
    <t>Total CAPEX as a % of NFA</t>
  </si>
  <si>
    <t>PV Contribution</t>
  </si>
  <si>
    <t>TV Contribution</t>
  </si>
  <si>
    <t>Description</t>
  </si>
  <si>
    <t>Review</t>
  </si>
  <si>
    <t>Not Required</t>
  </si>
  <si>
    <t>Salary Gr./PAT Gr. Trend</t>
  </si>
  <si>
    <t>Self-Sustainable Growth Rate (SSGR)- Historic</t>
  </si>
  <si>
    <t>Self-Sustainable Growth Rate (SSGR)- Current</t>
  </si>
  <si>
    <t>Current Revenue Growth</t>
  </si>
  <si>
    <t>Average Revenue Growth</t>
  </si>
  <si>
    <t>Historical CAPEX/NFA</t>
  </si>
  <si>
    <t>5 Year Receivables to Sales</t>
  </si>
  <si>
    <t>5 Year Inventory to Sales</t>
  </si>
  <si>
    <t>WC/Sales Trend</t>
  </si>
  <si>
    <t>WC as a % of Revenue</t>
  </si>
  <si>
    <t>RESEARCH FRAMEWORK</t>
  </si>
  <si>
    <t>ABSOLUTE PERFORMANCE</t>
  </si>
  <si>
    <t>Weakness</t>
  </si>
  <si>
    <t>TREND</t>
  </si>
  <si>
    <t>Strengths</t>
  </si>
  <si>
    <t>OTHER PARAMETERS</t>
  </si>
  <si>
    <t>Cyclic</t>
  </si>
  <si>
    <t>Company Quality Grade</t>
  </si>
  <si>
    <t>PAT Margin Improvement</t>
  </si>
  <si>
    <t>ROA Improvement</t>
  </si>
  <si>
    <t>WC/Sales Improvement</t>
  </si>
  <si>
    <t>Debt Reduction</t>
  </si>
  <si>
    <t>Market Size Opportunity</t>
  </si>
  <si>
    <t>WTD MAX SCORE</t>
  </si>
  <si>
    <t>ROA Trend</t>
  </si>
  <si>
    <t>B</t>
  </si>
  <si>
    <t>SUSTAINED PERFORMANCE</t>
  </si>
  <si>
    <t>Sustanable Growth</t>
  </si>
  <si>
    <t>Economic Value Addition</t>
  </si>
  <si>
    <t>Questionable</t>
  </si>
  <si>
    <t>Regulatory Approval</t>
  </si>
  <si>
    <t>Future Triggers</t>
  </si>
  <si>
    <t>Credit Risk</t>
  </si>
  <si>
    <t>WC/Sales</t>
  </si>
  <si>
    <t>CUPID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</si>
</sst>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 #,##0.00_ ;_ * \-#,##0.00_ ;_ * &quot;-&quot;??_ ;_ @_ "/>
    <numFmt numFmtId="165" formatCode="[$-409]mmm\-yy;@"/>
    <numFmt numFmtId="166" formatCode="[$-409]d\-mmm\-yy;@"/>
    <numFmt numFmtId="167" formatCode="0.0%"/>
    <numFmt numFmtId="168" formatCode="0.0"/>
    <numFmt numFmtId="169" formatCode="_(* #,##0_);_(* \(#,##0\);_(* &quot;-&quot;??_);_(@_)"/>
    <numFmt numFmtId="170" formatCode="_(* #,##0.0_);_(* \(#,##0.0\);_(* &quot;-&quot;??_);_(@_)"/>
    <numFmt numFmtId="171" formatCode="[$-409]mmm/yy;@"/>
    <numFmt numFmtId="172" formatCode="dd/mm/yy"/>
  </numFmts>
  <fonts count="68"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i/>
      <sz val="11"/>
      <color theme="1"/>
      <name val="Calibri"/>
      <family val="2"/>
      <scheme val="minor"/>
    </font>
    <font>
      <b/>
      <i/>
      <sz val="11"/>
      <color theme="1"/>
      <name val="Calibri"/>
      <family val="2"/>
      <scheme val="minor"/>
    </font>
    <font>
      <i/>
      <sz val="8"/>
      <color theme="1"/>
      <name val="Calibri"/>
      <family val="2"/>
      <scheme val="minor"/>
    </font>
    <font>
      <b/>
      <i/>
      <sz val="8"/>
      <color theme="1"/>
      <name val="Calibri"/>
      <family val="2"/>
      <scheme val="minor"/>
    </font>
    <font>
      <sz val="8"/>
      <color theme="1"/>
      <name val="Calibri"/>
      <family val="2"/>
      <scheme val="minor"/>
    </font>
    <font>
      <sz val="9"/>
      <color indexed="81"/>
      <name val="Tahoma"/>
      <family val="2"/>
    </font>
    <font>
      <b/>
      <sz val="9"/>
      <color indexed="81"/>
      <name val="Tahoma"/>
      <family val="2"/>
    </font>
    <font>
      <b/>
      <u/>
      <sz val="14"/>
      <color theme="1"/>
      <name val="Calibri"/>
      <family val="2"/>
      <scheme val="minor"/>
    </font>
    <font>
      <b/>
      <u/>
      <sz val="13"/>
      <color theme="1"/>
      <name val="Calibri"/>
      <family val="2"/>
      <scheme val="minor"/>
    </font>
    <font>
      <b/>
      <sz val="15"/>
      <name val="Arial"/>
      <family val="2"/>
    </font>
    <font>
      <i/>
      <sz val="12"/>
      <color rgb="FFC00000"/>
      <name val="Arial"/>
      <family val="2"/>
    </font>
    <font>
      <sz val="12"/>
      <color theme="1"/>
      <name val="Arial"/>
      <family val="2"/>
    </font>
    <font>
      <sz val="12"/>
      <name val="Arial"/>
      <family val="2"/>
    </font>
    <font>
      <b/>
      <i/>
      <sz val="9"/>
      <color indexed="81"/>
      <name val="Tahoma"/>
      <family val="2"/>
    </font>
    <font>
      <b/>
      <sz val="12"/>
      <color theme="1"/>
      <name val="Arial"/>
      <family val="2"/>
    </font>
    <font>
      <b/>
      <sz val="15"/>
      <color rgb="FFC00000"/>
      <name val="Arial"/>
      <family val="2"/>
    </font>
    <font>
      <b/>
      <sz val="12"/>
      <color rgb="FFC00000"/>
      <name val="Arial"/>
      <family val="2"/>
    </font>
    <font>
      <b/>
      <sz val="11"/>
      <color theme="1"/>
      <name val="Arial"/>
      <family val="2"/>
    </font>
    <font>
      <b/>
      <sz val="12"/>
      <name val="Arial"/>
      <family val="2"/>
    </font>
    <font>
      <b/>
      <sz val="12"/>
      <color theme="0"/>
      <name val="Arial"/>
      <family val="2"/>
    </font>
    <font>
      <b/>
      <sz val="15"/>
      <color theme="1"/>
      <name val="Arial"/>
      <family val="2"/>
    </font>
    <font>
      <sz val="12"/>
      <color rgb="FF000000"/>
      <name val="Arial"/>
      <family val="2"/>
    </font>
    <font>
      <b/>
      <sz val="12"/>
      <color theme="0" tint="-4.9989318521683403E-2"/>
      <name val="Arial"/>
      <family val="2"/>
    </font>
    <font>
      <i/>
      <sz val="9"/>
      <color indexed="81"/>
      <name val="Tahoma"/>
      <family val="2"/>
    </font>
    <font>
      <b/>
      <sz val="20"/>
      <color rgb="FFC00000"/>
      <name val="Arial"/>
      <family val="2"/>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1"/>
      <color indexed="8"/>
      <name val="Calibri"/>
      <family val="2"/>
      <charset val="1"/>
    </font>
    <font>
      <sz val="10"/>
      <color indexed="8"/>
      <name val="Calibri"/>
      <family val="2"/>
      <charset val="1"/>
    </font>
    <font>
      <sz val="10"/>
      <name val="Arial"/>
      <family val="2"/>
    </font>
    <font>
      <b/>
      <sz val="9"/>
      <color indexed="8"/>
      <name val="Tahoma"/>
      <family val="2"/>
      <charset val="1"/>
    </font>
    <font>
      <sz val="9"/>
      <color indexed="8"/>
      <name val="Tahoma"/>
      <family val="2"/>
      <charset val="1"/>
    </font>
    <font>
      <b/>
      <sz val="9"/>
      <color theme="1"/>
      <name val="Cambria"/>
      <family val="1"/>
      <scheme val="major"/>
    </font>
    <font>
      <sz val="9"/>
      <color theme="1"/>
      <name val="Cambria"/>
      <family val="1"/>
      <scheme val="major"/>
    </font>
    <font>
      <b/>
      <sz val="10"/>
      <name val="Arial"/>
      <family val="2"/>
    </font>
    <font>
      <sz val="10"/>
      <color theme="1"/>
      <name val="Calibri"/>
      <family val="2"/>
      <scheme val="minor"/>
    </font>
    <font>
      <i/>
      <sz val="10"/>
      <color rgb="FFC00000"/>
      <name val="Arial"/>
      <family val="2"/>
    </font>
    <font>
      <sz val="10"/>
      <color theme="1"/>
      <name val="Arial"/>
      <family val="2"/>
    </font>
    <font>
      <b/>
      <sz val="10"/>
      <color theme="0"/>
      <name val="Arial"/>
      <family val="2"/>
    </font>
    <font>
      <b/>
      <sz val="10"/>
      <color theme="1"/>
      <name val="Calibri"/>
      <family val="2"/>
      <scheme val="minor"/>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sz val="9"/>
      <color indexed="8"/>
      <name val="Calibri"/>
      <family val="2"/>
      <charset val="1"/>
    </font>
    <font>
      <sz val="9"/>
      <color theme="1"/>
      <name val="Calibri"/>
      <family val="2"/>
      <charset val="1"/>
    </font>
    <font>
      <sz val="11"/>
      <color rgb="FF404040"/>
      <name val="Arial"/>
      <family val="2"/>
    </font>
    <font>
      <b/>
      <sz val="11"/>
      <color rgb="FF404040"/>
      <name val="Arial"/>
      <family val="2"/>
    </font>
    <font>
      <sz val="9"/>
      <color rgb="FF444444"/>
      <name val="Cambria"/>
      <family val="1"/>
      <scheme val="major"/>
    </font>
    <font>
      <b/>
      <sz val="9"/>
      <color rgb="FF444444"/>
      <name val="Cambria"/>
      <family val="1"/>
      <scheme val="major"/>
    </font>
    <font>
      <b/>
      <sz val="9"/>
      <color theme="1"/>
      <name val="Calibri"/>
      <family val="2"/>
    </font>
  </fonts>
  <fills count="30">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39997558519241921"/>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FF00"/>
        <bgColor indexed="64"/>
      </patternFill>
    </fill>
    <fill>
      <patternFill patternType="solid">
        <fgColor rgb="FFFFC000"/>
        <bgColor indexed="64"/>
      </patternFill>
    </fill>
    <fill>
      <patternFill patternType="solid">
        <fgColor indexed="61"/>
        <bgColor indexed="25"/>
      </patternFill>
    </fill>
    <fill>
      <patternFill patternType="solid">
        <fgColor indexed="19"/>
        <bgColor indexed="23"/>
      </patternFill>
    </fill>
    <fill>
      <patternFill patternType="solid">
        <fgColor indexed="9"/>
        <bgColor indexed="27"/>
      </patternFill>
    </fill>
    <fill>
      <patternFill patternType="solid">
        <fgColor rgb="FF0275D8"/>
        <bgColor indexed="31"/>
      </patternFill>
    </fill>
    <fill>
      <patternFill patternType="solid">
        <fgColor theme="0"/>
        <bgColor indexed="64"/>
      </patternFill>
    </fill>
    <fill>
      <patternFill patternType="solid">
        <fgColor theme="0"/>
        <bgColor indexed="25"/>
      </patternFill>
    </fill>
    <fill>
      <patternFill patternType="solid">
        <fgColor theme="0" tint="-0.249977111117893"/>
        <bgColor indexed="25"/>
      </patternFill>
    </fill>
    <fill>
      <patternFill patternType="solid">
        <fgColor rgb="FFFFFFFF"/>
        <bgColor indexed="64"/>
      </patternFill>
    </fill>
    <fill>
      <patternFill patternType="solid">
        <fgColor theme="0"/>
        <bgColor indexed="23"/>
      </patternFill>
    </fill>
    <fill>
      <patternFill patternType="solid">
        <fgColor rgb="FFFFC5C5"/>
        <bgColor indexed="64"/>
      </patternFill>
    </fill>
    <fill>
      <patternFill patternType="solid">
        <fgColor rgb="FFC7E6A4"/>
        <bgColor indexed="64"/>
      </patternFill>
    </fill>
    <fill>
      <patternFill patternType="solid">
        <fgColor theme="0" tint="-4.9989318521683403E-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thin">
        <color indexed="8"/>
      </top>
      <bottom/>
      <diagonal/>
    </border>
    <border>
      <left style="thin">
        <color indexed="8"/>
      </left>
      <right style="thin">
        <color indexed="8"/>
      </right>
      <top style="thin">
        <color indexed="8"/>
      </top>
      <bottom/>
      <diagonal/>
    </border>
    <border>
      <left/>
      <right style="thin">
        <color indexed="64"/>
      </right>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44" fillId="0" borderId="0"/>
    <xf numFmtId="9" fontId="42" fillId="0" borderId="0"/>
  </cellStyleXfs>
  <cellXfs count="501">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9" fontId="0" fillId="0" borderId="0" xfId="6" applyFont="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167" fontId="0" fillId="0" borderId="0" xfId="6" applyNumberFormat="1" applyFont="1" applyAlignment="1">
      <alignment horizontal="center" vertical="center"/>
    </xf>
    <xf numFmtId="2" fontId="0" fillId="0" borderId="0" xfId="0" applyNumberFormat="1" applyAlignment="1">
      <alignment horizontal="center" vertical="center"/>
    </xf>
    <xf numFmtId="168" fontId="0" fillId="0" borderId="0" xfId="0" applyNumberFormat="1" applyAlignment="1">
      <alignment horizontal="center" vertical="center"/>
    </xf>
    <xf numFmtId="0" fontId="1" fillId="0" borderId="0" xfId="0" applyFont="1"/>
    <xf numFmtId="166" fontId="1" fillId="0" borderId="0" xfId="0" applyNumberFormat="1" applyFont="1"/>
    <xf numFmtId="1" fontId="0" fillId="0" borderId="0" xfId="0" applyNumberFormat="1" applyAlignment="1">
      <alignment horizontal="center" vertical="center"/>
    </xf>
    <xf numFmtId="0" fontId="12" fillId="0" borderId="0" xfId="0" applyFont="1" applyAlignment="1">
      <alignment wrapText="1"/>
    </xf>
    <xf numFmtId="0" fontId="1"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1" fillId="0" borderId="0" xfId="0" applyFont="1" applyAlignment="1">
      <alignment horizontal="center" vertical="center"/>
    </xf>
    <xf numFmtId="2" fontId="0" fillId="0" borderId="0" xfId="6" applyNumberFormat="1" applyFont="1" applyAlignment="1">
      <alignment horizontal="center" vertical="center"/>
    </xf>
    <xf numFmtId="168" fontId="0" fillId="0" borderId="0" xfId="6" applyNumberFormat="1" applyFont="1" applyAlignment="1">
      <alignment horizontal="center" vertical="center"/>
    </xf>
    <xf numFmtId="0" fontId="0" fillId="0" borderId="0" xfId="0" applyFill="1" applyAlignment="1">
      <alignment horizontal="center" vertical="center"/>
    </xf>
    <xf numFmtId="0" fontId="0" fillId="0" borderId="0" xfId="0" applyFill="1" applyAlignment="1">
      <alignment horizontal="center"/>
    </xf>
    <xf numFmtId="1" fontId="0" fillId="0" borderId="0" xfId="0" applyNumberFormat="1" applyFill="1" applyAlignment="1">
      <alignment horizontal="center" vertical="center"/>
    </xf>
    <xf numFmtId="168" fontId="0" fillId="0" borderId="0" xfId="0" applyNumberFormat="1" applyFill="1" applyAlignment="1">
      <alignment horizontal="center" vertical="center"/>
    </xf>
    <xf numFmtId="166" fontId="1" fillId="0" borderId="0" xfId="6" applyNumberFormat="1" applyFont="1" applyAlignment="1">
      <alignment horizontal="center" vertical="center"/>
    </xf>
    <xf numFmtId="166" fontId="1" fillId="0" borderId="0" xfId="0" applyNumberFormat="1" applyFont="1" applyAlignment="1">
      <alignment horizontal="center" vertical="center"/>
    </xf>
    <xf numFmtId="9" fontId="3" fillId="0" borderId="0" xfId="6" applyFont="1" applyAlignment="1">
      <alignment horizontal="center" vertical="center"/>
    </xf>
    <xf numFmtId="1" fontId="0" fillId="0" borderId="0" xfId="6" applyNumberFormat="1" applyFont="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21" fillId="0" borderId="0" xfId="0" applyFont="1"/>
    <xf numFmtId="0" fontId="21" fillId="0" borderId="0" xfId="0" applyFont="1" applyAlignment="1">
      <alignment horizontal="left"/>
    </xf>
    <xf numFmtId="0" fontId="22" fillId="0" borderId="0" xfId="0" applyFont="1"/>
    <xf numFmtId="0" fontId="28" fillId="7" borderId="1" xfId="0" applyFont="1" applyFill="1" applyBorder="1" applyAlignment="1">
      <alignment horizontal="center"/>
    </xf>
    <xf numFmtId="0" fontId="28" fillId="7" borderId="2" xfId="0" applyFont="1" applyFill="1" applyBorder="1" applyAlignment="1">
      <alignment horizontal="center"/>
    </xf>
    <xf numFmtId="0" fontId="28" fillId="7" borderId="3" xfId="0" applyFont="1" applyFill="1" applyBorder="1" applyAlignment="1">
      <alignment horizontal="center"/>
    </xf>
    <xf numFmtId="0" fontId="22" fillId="0" borderId="15" xfId="0" applyFont="1" applyBorder="1" applyAlignment="1">
      <alignment horizontal="center"/>
    </xf>
    <xf numFmtId="0" fontId="22" fillId="0" borderId="4" xfId="0" applyFont="1" applyBorder="1" applyAlignment="1">
      <alignment horizontal="center"/>
    </xf>
    <xf numFmtId="49" fontId="28" fillId="7" borderId="16" xfId="0" applyNumberFormat="1" applyFont="1" applyFill="1" applyBorder="1" applyAlignment="1">
      <alignment horizontal="center"/>
    </xf>
    <xf numFmtId="49" fontId="28" fillId="7" borderId="17" xfId="0" applyNumberFormat="1" applyFont="1" applyFill="1" applyBorder="1" applyAlignment="1">
      <alignment horizontal="center"/>
    </xf>
    <xf numFmtId="9" fontId="0" fillId="0" borderId="0" xfId="0" applyNumberFormat="1"/>
    <xf numFmtId="38" fontId="22" fillId="0" borderId="18" xfId="0" applyNumberFormat="1" applyFont="1" applyBorder="1" applyAlignment="1">
      <alignment horizontal="center"/>
    </xf>
    <xf numFmtId="9" fontId="22" fillId="0" borderId="18" xfId="0" applyNumberFormat="1" applyFont="1" applyBorder="1" applyAlignment="1">
      <alignment horizontal="center"/>
    </xf>
    <xf numFmtId="169" fontId="22" fillId="0" borderId="19" xfId="0" applyNumberFormat="1" applyFont="1" applyBorder="1" applyAlignment="1">
      <alignment horizontal="center"/>
    </xf>
    <xf numFmtId="38" fontId="22" fillId="0" borderId="5" xfId="0" applyNumberFormat="1" applyFont="1" applyBorder="1" applyAlignment="1">
      <alignment horizontal="center"/>
    </xf>
    <xf numFmtId="9" fontId="22" fillId="0" borderId="5" xfId="0" applyNumberFormat="1" applyFont="1" applyBorder="1" applyAlignment="1">
      <alignment horizontal="center"/>
    </xf>
    <xf numFmtId="170" fontId="22" fillId="0" borderId="19" xfId="0" applyNumberFormat="1" applyFont="1" applyBorder="1" applyAlignment="1">
      <alignment horizontal="center"/>
    </xf>
    <xf numFmtId="170" fontId="22" fillId="0" borderId="6" xfId="0" applyNumberFormat="1" applyFont="1" applyBorder="1" applyAlignment="1">
      <alignment horizontal="center"/>
    </xf>
    <xf numFmtId="0" fontId="22" fillId="0" borderId="15" xfId="0" applyFont="1" applyBorder="1" applyAlignment="1">
      <alignment horizontal="left"/>
    </xf>
    <xf numFmtId="0" fontId="22" fillId="0" borderId="15" xfId="0" quotePrefix="1" applyFont="1" applyBorder="1" applyAlignment="1">
      <alignment horizontal="left"/>
    </xf>
    <xf numFmtId="0" fontId="29" fillId="8" borderId="4" xfId="0" applyFont="1" applyFill="1" applyBorder="1" applyAlignment="1">
      <alignment horizontal="left"/>
    </xf>
    <xf numFmtId="169" fontId="29" fillId="8" borderId="6" xfId="0" applyNumberFormat="1" applyFont="1" applyFill="1" applyBorder="1" applyAlignment="1">
      <alignment horizontal="center"/>
    </xf>
    <xf numFmtId="0" fontId="0" fillId="0" borderId="0" xfId="0" applyBorder="1" applyAlignment="1">
      <alignment horizontal="center" vertical="center"/>
    </xf>
    <xf numFmtId="0" fontId="1" fillId="0" borderId="0" xfId="0" applyFont="1" applyBorder="1" applyAlignment="1">
      <alignment horizontal="left" vertical="center"/>
    </xf>
    <xf numFmtId="43" fontId="0" fillId="0" borderId="0" xfId="0" applyNumberFormat="1" applyBorder="1"/>
    <xf numFmtId="0" fontId="0" fillId="0" borderId="0" xfId="0" applyBorder="1" applyAlignment="1">
      <alignment wrapText="1"/>
    </xf>
    <xf numFmtId="43" fontId="0" fillId="0" borderId="0" xfId="0" applyNumberFormat="1"/>
    <xf numFmtId="0" fontId="24" fillId="7" borderId="1" xfId="0" applyFont="1" applyFill="1" applyBorder="1"/>
    <xf numFmtId="171" fontId="24" fillId="7" borderId="2" xfId="0" applyNumberFormat="1" applyFont="1" applyFill="1" applyBorder="1" applyAlignment="1">
      <alignment horizontal="right"/>
    </xf>
    <xf numFmtId="0" fontId="31" fillId="0" borderId="15" xfId="0" applyFont="1" applyFill="1" applyBorder="1"/>
    <xf numFmtId="0" fontId="31" fillId="0" borderId="4" xfId="0" applyFont="1" applyFill="1" applyBorder="1"/>
    <xf numFmtId="0" fontId="21" fillId="0" borderId="15" xfId="0" applyFont="1" applyFill="1" applyBorder="1"/>
    <xf numFmtId="169" fontId="21" fillId="0" borderId="19" xfId="1" applyNumberFormat="1" applyFont="1" applyFill="1" applyBorder="1"/>
    <xf numFmtId="0" fontId="21" fillId="0" borderId="0" xfId="0" applyFont="1" applyBorder="1"/>
    <xf numFmtId="0" fontId="21" fillId="0" borderId="15" xfId="0" applyFont="1" applyFill="1" applyBorder="1" applyAlignment="1">
      <alignment horizontal="left"/>
    </xf>
    <xf numFmtId="0" fontId="26" fillId="0" borderId="15" xfId="0" applyFont="1" applyBorder="1"/>
    <xf numFmtId="9" fontId="26" fillId="0" borderId="19" xfId="0" applyNumberFormat="1" applyFont="1" applyBorder="1"/>
    <xf numFmtId="0" fontId="32" fillId="8" borderId="15" xfId="0" applyFont="1" applyFill="1" applyBorder="1"/>
    <xf numFmtId="169" fontId="32" fillId="8" borderId="19" xfId="1" applyNumberFormat="1" applyFont="1" applyFill="1" applyBorder="1"/>
    <xf numFmtId="0" fontId="24" fillId="0" borderId="15" xfId="0" applyFont="1" applyBorder="1"/>
    <xf numFmtId="169" fontId="24" fillId="0" borderId="19" xfId="1" applyNumberFormat="1" applyFont="1" applyBorder="1"/>
    <xf numFmtId="0" fontId="21" fillId="0" borderId="4" xfId="0" applyFont="1" applyFill="1" applyBorder="1"/>
    <xf numFmtId="167" fontId="24" fillId="0" borderId="6" xfId="6" applyNumberFormat="1" applyFont="1" applyFill="1" applyBorder="1"/>
    <xf numFmtId="168" fontId="0" fillId="0" borderId="0" xfId="0" applyNumberFormat="1"/>
    <xf numFmtId="1" fontId="3" fillId="0" borderId="0" xfId="6" applyNumberFormat="1" applyFont="1" applyAlignment="1">
      <alignment horizontal="center" vertical="center"/>
    </xf>
    <xf numFmtId="1" fontId="0" fillId="0" borderId="0" xfId="0" applyNumberFormat="1"/>
    <xf numFmtId="0" fontId="30" fillId="0" borderId="0" xfId="0" applyFont="1"/>
    <xf numFmtId="0" fontId="24" fillId="6" borderId="2" xfId="0" applyFont="1" applyFill="1" applyBorder="1" applyAlignment="1">
      <alignment horizontal="right"/>
    </xf>
    <xf numFmtId="0" fontId="24" fillId="6" borderId="3" xfId="0" applyFont="1" applyFill="1" applyBorder="1" applyAlignment="1">
      <alignment horizontal="right"/>
    </xf>
    <xf numFmtId="0" fontId="21" fillId="0" borderId="15" xfId="0" applyFont="1" applyBorder="1" applyAlignment="1">
      <alignment wrapText="1"/>
    </xf>
    <xf numFmtId="0" fontId="21" fillId="0" borderId="23" xfId="0" applyFont="1" applyBorder="1" applyAlignment="1">
      <alignment wrapText="1"/>
    </xf>
    <xf numFmtId="0" fontId="21" fillId="0" borderId="4" xfId="0" applyFont="1" applyBorder="1" applyAlignment="1">
      <alignment wrapText="1"/>
    </xf>
    <xf numFmtId="0" fontId="24" fillId="0" borderId="0" xfId="0" applyFont="1"/>
    <xf numFmtId="0" fontId="21" fillId="0" borderId="1" xfId="0" applyFont="1" applyBorder="1"/>
    <xf numFmtId="0" fontId="21" fillId="0" borderId="15" xfId="0" applyFont="1" applyBorder="1"/>
    <xf numFmtId="0" fontId="24" fillId="9" borderId="4" xfId="0" applyFont="1" applyFill="1" applyBorder="1"/>
    <xf numFmtId="167" fontId="0" fillId="0" borderId="0" xfId="6" applyNumberFormat="1" applyFont="1"/>
    <xf numFmtId="9" fontId="21" fillId="6" borderId="18" xfId="6" applyNumberFormat="1" applyFont="1" applyFill="1" applyBorder="1" applyAlignment="1">
      <alignment horizontal="right"/>
    </xf>
    <xf numFmtId="9" fontId="21" fillId="6" borderId="19" xfId="6" applyNumberFormat="1" applyFont="1" applyFill="1" applyBorder="1" applyAlignment="1">
      <alignment horizontal="right"/>
    </xf>
    <xf numFmtId="169" fontId="21" fillId="0" borderId="19" xfId="1" applyNumberFormat="1" applyFont="1" applyBorder="1"/>
    <xf numFmtId="167" fontId="24" fillId="9" borderId="6" xfId="6" applyNumberFormat="1" applyFont="1" applyFill="1" applyBorder="1"/>
    <xf numFmtId="0" fontId="35" fillId="0" borderId="0" xfId="0" applyFont="1" applyBorder="1"/>
    <xf numFmtId="0" fontId="36" fillId="0" borderId="0" xfId="0" applyFont="1" applyBorder="1"/>
    <xf numFmtId="0" fontId="38" fillId="11" borderId="0" xfId="0" applyFont="1" applyFill="1"/>
    <xf numFmtId="0" fontId="38" fillId="0" borderId="0" xfId="0" applyFont="1"/>
    <xf numFmtId="0" fontId="37" fillId="12" borderId="24" xfId="0" applyFont="1" applyFill="1" applyBorder="1" applyAlignment="1">
      <alignment horizontal="center"/>
    </xf>
    <xf numFmtId="172" fontId="37" fillId="12" borderId="24" xfId="0" applyNumberFormat="1" applyFont="1" applyFill="1" applyBorder="1" applyAlignment="1">
      <alignment horizontal="center"/>
    </xf>
    <xf numFmtId="0" fontId="39" fillId="0" borderId="24" xfId="0" applyFont="1" applyBorder="1"/>
    <xf numFmtId="0" fontId="38" fillId="0" borderId="24" xfId="0" applyFont="1" applyBorder="1"/>
    <xf numFmtId="0" fontId="41" fillId="14" borderId="25" xfId="0" applyFont="1" applyFill="1" applyBorder="1" applyAlignment="1">
      <alignment horizontal="right" vertical="center" wrapText="1"/>
    </xf>
    <xf numFmtId="0" fontId="37" fillId="15" borderId="25" xfId="0" applyFont="1" applyFill="1" applyBorder="1"/>
    <xf numFmtId="172" fontId="37" fillId="12" borderId="25" xfId="0" applyNumberFormat="1" applyFont="1" applyFill="1" applyBorder="1" applyAlignment="1">
      <alignment horizontal="center"/>
    </xf>
    <xf numFmtId="10" fontId="38" fillId="0" borderId="0" xfId="0" applyNumberFormat="1" applyFont="1" applyFill="1"/>
    <xf numFmtId="0" fontId="37" fillId="12" borderId="26" xfId="0" applyFont="1" applyFill="1" applyBorder="1" applyAlignment="1">
      <alignment horizontal="center"/>
    </xf>
    <xf numFmtId="172" fontId="37" fillId="12" borderId="26" xfId="0" applyNumberFormat="1" applyFont="1" applyFill="1" applyBorder="1" applyAlignment="1">
      <alignment horizontal="center"/>
    </xf>
    <xf numFmtId="0" fontId="38" fillId="0" borderId="18" xfId="0" applyFont="1" applyBorder="1"/>
    <xf numFmtId="0" fontId="38" fillId="11" borderId="27" xfId="0" applyFont="1" applyFill="1" applyBorder="1"/>
    <xf numFmtId="0" fontId="38" fillId="0" borderId="18" xfId="0" applyFont="1" applyFill="1" applyBorder="1"/>
    <xf numFmtId="0" fontId="38" fillId="16" borderId="18" xfId="0" applyFont="1" applyFill="1" applyBorder="1"/>
    <xf numFmtId="0" fontId="36" fillId="0" borderId="18" xfId="0" applyFont="1" applyBorder="1"/>
    <xf numFmtId="2" fontId="38" fillId="0" borderId="18" xfId="0" applyNumberFormat="1" applyFont="1" applyBorder="1"/>
    <xf numFmtId="9" fontId="43" fillId="0" borderId="18" xfId="6" applyFont="1" applyBorder="1"/>
    <xf numFmtId="0" fontId="38" fillId="0" borderId="25" xfId="0" applyFont="1" applyBorder="1"/>
    <xf numFmtId="43" fontId="38" fillId="0" borderId="18" xfId="0" applyNumberFormat="1" applyFont="1" applyBorder="1"/>
    <xf numFmtId="0" fontId="38" fillId="0" borderId="24" xfId="0" applyFont="1" applyFill="1" applyBorder="1" applyAlignment="1">
      <alignment horizontal="left" wrapText="1"/>
    </xf>
    <xf numFmtId="4" fontId="40" fillId="0" borderId="18" xfId="0" applyNumberFormat="1" applyFont="1" applyFill="1" applyBorder="1" applyAlignment="1">
      <alignment horizontal="right" vertical="center" wrapText="1"/>
    </xf>
    <xf numFmtId="0" fontId="38" fillId="0" borderId="25" xfId="0" applyFont="1" applyFill="1" applyBorder="1"/>
    <xf numFmtId="2" fontId="38" fillId="0" borderId="25" xfId="0" applyNumberFormat="1" applyFont="1" applyFill="1" applyBorder="1"/>
    <xf numFmtId="2" fontId="38" fillId="0" borderId="25" xfId="0" applyNumberFormat="1" applyFont="1" applyFill="1" applyBorder="1" applyAlignment="1">
      <alignment horizontal="right"/>
    </xf>
    <xf numFmtId="0" fontId="38" fillId="17" borderId="25" xfId="0" applyFont="1" applyFill="1" applyBorder="1"/>
    <xf numFmtId="0" fontId="38" fillId="17" borderId="18" xfId="0" applyFont="1" applyFill="1" applyBorder="1"/>
    <xf numFmtId="0" fontId="38" fillId="0" borderId="25" xfId="0" applyFont="1" applyFill="1" applyBorder="1" applyAlignment="1">
      <alignment horizontal="left"/>
    </xf>
    <xf numFmtId="10" fontId="38" fillId="0" borderId="18" xfId="0" applyNumberFormat="1" applyFont="1" applyBorder="1"/>
    <xf numFmtId="0" fontId="38" fillId="0" borderId="18" xfId="0" applyFont="1" applyFill="1" applyBorder="1" applyAlignment="1"/>
    <xf numFmtId="2" fontId="38" fillId="0" borderId="18" xfId="0" applyNumberFormat="1" applyFont="1" applyFill="1" applyBorder="1" applyAlignment="1">
      <alignment horizontal="center" vertical="center"/>
    </xf>
    <xf numFmtId="0" fontId="0" fillId="0" borderId="0" xfId="0" applyAlignment="1">
      <alignment horizontal="right"/>
    </xf>
    <xf numFmtId="0" fontId="1" fillId="0" borderId="0" xfId="0" applyFont="1" applyAlignment="1">
      <alignment horizontal="left"/>
    </xf>
    <xf numFmtId="0" fontId="1" fillId="0" borderId="0" xfId="0" applyFont="1" applyAlignment="1">
      <alignment horizontal="left" vertical="center"/>
    </xf>
    <xf numFmtId="10" fontId="0" fillId="0" borderId="0" xfId="0" applyNumberFormat="1"/>
    <xf numFmtId="167" fontId="0" fillId="0" borderId="0" xfId="0" applyNumberFormat="1"/>
    <xf numFmtId="2" fontId="0" fillId="0" borderId="0" xfId="0" applyNumberFormat="1"/>
    <xf numFmtId="9" fontId="0" fillId="0" borderId="0" xfId="6" applyFont="1"/>
    <xf numFmtId="2" fontId="0" fillId="0" borderId="0" xfId="6" applyNumberFormat="1" applyFont="1"/>
    <xf numFmtId="0" fontId="0" fillId="5" borderId="0" xfId="0" applyFill="1"/>
    <xf numFmtId="1" fontId="0" fillId="0" borderId="0" xfId="6" applyNumberFormat="1" applyFont="1"/>
    <xf numFmtId="0" fontId="0" fillId="5" borderId="0" xfId="0" applyFill="1" applyAlignment="1">
      <alignment horizontal="right"/>
    </xf>
    <xf numFmtId="9" fontId="36" fillId="0" borderId="0" xfId="6" applyFont="1"/>
    <xf numFmtId="0" fontId="11" fillId="0" borderId="0" xfId="0" applyFont="1"/>
    <xf numFmtId="0" fontId="11" fillId="0" borderId="18" xfId="0" applyFont="1" applyBorder="1"/>
    <xf numFmtId="0" fontId="1" fillId="0" borderId="18" xfId="0" applyFont="1" applyBorder="1"/>
    <xf numFmtId="0" fontId="0" fillId="0" borderId="18" xfId="0" applyBorder="1"/>
    <xf numFmtId="0" fontId="11" fillId="0" borderId="18" xfId="0" applyFont="1" applyBorder="1" applyAlignment="1">
      <alignment horizontal="center" vertical="center"/>
    </xf>
    <xf numFmtId="9" fontId="11" fillId="0" borderId="18" xfId="6" applyFont="1" applyBorder="1" applyAlignment="1">
      <alignment horizontal="center" vertical="center"/>
    </xf>
    <xf numFmtId="0" fontId="1" fillId="0" borderId="18" xfId="0" applyFont="1" applyBorder="1" applyAlignment="1">
      <alignment horizontal="center" vertical="center"/>
    </xf>
    <xf numFmtId="0" fontId="0" fillId="0" borderId="18" xfId="0" applyBorder="1" applyAlignment="1">
      <alignment horizontal="center" vertical="center"/>
    </xf>
    <xf numFmtId="9" fontId="0" fillId="0" borderId="18" xfId="6" applyFont="1" applyBorder="1" applyAlignment="1">
      <alignment horizontal="center" vertical="center"/>
    </xf>
    <xf numFmtId="9" fontId="0" fillId="0" borderId="0" xfId="6" applyFont="1" applyBorder="1"/>
    <xf numFmtId="2" fontId="38" fillId="0" borderId="18" xfId="0" applyNumberFormat="1" applyFont="1" applyBorder="1" applyAlignment="1">
      <alignment horizontal="center" vertical="center"/>
    </xf>
    <xf numFmtId="1" fontId="3" fillId="16" borderId="0" xfId="6" applyNumberFormat="1" applyFont="1" applyFill="1" applyAlignment="1">
      <alignment horizontal="center" vertical="center"/>
    </xf>
    <xf numFmtId="0" fontId="38" fillId="0" borderId="0" xfId="0" applyFont="1" applyBorder="1"/>
    <xf numFmtId="10" fontId="38" fillId="0" borderId="0" xfId="0" applyNumberFormat="1" applyFont="1" applyBorder="1"/>
    <xf numFmtId="170" fontId="38" fillId="0" borderId="0" xfId="0" applyNumberFormat="1" applyFont="1" applyBorder="1"/>
    <xf numFmtId="9" fontId="0" fillId="0" borderId="0" xfId="6" applyFont="1" applyFill="1" applyAlignment="1">
      <alignment horizontal="center" vertical="center"/>
    </xf>
    <xf numFmtId="2" fontId="0" fillId="0" borderId="0" xfId="6" applyNumberFormat="1" applyFont="1" applyFill="1" applyAlignment="1">
      <alignment horizontal="center" vertical="center"/>
    </xf>
    <xf numFmtId="9" fontId="1" fillId="0" borderId="0" xfId="6" applyFont="1" applyAlignment="1">
      <alignment horizontal="center" vertical="center"/>
    </xf>
    <xf numFmtId="168" fontId="48" fillId="0" borderId="18" xfId="0" applyNumberFormat="1" applyFont="1" applyBorder="1" applyAlignment="1">
      <alignment horizontal="center" vertical="center" wrapText="1"/>
    </xf>
    <xf numFmtId="9" fontId="48" fillId="0" borderId="18" xfId="6" applyFont="1" applyBorder="1" applyAlignment="1">
      <alignment horizontal="center" vertical="center" wrapText="1"/>
    </xf>
    <xf numFmtId="9" fontId="48" fillId="0" borderId="18" xfId="0" applyNumberFormat="1" applyFont="1" applyBorder="1" applyAlignment="1">
      <alignment horizontal="center" vertical="center" wrapText="1"/>
    </xf>
    <xf numFmtId="0" fontId="48" fillId="0" borderId="18" xfId="0" applyFont="1" applyBorder="1" applyAlignment="1">
      <alignment horizontal="center" vertical="center" wrapText="1"/>
    </xf>
    <xf numFmtId="9" fontId="47" fillId="0" borderId="18" xfId="0" applyNumberFormat="1" applyFont="1" applyBorder="1" applyAlignment="1">
      <alignment horizontal="center" vertical="center" wrapText="1"/>
    </xf>
    <xf numFmtId="168" fontId="47" fillId="0" borderId="18" xfId="0" applyNumberFormat="1" applyFont="1" applyBorder="1" applyAlignment="1">
      <alignment horizontal="center" vertical="center" wrapText="1"/>
    </xf>
    <xf numFmtId="0" fontId="50" fillId="0" borderId="0" xfId="0" applyFont="1"/>
    <xf numFmtId="0" fontId="52" fillId="0" borderId="0" xfId="0" applyFont="1"/>
    <xf numFmtId="0" fontId="52" fillId="0" borderId="0" xfId="0" applyFont="1" applyAlignment="1">
      <alignment horizontal="left"/>
    </xf>
    <xf numFmtId="49" fontId="49" fillId="7" borderId="16" xfId="0" applyNumberFormat="1" applyFont="1" applyFill="1" applyBorder="1" applyAlignment="1">
      <alignment horizontal="center"/>
    </xf>
    <xf numFmtId="9" fontId="50" fillId="27" borderId="0" xfId="0" applyNumberFormat="1" applyFont="1" applyFill="1" applyAlignment="1">
      <alignment horizontal="center" vertical="center"/>
    </xf>
    <xf numFmtId="0" fontId="50" fillId="0" borderId="0" xfId="0" applyFont="1" applyAlignment="1">
      <alignment horizontal="center" vertical="center"/>
    </xf>
    <xf numFmtId="0" fontId="44" fillId="0" borderId="0" xfId="0" applyFont="1"/>
    <xf numFmtId="0" fontId="49" fillId="7" borderId="1" xfId="0" applyFont="1" applyFill="1" applyBorder="1" applyAlignment="1">
      <alignment horizontal="center"/>
    </xf>
    <xf numFmtId="0" fontId="49" fillId="7" borderId="2" xfId="0" applyFont="1" applyFill="1" applyBorder="1" applyAlignment="1">
      <alignment horizontal="center"/>
    </xf>
    <xf numFmtId="0" fontId="49" fillId="7" borderId="3" xfId="0" applyFont="1" applyFill="1" applyBorder="1" applyAlignment="1">
      <alignment horizontal="center"/>
    </xf>
    <xf numFmtId="0" fontId="44" fillId="0" borderId="15" xfId="0" applyFont="1" applyBorder="1" applyAlignment="1">
      <alignment horizontal="center"/>
    </xf>
    <xf numFmtId="38" fontId="44" fillId="0" borderId="18" xfId="0" applyNumberFormat="1" applyFont="1" applyBorder="1" applyAlignment="1">
      <alignment horizontal="center" vertical="center"/>
    </xf>
    <xf numFmtId="9" fontId="44" fillId="0" borderId="18" xfId="0" applyNumberFormat="1" applyFont="1" applyBorder="1" applyAlignment="1">
      <alignment horizontal="center" vertical="center"/>
    </xf>
    <xf numFmtId="170" fontId="44" fillId="0" borderId="19" xfId="0" applyNumberFormat="1" applyFont="1" applyBorder="1" applyAlignment="1">
      <alignment horizontal="center" vertical="center"/>
    </xf>
    <xf numFmtId="0" fontId="44" fillId="0" borderId="4" xfId="0" applyFont="1" applyBorder="1" applyAlignment="1">
      <alignment horizontal="center"/>
    </xf>
    <xf numFmtId="38" fontId="44" fillId="0" borderId="5" xfId="0" applyNumberFormat="1" applyFont="1" applyBorder="1" applyAlignment="1">
      <alignment horizontal="center" vertical="center"/>
    </xf>
    <xf numFmtId="170" fontId="44" fillId="0" borderId="6" xfId="0" applyNumberFormat="1" applyFont="1" applyBorder="1" applyAlignment="1">
      <alignment horizontal="center" vertical="center"/>
    </xf>
    <xf numFmtId="38" fontId="44" fillId="0" borderId="18" xfId="0" applyNumberFormat="1" applyFont="1" applyBorder="1" applyAlignment="1">
      <alignment horizontal="center"/>
    </xf>
    <xf numFmtId="9" fontId="44" fillId="0" borderId="18" xfId="0" applyNumberFormat="1" applyFont="1" applyBorder="1" applyAlignment="1">
      <alignment horizontal="center"/>
    </xf>
    <xf numFmtId="169" fontId="44" fillId="0" borderId="19" xfId="0" applyNumberFormat="1" applyFont="1" applyBorder="1" applyAlignment="1">
      <alignment horizontal="center"/>
    </xf>
    <xf numFmtId="0" fontId="44" fillId="0" borderId="15" xfId="0" applyFont="1" applyBorder="1" applyAlignment="1">
      <alignment horizontal="left"/>
    </xf>
    <xf numFmtId="0" fontId="44" fillId="0" borderId="15" xfId="0" quotePrefix="1" applyFont="1" applyBorder="1" applyAlignment="1">
      <alignment horizontal="left"/>
    </xf>
    <xf numFmtId="9" fontId="50" fillId="0" borderId="0" xfId="6" applyFont="1"/>
    <xf numFmtId="43" fontId="44" fillId="0" borderId="19" xfId="0" applyNumberFormat="1" applyFont="1" applyBorder="1" applyAlignment="1">
      <alignment horizontal="center"/>
    </xf>
    <xf numFmtId="0" fontId="53" fillId="8" borderId="4" xfId="0" applyFont="1" applyFill="1" applyBorder="1" applyAlignment="1">
      <alignment horizontal="left"/>
    </xf>
    <xf numFmtId="169" fontId="53" fillId="8" borderId="6" xfId="0" applyNumberFormat="1" applyFont="1" applyFill="1" applyBorder="1" applyAlignment="1">
      <alignment horizontal="center"/>
    </xf>
    <xf numFmtId="9" fontId="50" fillId="0" borderId="0" xfId="0" applyNumberFormat="1" applyFont="1" applyAlignment="1">
      <alignment horizontal="center" vertical="center"/>
    </xf>
    <xf numFmtId="0" fontId="49" fillId="7" borderId="1" xfId="0" applyFont="1" applyFill="1" applyBorder="1" applyAlignment="1">
      <alignment horizontal="center"/>
    </xf>
    <xf numFmtId="0" fontId="49" fillId="7" borderId="3" xfId="0" applyFont="1" applyFill="1" applyBorder="1" applyAlignment="1">
      <alignment horizontal="center"/>
    </xf>
    <xf numFmtId="1" fontId="48" fillId="0" borderId="42" xfId="0" applyNumberFormat="1" applyFont="1" applyBorder="1" applyAlignment="1">
      <alignment horizontal="center" vertical="center" wrapText="1"/>
    </xf>
    <xf numFmtId="1" fontId="48" fillId="0" borderId="18" xfId="0" applyNumberFormat="1" applyFont="1" applyBorder="1" applyAlignment="1">
      <alignment horizontal="center" vertical="center" wrapText="1"/>
    </xf>
    <xf numFmtId="0" fontId="49" fillId="7" borderId="16" xfId="0" applyNumberFormat="1" applyFont="1" applyFill="1" applyBorder="1" applyAlignment="1">
      <alignment horizontal="center"/>
    </xf>
    <xf numFmtId="0" fontId="49" fillId="7" borderId="17" xfId="0" applyNumberFormat="1" applyFont="1" applyFill="1" applyBorder="1" applyAlignment="1">
      <alignment horizontal="center"/>
    </xf>
    <xf numFmtId="0" fontId="0" fillId="0" borderId="0" xfId="0" quotePrefix="1"/>
    <xf numFmtId="0" fontId="56" fillId="0" borderId="0" xfId="7" applyFont="1" applyAlignment="1">
      <alignment wrapText="1"/>
    </xf>
    <xf numFmtId="0" fontId="56" fillId="0" borderId="38" xfId="7" applyFont="1" applyBorder="1" applyAlignment="1">
      <alignment wrapText="1"/>
    </xf>
    <xf numFmtId="0" fontId="57" fillId="24" borderId="38" xfId="7" applyFont="1" applyFill="1" applyBorder="1" applyAlignment="1">
      <alignment horizontal="center" wrapText="1"/>
    </xf>
    <xf numFmtId="0" fontId="58" fillId="0" borderId="25" xfId="7" applyFont="1" applyBorder="1" applyAlignment="1">
      <alignment wrapText="1"/>
    </xf>
    <xf numFmtId="2" fontId="59" fillId="18" borderId="25" xfId="7" applyNumberFormat="1" applyFont="1" applyFill="1" applyBorder="1" applyAlignment="1">
      <alignment horizontal="center" wrapText="1"/>
    </xf>
    <xf numFmtId="10" fontId="59" fillId="18" borderId="25" xfId="7" applyNumberFormat="1" applyFont="1" applyFill="1" applyBorder="1" applyAlignment="1">
      <alignment horizontal="center" wrapText="1"/>
    </xf>
    <xf numFmtId="1" fontId="59" fillId="18" borderId="25" xfId="7" applyNumberFormat="1" applyFont="1" applyFill="1" applyBorder="1" applyAlignment="1">
      <alignment horizontal="center" wrapText="1"/>
    </xf>
    <xf numFmtId="2" fontId="59" fillId="18" borderId="0" xfId="7" applyNumberFormat="1" applyFont="1" applyFill="1" applyBorder="1" applyAlignment="1">
      <alignment horizontal="center" wrapText="1"/>
    </xf>
    <xf numFmtId="10" fontId="59" fillId="18" borderId="0" xfId="7" applyNumberFormat="1" applyFont="1" applyFill="1" applyBorder="1" applyAlignment="1">
      <alignment horizontal="center" wrapText="1"/>
    </xf>
    <xf numFmtId="168" fontId="59" fillId="18" borderId="0" xfId="7" applyNumberFormat="1" applyFont="1" applyFill="1" applyBorder="1" applyAlignment="1">
      <alignment horizontal="center" wrapText="1"/>
    </xf>
    <xf numFmtId="9" fontId="59" fillId="18" borderId="0" xfId="6" applyFont="1" applyFill="1" applyBorder="1" applyAlignment="1">
      <alignment horizontal="center" wrapText="1"/>
    </xf>
    <xf numFmtId="168" fontId="59" fillId="18" borderId="25" xfId="7" applyNumberFormat="1" applyFont="1" applyFill="1" applyBorder="1" applyAlignment="1">
      <alignment horizontal="center" wrapText="1"/>
    </xf>
    <xf numFmtId="9" fontId="59" fillId="18" borderId="25" xfId="6" applyFont="1" applyFill="1" applyBorder="1" applyAlignment="1">
      <alignment horizontal="center" wrapText="1"/>
    </xf>
    <xf numFmtId="0" fontId="58" fillId="0" borderId="18" xfId="7" applyFont="1" applyBorder="1" applyAlignment="1">
      <alignment wrapText="1"/>
    </xf>
    <xf numFmtId="2" fontId="59" fillId="18" borderId="18" xfId="7" applyNumberFormat="1" applyFont="1" applyFill="1" applyBorder="1" applyAlignment="1">
      <alignment horizontal="center" wrapText="1"/>
    </xf>
    <xf numFmtId="10" fontId="59" fillId="18" borderId="18" xfId="7" applyNumberFormat="1" applyFont="1" applyFill="1" applyBorder="1" applyAlignment="1">
      <alignment horizontal="center" wrapText="1"/>
    </xf>
    <xf numFmtId="0" fontId="56" fillId="0" borderId="18" xfId="7" applyFont="1" applyBorder="1" applyAlignment="1">
      <alignment wrapText="1"/>
    </xf>
    <xf numFmtId="168" fontId="59" fillId="18" borderId="18" xfId="7" applyNumberFormat="1" applyFont="1" applyFill="1" applyBorder="1" applyAlignment="1">
      <alignment horizontal="center" wrapText="1"/>
    </xf>
    <xf numFmtId="9" fontId="59" fillId="18" borderId="18" xfId="6" applyFont="1" applyFill="1" applyBorder="1" applyAlignment="1">
      <alignment horizontal="center" wrapText="1"/>
    </xf>
    <xf numFmtId="0" fontId="58" fillId="0" borderId="36" xfId="7" applyFont="1" applyBorder="1" applyAlignment="1">
      <alignment wrapText="1"/>
    </xf>
    <xf numFmtId="2" fontId="59" fillId="18" borderId="36" xfId="7" applyNumberFormat="1" applyFont="1" applyFill="1" applyBorder="1" applyAlignment="1">
      <alignment horizontal="center" wrapText="1"/>
    </xf>
    <xf numFmtId="10" fontId="59" fillId="18" borderId="36" xfId="7" applyNumberFormat="1" applyFont="1" applyFill="1" applyBorder="1" applyAlignment="1">
      <alignment horizontal="center" wrapText="1"/>
    </xf>
    <xf numFmtId="1" fontId="59" fillId="18" borderId="36" xfId="7" applyNumberFormat="1" applyFont="1" applyFill="1" applyBorder="1" applyAlignment="1">
      <alignment horizontal="center" wrapText="1"/>
    </xf>
    <xf numFmtId="168" fontId="59" fillId="18" borderId="36" xfId="7" applyNumberFormat="1" applyFont="1" applyFill="1" applyBorder="1" applyAlignment="1">
      <alignment horizontal="center" wrapText="1"/>
    </xf>
    <xf numFmtId="9" fontId="59" fillId="18" borderId="36" xfId="6" applyFont="1" applyFill="1" applyBorder="1" applyAlignment="1">
      <alignment horizontal="center" wrapText="1"/>
    </xf>
    <xf numFmtId="167" fontId="57" fillId="18" borderId="18" xfId="7" applyNumberFormat="1" applyFont="1" applyFill="1" applyBorder="1" applyAlignment="1">
      <alignment horizontal="center" vertical="center" wrapText="1"/>
    </xf>
    <xf numFmtId="167" fontId="57" fillId="23" borderId="18" xfId="7" applyNumberFormat="1" applyFont="1" applyFill="1" applyBorder="1" applyAlignment="1">
      <alignment horizontal="center" vertical="center" wrapText="1"/>
    </xf>
    <xf numFmtId="10" fontId="58" fillId="0" borderId="18" xfId="7" applyNumberFormat="1" applyFont="1" applyBorder="1" applyAlignment="1">
      <alignment horizontal="center" vertical="center" wrapText="1"/>
    </xf>
    <xf numFmtId="0" fontId="58" fillId="0" borderId="18" xfId="7" applyFont="1" applyBorder="1" applyAlignment="1">
      <alignment horizontal="center" vertical="center" wrapText="1"/>
    </xf>
    <xf numFmtId="2" fontId="58" fillId="0" borderId="18" xfId="7" applyNumberFormat="1" applyFont="1" applyBorder="1" applyAlignment="1">
      <alignment horizontal="center" vertical="center" wrapText="1"/>
    </xf>
    <xf numFmtId="167" fontId="58" fillId="0" borderId="18" xfId="7" applyNumberFormat="1" applyFont="1" applyBorder="1" applyAlignment="1">
      <alignment horizontal="center" vertical="center" wrapText="1"/>
    </xf>
    <xf numFmtId="0" fontId="56" fillId="0" borderId="0" xfId="7" applyFont="1" applyBorder="1" applyAlignment="1">
      <alignment horizontal="center" wrapText="1"/>
    </xf>
    <xf numFmtId="0" fontId="56" fillId="0" borderId="0" xfId="7" applyFont="1" applyBorder="1" applyAlignment="1">
      <alignment wrapText="1"/>
    </xf>
    <xf numFmtId="0" fontId="58" fillId="0" borderId="0" xfId="7" applyFont="1" applyBorder="1" applyAlignment="1">
      <alignment wrapText="1"/>
    </xf>
    <xf numFmtId="0" fontId="55" fillId="12" borderId="25" xfId="7" applyFont="1" applyFill="1" applyBorder="1" applyAlignment="1">
      <alignment horizontal="center" wrapText="1"/>
    </xf>
    <xf numFmtId="0" fontId="55" fillId="12" borderId="37" xfId="7" applyFont="1" applyFill="1" applyBorder="1" applyAlignment="1">
      <alignment horizontal="center" wrapText="1"/>
    </xf>
    <xf numFmtId="0" fontId="60" fillId="0" borderId="25" xfId="7" applyFont="1" applyFill="1" applyBorder="1" applyAlignment="1">
      <alignment horizontal="right" wrapText="1"/>
    </xf>
    <xf numFmtId="1" fontId="59" fillId="18" borderId="25" xfId="7" applyNumberFormat="1" applyFont="1" applyFill="1" applyBorder="1" applyAlignment="1">
      <alignment horizontal="center" vertical="center" wrapText="1"/>
    </xf>
    <xf numFmtId="2" fontId="59" fillId="18" borderId="25" xfId="7" applyNumberFormat="1" applyFont="1" applyFill="1" applyBorder="1" applyAlignment="1">
      <alignment horizontal="center" vertical="center" wrapText="1"/>
    </xf>
    <xf numFmtId="2" fontId="55" fillId="18" borderId="25" xfId="7" applyNumberFormat="1" applyFont="1" applyFill="1" applyBorder="1" applyAlignment="1">
      <alignment horizontal="center" wrapText="1"/>
    </xf>
    <xf numFmtId="168" fontId="55" fillId="18" borderId="25" xfId="7" applyNumberFormat="1" applyFont="1" applyFill="1" applyBorder="1" applyAlignment="1">
      <alignment horizontal="center" wrapText="1"/>
    </xf>
    <xf numFmtId="9" fontId="55" fillId="18" borderId="25" xfId="6" applyFont="1" applyFill="1" applyBorder="1" applyAlignment="1">
      <alignment horizontal="center" wrapText="1"/>
    </xf>
    <xf numFmtId="0" fontId="56" fillId="0" borderId="29" xfId="7" applyFont="1" applyBorder="1" applyAlignment="1">
      <alignment horizontal="left" wrapText="1"/>
    </xf>
    <xf numFmtId="0" fontId="55" fillId="12" borderId="24" xfId="7" applyFont="1" applyFill="1" applyBorder="1" applyAlignment="1">
      <alignment horizontal="center" wrapText="1"/>
    </xf>
    <xf numFmtId="0" fontId="55" fillId="12" borderId="18" xfId="7" applyFont="1" applyFill="1" applyBorder="1" applyAlignment="1">
      <alignment horizontal="center" wrapText="1"/>
    </xf>
    <xf numFmtId="0" fontId="58" fillId="0" borderId="24" xfId="7" applyFont="1" applyBorder="1" applyAlignment="1">
      <alignment horizontal="right" wrapText="1"/>
    </xf>
    <xf numFmtId="167" fontId="55" fillId="19" borderId="25" xfId="7" applyNumberFormat="1" applyFont="1" applyFill="1" applyBorder="1" applyAlignment="1">
      <alignment horizontal="center" vertical="center" wrapText="1"/>
    </xf>
    <xf numFmtId="167" fontId="56" fillId="0" borderId="0" xfId="7" applyNumberFormat="1" applyFont="1" applyAlignment="1">
      <alignment horizontal="center" vertical="center" wrapText="1"/>
    </xf>
    <xf numFmtId="167" fontId="56" fillId="0" borderId="0" xfId="7" applyNumberFormat="1" applyFont="1" applyAlignment="1">
      <alignment wrapText="1"/>
    </xf>
    <xf numFmtId="167" fontId="56" fillId="0" borderId="0" xfId="6" applyNumberFormat="1" applyFont="1" applyAlignment="1">
      <alignment horizontal="center" vertical="center" wrapText="1"/>
    </xf>
    <xf numFmtId="167" fontId="59" fillId="18" borderId="25" xfId="7" applyNumberFormat="1" applyFont="1" applyFill="1" applyBorder="1" applyAlignment="1">
      <alignment horizontal="center" wrapText="1"/>
    </xf>
    <xf numFmtId="0" fontId="59" fillId="18" borderId="25" xfId="7" applyFont="1" applyFill="1" applyBorder="1" applyAlignment="1">
      <alignment wrapText="1"/>
    </xf>
    <xf numFmtId="9" fontId="59" fillId="18" borderId="25" xfId="7" applyNumberFormat="1" applyFont="1" applyFill="1" applyBorder="1" applyAlignment="1">
      <alignment horizontal="center" wrapText="1"/>
    </xf>
    <xf numFmtId="0" fontId="59" fillId="18" borderId="0" xfId="7" applyFont="1" applyFill="1" applyAlignment="1">
      <alignment wrapText="1"/>
    </xf>
    <xf numFmtId="0" fontId="59" fillId="18" borderId="25" xfId="7" applyFont="1" applyFill="1" applyBorder="1" applyAlignment="1">
      <alignment horizontal="left" wrapText="1"/>
    </xf>
    <xf numFmtId="0" fontId="58" fillId="22" borderId="0" xfId="7" applyFont="1" applyFill="1" applyBorder="1" applyAlignment="1">
      <alignment horizontal="right" wrapText="1"/>
    </xf>
    <xf numFmtId="167" fontId="57" fillId="23" borderId="0" xfId="7" applyNumberFormat="1" applyFont="1" applyFill="1" applyBorder="1" applyAlignment="1">
      <alignment horizontal="center" vertical="center" wrapText="1"/>
    </xf>
    <xf numFmtId="167" fontId="55" fillId="26" borderId="0" xfId="7" applyNumberFormat="1" applyFont="1" applyFill="1" applyBorder="1" applyAlignment="1">
      <alignment horizontal="center" vertical="center" wrapText="1"/>
    </xf>
    <xf numFmtId="167" fontId="59" fillId="23" borderId="0" xfId="7" applyNumberFormat="1" applyFont="1" applyFill="1" applyBorder="1" applyAlignment="1">
      <alignment horizontal="center" wrapText="1"/>
    </xf>
    <xf numFmtId="0" fontId="56" fillId="22" borderId="0" xfId="7" applyFont="1" applyFill="1" applyAlignment="1">
      <alignment wrapText="1"/>
    </xf>
    <xf numFmtId="168" fontId="57" fillId="23" borderId="0" xfId="7" applyNumberFormat="1" applyFont="1" applyFill="1" applyBorder="1" applyAlignment="1">
      <alignment horizontal="center" vertical="center" wrapText="1"/>
    </xf>
    <xf numFmtId="167" fontId="58" fillId="22" borderId="0" xfId="7" applyNumberFormat="1" applyFont="1" applyFill="1" applyBorder="1" applyAlignment="1">
      <alignment horizontal="center" vertical="center" wrapText="1"/>
    </xf>
    <xf numFmtId="168" fontId="58" fillId="0" borderId="0" xfId="7" applyNumberFormat="1" applyFont="1" applyBorder="1" applyAlignment="1">
      <alignment horizontal="center" vertical="center" wrapText="1"/>
    </xf>
    <xf numFmtId="2" fontId="58" fillId="0" borderId="0" xfId="7" applyNumberFormat="1" applyFont="1" applyAlignment="1">
      <alignment horizontal="center" vertical="center" wrapText="1"/>
    </xf>
    <xf numFmtId="10" fontId="58" fillId="0" borderId="0" xfId="7" applyNumberFormat="1" applyFont="1" applyAlignment="1">
      <alignment horizontal="center" vertical="center" wrapText="1"/>
    </xf>
    <xf numFmtId="167" fontId="58" fillId="0" borderId="0" xfId="7" applyNumberFormat="1" applyFont="1" applyAlignment="1">
      <alignment horizontal="center" vertical="center" wrapText="1"/>
    </xf>
    <xf numFmtId="167" fontId="56" fillId="0" borderId="0" xfId="7" applyNumberFormat="1" applyFont="1" applyAlignment="1">
      <alignment horizontal="center" wrapText="1"/>
    </xf>
    <xf numFmtId="0" fontId="58" fillId="0" borderId="0" xfId="7" applyFont="1" applyAlignment="1">
      <alignment horizontal="center" vertical="center" wrapText="1"/>
    </xf>
    <xf numFmtId="10" fontId="58" fillId="0" borderId="0" xfId="7" applyNumberFormat="1" applyFont="1" applyBorder="1" applyAlignment="1">
      <alignment wrapText="1"/>
    </xf>
    <xf numFmtId="14" fontId="55" fillId="12" borderId="24" xfId="7" applyNumberFormat="1" applyFont="1" applyFill="1" applyBorder="1" applyAlignment="1">
      <alignment horizontal="center" wrapText="1"/>
    </xf>
    <xf numFmtId="2" fontId="55" fillId="18" borderId="24" xfId="7" applyNumberFormat="1" applyFont="1" applyFill="1" applyBorder="1" applyAlignment="1">
      <alignment horizontal="center" vertical="center" wrapText="1"/>
    </xf>
    <xf numFmtId="168" fontId="55" fillId="18" borderId="24" xfId="7" applyNumberFormat="1" applyFont="1" applyFill="1" applyBorder="1" applyAlignment="1">
      <alignment horizontal="center" vertical="center" wrapText="1"/>
    </xf>
    <xf numFmtId="9" fontId="56" fillId="0" borderId="0" xfId="6" applyFont="1" applyAlignment="1">
      <alignment wrapText="1"/>
    </xf>
    <xf numFmtId="0" fontId="58" fillId="20" borderId="24" xfId="7" applyFont="1" applyFill="1" applyBorder="1" applyAlignment="1">
      <alignment horizontal="right" wrapText="1"/>
    </xf>
    <xf numFmtId="10" fontId="55" fillId="18" borderId="24" xfId="7" applyNumberFormat="1" applyFont="1" applyFill="1" applyBorder="1" applyAlignment="1">
      <alignment horizontal="center" vertical="center" wrapText="1"/>
    </xf>
    <xf numFmtId="0" fontId="58" fillId="0" borderId="0" xfId="7" applyFont="1" applyAlignment="1">
      <alignment wrapText="1"/>
    </xf>
    <xf numFmtId="1" fontId="55" fillId="18" borderId="24" xfId="7" applyNumberFormat="1" applyFont="1" applyFill="1" applyBorder="1" applyAlignment="1">
      <alignment horizontal="center" vertical="center" wrapText="1"/>
    </xf>
    <xf numFmtId="0" fontId="58" fillId="0" borderId="0" xfId="7" applyFont="1" applyBorder="1" applyAlignment="1">
      <alignment horizontal="right" wrapText="1"/>
    </xf>
    <xf numFmtId="0" fontId="58" fillId="0" borderId="0" xfId="7" applyFont="1" applyAlignment="1">
      <alignment horizontal="right" wrapText="1"/>
    </xf>
    <xf numFmtId="0" fontId="58" fillId="0" borderId="24" xfId="7" applyFont="1" applyFill="1" applyBorder="1" applyAlignment="1">
      <alignment horizontal="right" wrapText="1"/>
    </xf>
    <xf numFmtId="10" fontId="59" fillId="19" borderId="24" xfId="7" applyNumberFormat="1" applyFont="1" applyFill="1" applyBorder="1" applyAlignment="1">
      <alignment horizontal="center" vertical="center" wrapText="1"/>
    </xf>
    <xf numFmtId="167" fontId="59" fillId="19" borderId="24" xfId="7" applyNumberFormat="1" applyFont="1" applyFill="1" applyBorder="1" applyAlignment="1">
      <alignment horizontal="center" vertical="center" wrapText="1"/>
    </xf>
    <xf numFmtId="10" fontId="56" fillId="0" borderId="0" xfId="7" applyNumberFormat="1" applyFont="1" applyAlignment="1">
      <alignment wrapText="1"/>
    </xf>
    <xf numFmtId="10" fontId="55" fillId="19" borderId="24" xfId="7" applyNumberFormat="1" applyFont="1" applyFill="1" applyBorder="1" applyAlignment="1">
      <alignment horizontal="center" vertical="center" wrapText="1"/>
    </xf>
    <xf numFmtId="167" fontId="55" fillId="19" borderId="24" xfId="7" applyNumberFormat="1" applyFont="1" applyFill="1" applyBorder="1" applyAlignment="1">
      <alignment horizontal="center" vertical="center" wrapText="1"/>
    </xf>
    <xf numFmtId="167" fontId="55" fillId="19" borderId="34" xfId="7" applyNumberFormat="1" applyFont="1" applyFill="1" applyBorder="1" applyAlignment="1">
      <alignment vertical="center" wrapText="1"/>
    </xf>
    <xf numFmtId="10" fontId="55" fillId="19" borderId="24" xfId="7" applyNumberFormat="1" applyFont="1" applyFill="1" applyBorder="1" applyAlignment="1">
      <alignment wrapText="1"/>
    </xf>
    <xf numFmtId="10" fontId="55" fillId="19" borderId="32" xfId="7" applyNumberFormat="1" applyFont="1" applyFill="1" applyBorder="1" applyAlignment="1">
      <alignment horizontal="center" wrapText="1"/>
    </xf>
    <xf numFmtId="10" fontId="55" fillId="19" borderId="33" xfId="7" applyNumberFormat="1" applyFont="1" applyFill="1" applyBorder="1" applyAlignment="1">
      <alignment horizontal="center" wrapText="1"/>
    </xf>
    <xf numFmtId="10" fontId="55" fillId="19" borderId="34" xfId="7" applyNumberFormat="1" applyFont="1" applyFill="1" applyBorder="1" applyAlignment="1">
      <alignment horizontal="center" wrapText="1"/>
    </xf>
    <xf numFmtId="0" fontId="56" fillId="21" borderId="24" xfId="7" applyFont="1" applyFill="1" applyBorder="1" applyAlignment="1">
      <alignment wrapText="1"/>
    </xf>
    <xf numFmtId="14" fontId="56" fillId="21" borderId="24" xfId="7" applyNumberFormat="1" applyFont="1" applyFill="1" applyBorder="1" applyAlignment="1">
      <alignment wrapText="1"/>
    </xf>
    <xf numFmtId="0" fontId="56" fillId="0" borderId="24" xfId="7" applyFont="1" applyFill="1" applyBorder="1" applyAlignment="1">
      <alignment horizontal="left" wrapText="1"/>
    </xf>
    <xf numFmtId="2" fontId="56" fillId="0" borderId="24" xfId="7" applyNumberFormat="1" applyFont="1" applyFill="1" applyBorder="1" applyAlignment="1">
      <alignment horizontal="center" vertical="center" wrapText="1"/>
    </xf>
    <xf numFmtId="168" fontId="56" fillId="0" borderId="24" xfId="7" applyNumberFormat="1" applyFont="1" applyFill="1" applyBorder="1" applyAlignment="1">
      <alignment horizontal="center" vertical="center" wrapText="1"/>
    </xf>
    <xf numFmtId="0" fontId="56" fillId="0" borderId="24" xfId="7" applyFont="1" applyBorder="1" applyAlignment="1">
      <alignment wrapText="1"/>
    </xf>
    <xf numFmtId="10" fontId="56" fillId="0" borderId="24" xfId="7" applyNumberFormat="1" applyFont="1" applyBorder="1" applyAlignment="1">
      <alignment horizontal="center" vertical="center" wrapText="1"/>
    </xf>
    <xf numFmtId="2" fontId="56" fillId="0" borderId="24" xfId="7" applyNumberFormat="1" applyFont="1" applyBorder="1" applyAlignment="1">
      <alignment horizontal="center" vertical="center" wrapText="1"/>
    </xf>
    <xf numFmtId="9" fontId="56" fillId="0" borderId="24" xfId="6" applyFont="1" applyBorder="1" applyAlignment="1">
      <alignment horizontal="center" vertical="center" wrapText="1"/>
    </xf>
    <xf numFmtId="9" fontId="56" fillId="0" borderId="0" xfId="7" applyNumberFormat="1" applyFont="1" applyAlignment="1">
      <alignment horizontal="center" vertical="center" wrapText="1"/>
    </xf>
    <xf numFmtId="0" fontId="56" fillId="0" borderId="24" xfId="7" applyFont="1" applyFill="1" applyBorder="1" applyAlignment="1">
      <alignment wrapText="1"/>
    </xf>
    <xf numFmtId="43" fontId="56" fillId="0" borderId="24" xfId="7" applyNumberFormat="1" applyFont="1" applyFill="1" applyBorder="1" applyAlignment="1">
      <alignment horizontal="center" vertical="center" wrapText="1"/>
    </xf>
    <xf numFmtId="0" fontId="56" fillId="0" borderId="25" xfId="7" applyFont="1" applyFill="1" applyBorder="1" applyAlignment="1">
      <alignment wrapText="1"/>
    </xf>
    <xf numFmtId="0" fontId="56" fillId="0" borderId="25" xfId="7" applyFont="1" applyFill="1" applyBorder="1" applyAlignment="1">
      <alignment horizontal="center" vertical="center" wrapText="1"/>
    </xf>
    <xf numFmtId="43" fontId="56" fillId="0" borderId="25" xfId="7" applyNumberFormat="1" applyFont="1" applyFill="1" applyBorder="1" applyAlignment="1">
      <alignment horizontal="center" vertical="center" wrapText="1"/>
    </xf>
    <xf numFmtId="0" fontId="56" fillId="0" borderId="25" xfId="7" applyFont="1" applyBorder="1" applyAlignment="1">
      <alignment wrapText="1"/>
    </xf>
    <xf numFmtId="2" fontId="56" fillId="0" borderId="25" xfId="7" applyNumberFormat="1" applyFont="1" applyBorder="1" applyAlignment="1">
      <alignment horizontal="center" vertical="center" wrapText="1"/>
    </xf>
    <xf numFmtId="2" fontId="56" fillId="0" borderId="0" xfId="7" applyNumberFormat="1" applyFont="1" applyBorder="1" applyAlignment="1">
      <alignment wrapText="1"/>
    </xf>
    <xf numFmtId="10" fontId="56" fillId="0" borderId="25" xfId="7" applyNumberFormat="1" applyFont="1" applyFill="1" applyBorder="1" applyAlignment="1">
      <alignment horizontal="center" vertical="center" wrapText="1"/>
    </xf>
    <xf numFmtId="9" fontId="56" fillId="0" borderId="0" xfId="6" applyFont="1" applyFill="1" applyBorder="1" applyAlignment="1">
      <alignment wrapText="1"/>
    </xf>
    <xf numFmtId="2" fontId="56" fillId="0" borderId="0" xfId="7" applyNumberFormat="1" applyFont="1" applyFill="1" applyBorder="1" applyAlignment="1">
      <alignment wrapText="1"/>
    </xf>
    <xf numFmtId="2" fontId="56" fillId="0" borderId="0" xfId="7" applyNumberFormat="1" applyFont="1" applyFill="1" applyAlignment="1">
      <alignment wrapText="1"/>
    </xf>
    <xf numFmtId="10" fontId="56" fillId="0" borderId="0" xfId="7" applyNumberFormat="1" applyFont="1" applyFill="1" applyAlignment="1">
      <alignment wrapText="1"/>
    </xf>
    <xf numFmtId="0" fontId="56" fillId="0" borderId="0" xfId="7" applyFont="1" applyFill="1" applyAlignment="1">
      <alignment wrapText="1"/>
    </xf>
    <xf numFmtId="0" fontId="56" fillId="0" borderId="0" xfId="7" applyFont="1" applyAlignment="1">
      <alignment horizontal="center" vertical="center" wrapText="1"/>
    </xf>
    <xf numFmtId="10" fontId="56" fillId="0" borderId="18" xfId="7" applyNumberFormat="1" applyFont="1" applyBorder="1" applyAlignment="1">
      <alignment horizontal="center" vertical="center" wrapText="1"/>
    </xf>
    <xf numFmtId="2" fontId="56" fillId="0" borderId="18" xfId="7" applyNumberFormat="1" applyFont="1" applyBorder="1" applyAlignment="1">
      <alignment horizontal="center" vertical="center" wrapText="1"/>
    </xf>
    <xf numFmtId="10" fontId="61" fillId="0" borderId="18" xfId="8" applyNumberFormat="1" applyFont="1" applyBorder="1" applyAlignment="1">
      <alignment horizontal="center" vertical="center" wrapText="1"/>
    </xf>
    <xf numFmtId="168" fontId="57" fillId="26" borderId="0" xfId="7" applyNumberFormat="1" applyFont="1" applyFill="1" applyBorder="1" applyAlignment="1">
      <alignment horizontal="center" vertical="center" wrapText="1"/>
    </xf>
    <xf numFmtId="167" fontId="57" fillId="26" borderId="0" xfId="7" applyNumberFormat="1" applyFont="1" applyFill="1" applyBorder="1" applyAlignment="1">
      <alignment horizontal="center" vertical="center" wrapText="1"/>
    </xf>
    <xf numFmtId="167" fontId="62" fillId="23" borderId="0" xfId="7" applyNumberFormat="1" applyFont="1" applyFill="1" applyBorder="1" applyAlignment="1">
      <alignment horizontal="center" wrapText="1"/>
    </xf>
    <xf numFmtId="0" fontId="55" fillId="12" borderId="18" xfId="7" applyFont="1" applyFill="1" applyBorder="1" applyAlignment="1">
      <alignment horizontal="center" vertical="center" wrapText="1"/>
    </xf>
    <xf numFmtId="168" fontId="57" fillId="23" borderId="18" xfId="7" applyNumberFormat="1" applyFont="1" applyFill="1" applyBorder="1" applyAlignment="1">
      <alignment horizontal="center" vertical="center" wrapText="1"/>
    </xf>
    <xf numFmtId="1" fontId="58" fillId="22" borderId="18" xfId="7" applyNumberFormat="1" applyFont="1" applyFill="1" applyBorder="1" applyAlignment="1">
      <alignment horizontal="center" vertical="center" wrapText="1"/>
    </xf>
    <xf numFmtId="168" fontId="58" fillId="22" borderId="18" xfId="7" applyNumberFormat="1" applyFont="1" applyFill="1" applyBorder="1" applyAlignment="1">
      <alignment horizontal="center" vertical="center" wrapText="1"/>
    </xf>
    <xf numFmtId="2" fontId="58" fillId="22" borderId="18" xfId="7" applyNumberFormat="1" applyFont="1" applyFill="1" applyBorder="1" applyAlignment="1">
      <alignment horizontal="center" vertical="center" wrapText="1"/>
    </xf>
    <xf numFmtId="167" fontId="59" fillId="23" borderId="18" xfId="7" applyNumberFormat="1" applyFont="1" applyFill="1" applyBorder="1" applyAlignment="1">
      <alignment horizontal="center" wrapText="1"/>
    </xf>
    <xf numFmtId="1" fontId="58" fillId="22" borderId="0" xfId="7" applyNumberFormat="1" applyFont="1" applyFill="1" applyBorder="1" applyAlignment="1">
      <alignment horizontal="center" vertical="center" wrapText="1"/>
    </xf>
    <xf numFmtId="168" fontId="58" fillId="22" borderId="0" xfId="7" applyNumberFormat="1" applyFont="1" applyFill="1" applyBorder="1" applyAlignment="1">
      <alignment horizontal="center" vertical="center" wrapText="1"/>
    </xf>
    <xf numFmtId="2" fontId="58" fillId="22" borderId="0" xfId="7" applyNumberFormat="1" applyFont="1" applyFill="1" applyBorder="1" applyAlignment="1">
      <alignment horizontal="center" vertical="center" wrapText="1"/>
    </xf>
    <xf numFmtId="167" fontId="58" fillId="22" borderId="18" xfId="7" applyNumberFormat="1" applyFont="1" applyFill="1" applyBorder="1" applyAlignment="1">
      <alignment horizontal="center" vertical="center" wrapText="1"/>
    </xf>
    <xf numFmtId="0" fontId="56" fillId="22" borderId="18" xfId="7" applyFont="1" applyFill="1" applyBorder="1" applyAlignment="1">
      <alignment wrapText="1"/>
    </xf>
    <xf numFmtId="168" fontId="57" fillId="26" borderId="18" xfId="7" applyNumberFormat="1" applyFont="1" applyFill="1" applyBorder="1" applyAlignment="1">
      <alignment horizontal="center" vertical="center" wrapText="1"/>
    </xf>
    <xf numFmtId="167" fontId="57" fillId="26" borderId="18" xfId="7" applyNumberFormat="1" applyFont="1" applyFill="1" applyBorder="1" applyAlignment="1">
      <alignment horizontal="center" vertical="center" wrapText="1"/>
    </xf>
    <xf numFmtId="167" fontId="62" fillId="23" borderId="18" xfId="7" applyNumberFormat="1" applyFont="1" applyFill="1" applyBorder="1" applyAlignment="1">
      <alignment horizontal="center" wrapText="1"/>
    </xf>
    <xf numFmtId="0" fontId="56" fillId="22" borderId="0" xfId="7" applyFont="1" applyFill="1" applyBorder="1" applyAlignment="1">
      <alignment wrapText="1"/>
    </xf>
    <xf numFmtId="168" fontId="58" fillId="0" borderId="18" xfId="7" applyNumberFormat="1" applyFont="1" applyBorder="1" applyAlignment="1">
      <alignment horizontal="center" vertical="center" wrapText="1"/>
    </xf>
    <xf numFmtId="0" fontId="56" fillId="22" borderId="18" xfId="7" applyFont="1" applyFill="1" applyBorder="1" applyAlignment="1">
      <alignment horizontal="center" vertical="center" wrapText="1"/>
    </xf>
    <xf numFmtId="167" fontId="56" fillId="0" borderId="18" xfId="7" applyNumberFormat="1" applyFont="1" applyBorder="1" applyAlignment="1">
      <alignment horizontal="center" vertical="center" wrapText="1"/>
    </xf>
    <xf numFmtId="0" fontId="63" fillId="0" borderId="0" xfId="0" applyFont="1"/>
    <xf numFmtId="0" fontId="64" fillId="0" borderId="0" xfId="0" applyFont="1"/>
    <xf numFmtId="0" fontId="64" fillId="0" borderId="0" xfId="0" applyFont="1" applyAlignment="1">
      <alignment vertical="center" wrapText="1"/>
    </xf>
    <xf numFmtId="0" fontId="0" fillId="0" borderId="0" xfId="0" applyAlignment="1">
      <alignment horizontal="left" vertical="center" wrapText="1" indent="1"/>
    </xf>
    <xf numFmtId="0" fontId="64" fillId="0" borderId="0" xfId="0" applyFont="1" applyAlignment="1">
      <alignment horizontal="left" vertical="center" wrapText="1" indent="1"/>
    </xf>
    <xf numFmtId="0" fontId="0" fillId="0" borderId="0" xfId="0" applyAlignment="1">
      <alignment vertical="center" wrapText="1"/>
    </xf>
    <xf numFmtId="0" fontId="63" fillId="0" borderId="0" xfId="0" applyFont="1" applyAlignment="1">
      <alignment vertical="center" wrapText="1"/>
    </xf>
    <xf numFmtId="0" fontId="63" fillId="0" borderId="0" xfId="0" applyFont="1" applyAlignment="1">
      <alignment horizontal="left" vertical="center" wrapText="1" indent="1"/>
    </xf>
    <xf numFmtId="0" fontId="54" fillId="0" borderId="0" xfId="0" applyFont="1" applyAlignment="1">
      <alignment horizontal="left" vertical="center"/>
    </xf>
    <xf numFmtId="9" fontId="0" fillId="27" borderId="0" xfId="0" applyNumberFormat="1" applyFill="1" applyAlignment="1">
      <alignment horizontal="center" vertical="center"/>
    </xf>
    <xf numFmtId="1" fontId="50" fillId="7" borderId="0" xfId="0" applyNumberFormat="1" applyFont="1" applyFill="1" applyAlignment="1">
      <alignment horizontal="center" vertical="center"/>
    </xf>
    <xf numFmtId="168" fontId="44" fillId="7" borderId="0" xfId="0" applyNumberFormat="1" applyFont="1" applyFill="1" applyBorder="1" applyAlignment="1">
      <alignment horizontal="center"/>
    </xf>
    <xf numFmtId="9" fontId="44" fillId="7" borderId="0" xfId="6" applyFont="1" applyFill="1" applyBorder="1" applyAlignment="1">
      <alignment horizontal="center"/>
    </xf>
    <xf numFmtId="168" fontId="44" fillId="27" borderId="0" xfId="0" applyNumberFormat="1" applyFont="1" applyFill="1" applyBorder="1" applyAlignment="1">
      <alignment horizontal="center"/>
    </xf>
    <xf numFmtId="9" fontId="3" fillId="27" borderId="0" xfId="6" applyFont="1" applyFill="1" applyAlignment="1">
      <alignment horizontal="center" vertical="center"/>
    </xf>
    <xf numFmtId="9" fontId="50" fillId="7" borderId="0" xfId="0" applyNumberFormat="1" applyFont="1" applyFill="1" applyAlignment="1">
      <alignment horizontal="center" vertical="center"/>
    </xf>
    <xf numFmtId="9" fontId="0" fillId="7" borderId="0" xfId="6" applyFont="1" applyFill="1" applyAlignment="1">
      <alignment horizontal="center" vertical="center"/>
    </xf>
    <xf numFmtId="0" fontId="0" fillId="7" borderId="0" xfId="0" applyFill="1" applyAlignment="1">
      <alignment horizontal="center" vertical="center"/>
    </xf>
    <xf numFmtId="2" fontId="50" fillId="7" borderId="0" xfId="0" applyNumberFormat="1" applyFont="1" applyFill="1" applyAlignment="1">
      <alignment horizontal="center" vertical="center"/>
    </xf>
    <xf numFmtId="0" fontId="44" fillId="0" borderId="44" xfId="0" applyFont="1" applyFill="1" applyBorder="1" applyAlignment="1">
      <alignment horizontal="left"/>
    </xf>
    <xf numFmtId="10" fontId="55" fillId="19" borderId="25" xfId="7" applyNumberFormat="1" applyFont="1" applyFill="1" applyBorder="1" applyAlignment="1">
      <alignment horizontal="center" vertical="center" wrapText="1"/>
    </xf>
    <xf numFmtId="0" fontId="47" fillId="28" borderId="18" xfId="0" applyFont="1" applyFill="1" applyBorder="1" applyAlignment="1">
      <alignment horizontal="left" vertical="center" wrapText="1"/>
    </xf>
    <xf numFmtId="0" fontId="48" fillId="0" borderId="0" xfId="0" applyFont="1" applyAlignment="1">
      <alignment horizontal="center" wrapText="1"/>
    </xf>
    <xf numFmtId="0" fontId="48" fillId="0" borderId="0" xfId="0" applyFont="1" applyAlignment="1">
      <alignment wrapText="1"/>
    </xf>
    <xf numFmtId="167" fontId="48" fillId="0" borderId="18" xfId="6" applyNumberFormat="1" applyFont="1" applyBorder="1" applyAlignment="1">
      <alignment horizontal="center" vertical="center" wrapText="1"/>
    </xf>
    <xf numFmtId="2" fontId="48" fillId="0" borderId="18" xfId="6" applyNumberFormat="1" applyFont="1" applyBorder="1" applyAlignment="1">
      <alignment horizontal="center" vertical="center" wrapText="1"/>
    </xf>
    <xf numFmtId="167" fontId="48" fillId="0" borderId="0" xfId="6" applyNumberFormat="1" applyFont="1" applyAlignment="1">
      <alignment horizontal="center" vertical="center" wrapText="1"/>
    </xf>
    <xf numFmtId="2" fontId="48" fillId="0" borderId="0" xfId="6" applyNumberFormat="1" applyFont="1" applyAlignment="1">
      <alignment horizontal="center" vertical="center" wrapText="1"/>
    </xf>
    <xf numFmtId="168" fontId="48" fillId="0" borderId="18" xfId="6" applyNumberFormat="1" applyFont="1" applyBorder="1" applyAlignment="1">
      <alignment horizontal="center" vertical="center" wrapText="1"/>
    </xf>
    <xf numFmtId="1" fontId="48" fillId="0" borderId="18" xfId="6" applyNumberFormat="1" applyFont="1" applyBorder="1" applyAlignment="1">
      <alignment horizontal="center" vertical="center" wrapText="1"/>
    </xf>
    <xf numFmtId="0" fontId="65" fillId="7" borderId="18" xfId="0" applyFont="1" applyFill="1" applyBorder="1" applyAlignment="1">
      <alignment horizontal="center" vertical="center" wrapText="1"/>
    </xf>
    <xf numFmtId="0" fontId="66" fillId="7" borderId="18" xfId="0" applyFont="1" applyFill="1" applyBorder="1" applyAlignment="1">
      <alignment vertical="center" wrapText="1"/>
    </xf>
    <xf numFmtId="0" fontId="66" fillId="7" borderId="18" xfId="0" applyFont="1" applyFill="1" applyBorder="1" applyAlignment="1">
      <alignment horizontal="center" vertical="center" wrapText="1"/>
    </xf>
    <xf numFmtId="0" fontId="65" fillId="16" borderId="18" xfId="0" applyFont="1" applyFill="1" applyBorder="1" applyAlignment="1">
      <alignment horizontal="center" wrapText="1"/>
    </xf>
    <xf numFmtId="9" fontId="65" fillId="16" borderId="18" xfId="0" applyNumberFormat="1" applyFont="1" applyFill="1" applyBorder="1" applyAlignment="1">
      <alignment horizontal="center" wrapText="1"/>
    </xf>
    <xf numFmtId="0" fontId="65" fillId="25" borderId="18" xfId="0" applyFont="1" applyFill="1" applyBorder="1" applyAlignment="1">
      <alignment horizontal="center" wrapText="1"/>
    </xf>
    <xf numFmtId="0" fontId="65" fillId="25" borderId="18" xfId="0" applyFont="1" applyFill="1" applyBorder="1" applyAlignment="1">
      <alignment horizontal="center" vertical="center" wrapText="1"/>
    </xf>
    <xf numFmtId="0" fontId="65" fillId="25" borderId="18" xfId="0" applyFont="1" applyFill="1" applyBorder="1" applyAlignment="1">
      <alignment vertical="center" wrapText="1"/>
    </xf>
    <xf numFmtId="9" fontId="65" fillId="25" borderId="18" xfId="6" applyFont="1" applyFill="1" applyBorder="1" applyAlignment="1">
      <alignment horizontal="center" vertical="center" wrapText="1"/>
    </xf>
    <xf numFmtId="0" fontId="65" fillId="25" borderId="18" xfId="0" applyFont="1" applyFill="1" applyBorder="1" applyAlignment="1">
      <alignment horizontal="justify" vertical="center" wrapText="1"/>
    </xf>
    <xf numFmtId="9" fontId="65" fillId="25" borderId="18" xfId="0" applyNumberFormat="1" applyFont="1" applyFill="1" applyBorder="1" applyAlignment="1">
      <alignment horizontal="center" vertical="center" wrapText="1"/>
    </xf>
    <xf numFmtId="0" fontId="65" fillId="25" borderId="18" xfId="0" applyFont="1" applyFill="1" applyBorder="1" applyAlignment="1">
      <alignment horizontal="left" vertical="center" wrapText="1"/>
    </xf>
    <xf numFmtId="168" fontId="65" fillId="25" borderId="18" xfId="0" applyNumberFormat="1" applyFont="1" applyFill="1" applyBorder="1" applyAlignment="1">
      <alignment horizontal="center" vertical="center" wrapText="1"/>
    </xf>
    <xf numFmtId="0" fontId="65" fillId="25" borderId="18" xfId="0" applyFont="1" applyFill="1" applyBorder="1" applyAlignment="1">
      <alignment vertical="top" wrapText="1"/>
    </xf>
    <xf numFmtId="2" fontId="65" fillId="25" borderId="18" xfId="0" applyNumberFormat="1" applyFont="1" applyFill="1" applyBorder="1" applyAlignment="1">
      <alignment horizontal="center" vertical="center" wrapText="1"/>
    </xf>
    <xf numFmtId="167" fontId="65" fillId="25" borderId="18" xfId="6" applyNumberFormat="1" applyFont="1" applyFill="1" applyBorder="1" applyAlignment="1">
      <alignment horizontal="center" vertical="center" wrapText="1"/>
    </xf>
    <xf numFmtId="0" fontId="65" fillId="16" borderId="18" xfId="0" applyFont="1" applyFill="1" applyBorder="1" applyAlignment="1">
      <alignment horizontal="center" vertical="top" wrapText="1"/>
    </xf>
    <xf numFmtId="9" fontId="65" fillId="16" borderId="18" xfId="0" applyNumberFormat="1" applyFont="1" applyFill="1" applyBorder="1" applyAlignment="1">
      <alignment horizontal="center" vertical="top" wrapText="1"/>
    </xf>
    <xf numFmtId="10" fontId="65" fillId="25" borderId="18" xfId="0" applyNumberFormat="1" applyFont="1" applyFill="1" applyBorder="1" applyAlignment="1">
      <alignment horizontal="center" vertical="center" wrapText="1"/>
    </xf>
    <xf numFmtId="10" fontId="65" fillId="25" borderId="18" xfId="0" applyNumberFormat="1" applyFont="1" applyFill="1" applyBorder="1" applyAlignment="1">
      <alignment horizontal="left" vertical="center" wrapText="1"/>
    </xf>
    <xf numFmtId="10" fontId="65" fillId="25" borderId="18" xfId="0" applyNumberFormat="1" applyFont="1" applyFill="1" applyBorder="1" applyAlignment="1">
      <alignment vertical="center" wrapText="1"/>
    </xf>
    <xf numFmtId="9" fontId="65" fillId="16" borderId="18" xfId="0" applyNumberFormat="1" applyFont="1" applyFill="1" applyBorder="1" applyAlignment="1">
      <alignment horizontal="center" vertical="center" wrapText="1"/>
    </xf>
    <xf numFmtId="0" fontId="65" fillId="16" borderId="18" xfId="0" applyFont="1" applyFill="1" applyBorder="1" applyAlignment="1">
      <alignment horizontal="center" vertical="center" wrapText="1"/>
    </xf>
    <xf numFmtId="0" fontId="65" fillId="25" borderId="18" xfId="0" applyFont="1" applyFill="1" applyBorder="1" applyAlignment="1">
      <alignment horizontal="center" vertical="top" wrapText="1"/>
    </xf>
    <xf numFmtId="9" fontId="65" fillId="25" borderId="18" xfId="0" applyNumberFormat="1" applyFont="1" applyFill="1" applyBorder="1" applyAlignment="1">
      <alignment horizontal="left" vertical="center" wrapText="1"/>
    </xf>
    <xf numFmtId="0" fontId="47" fillId="28" borderId="42" xfId="0" applyFont="1" applyFill="1" applyBorder="1" applyAlignment="1">
      <alignment horizontal="left" vertical="center" wrapText="1"/>
    </xf>
    <xf numFmtId="167" fontId="67" fillId="23" borderId="18" xfId="7" applyNumberFormat="1" applyFont="1" applyFill="1" applyBorder="1" applyAlignment="1">
      <alignment horizontal="center" vertical="center" wrapText="1"/>
    </xf>
    <xf numFmtId="167" fontId="0" fillId="27" borderId="0" xfId="6" applyNumberFormat="1" applyFont="1" applyFill="1" applyAlignment="1">
      <alignment horizontal="center" vertical="center"/>
    </xf>
    <xf numFmtId="9" fontId="44" fillId="27" borderId="0" xfId="6" applyFont="1" applyFill="1" applyBorder="1" applyAlignment="1">
      <alignment horizontal="center"/>
    </xf>
    <xf numFmtId="2" fontId="48" fillId="0" borderId="18" xfId="0" applyNumberFormat="1" applyFont="1" applyBorder="1" applyAlignment="1">
      <alignment horizontal="center" vertical="center" wrapText="1"/>
    </xf>
    <xf numFmtId="9" fontId="47" fillId="0" borderId="0" xfId="0" applyNumberFormat="1" applyFont="1" applyBorder="1" applyAlignment="1">
      <alignment horizontal="center" vertical="center" wrapText="1"/>
    </xf>
    <xf numFmtId="168" fontId="47" fillId="0" borderId="0" xfId="0" applyNumberFormat="1" applyFont="1" applyBorder="1" applyAlignment="1">
      <alignment horizontal="center" vertical="center" wrapText="1"/>
    </xf>
    <xf numFmtId="9" fontId="48" fillId="0" borderId="0" xfId="6" applyFont="1" applyBorder="1" applyAlignment="1">
      <alignment horizontal="center" vertical="center" wrapText="1"/>
    </xf>
    <xf numFmtId="0" fontId="47" fillId="22" borderId="0" xfId="0" applyFont="1" applyFill="1" applyBorder="1" applyAlignment="1">
      <alignment horizontal="left" vertical="center" wrapText="1"/>
    </xf>
    <xf numFmtId="167" fontId="48" fillId="0" borderId="42" xfId="6" applyNumberFormat="1" applyFont="1" applyBorder="1" applyAlignment="1">
      <alignment horizontal="center" vertical="center" wrapText="1"/>
    </xf>
    <xf numFmtId="0" fontId="47" fillId="0" borderId="18" xfId="0" applyFont="1" applyBorder="1" applyAlignment="1">
      <alignment horizontal="center" vertical="center" wrapText="1"/>
    </xf>
    <xf numFmtId="0" fontId="47" fillId="29" borderId="42" xfId="0" applyFont="1" applyFill="1" applyBorder="1" applyAlignment="1">
      <alignment horizontal="center" vertical="center" wrapText="1"/>
    </xf>
    <xf numFmtId="0" fontId="47" fillId="28" borderId="18" xfId="0" applyFont="1" applyFill="1" applyBorder="1" applyAlignment="1">
      <alignment vertical="center" wrapText="1"/>
    </xf>
    <xf numFmtId="0" fontId="48" fillId="0" borderId="18" xfId="0" applyFont="1" applyBorder="1" applyAlignment="1">
      <alignment wrapText="1"/>
    </xf>
    <xf numFmtId="10" fontId="48" fillId="0" borderId="18" xfId="6" applyNumberFormat="1" applyFont="1" applyBorder="1" applyAlignment="1">
      <alignment horizontal="center" vertical="center"/>
    </xf>
    <xf numFmtId="0" fontId="47" fillId="7" borderId="16" xfId="0" applyFont="1" applyFill="1" applyBorder="1" applyAlignment="1">
      <alignment horizontal="center" vertical="center" wrapText="1"/>
    </xf>
    <xf numFmtId="0" fontId="47" fillId="7" borderId="43" xfId="0" applyFont="1" applyFill="1" applyBorder="1" applyAlignment="1">
      <alignment horizontal="center" vertical="center" wrapText="1"/>
    </xf>
    <xf numFmtId="0" fontId="47" fillId="7" borderId="17" xfId="0" applyFont="1" applyFill="1" applyBorder="1" applyAlignment="1">
      <alignment horizontal="center" vertical="center" wrapText="1"/>
    </xf>
    <xf numFmtId="0" fontId="47" fillId="7" borderId="20"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7" fillId="28" borderId="18" xfId="0" applyFont="1" applyFill="1" applyBorder="1" applyAlignment="1">
      <alignment horizontal="left" vertical="center" wrapText="1"/>
    </xf>
    <xf numFmtId="0" fontId="48" fillId="0" borderId="18" xfId="0" applyFont="1" applyBorder="1" applyAlignment="1">
      <alignment horizontal="center" wrapText="1"/>
    </xf>
    <xf numFmtId="0" fontId="47" fillId="28" borderId="45" xfId="0" applyFont="1" applyFill="1" applyBorder="1" applyAlignment="1">
      <alignment horizontal="left" vertical="center" wrapText="1"/>
    </xf>
    <xf numFmtId="0" fontId="47" fillId="28" borderId="42" xfId="0" applyFont="1" applyFill="1" applyBorder="1" applyAlignment="1">
      <alignment horizontal="left" vertical="center" wrapText="1"/>
    </xf>
    <xf numFmtId="0" fontId="48" fillId="0" borderId="45" xfId="0" applyFont="1" applyBorder="1" applyAlignment="1">
      <alignment horizontal="center" wrapText="1"/>
    </xf>
    <xf numFmtId="0" fontId="48" fillId="0" borderId="42" xfId="0" applyFont="1" applyBorder="1" applyAlignment="1">
      <alignment horizontal="center" wrapText="1"/>
    </xf>
    <xf numFmtId="0" fontId="66" fillId="16" borderId="39" xfId="0" applyFont="1" applyFill="1" applyBorder="1" applyAlignment="1">
      <alignment horizontal="center" vertical="center" wrapText="1"/>
    </xf>
    <xf numFmtId="0" fontId="66" fillId="16" borderId="40" xfId="0" applyFont="1" applyFill="1" applyBorder="1" applyAlignment="1">
      <alignment horizontal="center" vertical="center" wrapText="1"/>
    </xf>
    <xf numFmtId="0" fontId="66" fillId="16" borderId="41" xfId="0" applyFont="1" applyFill="1" applyBorder="1" applyAlignment="1">
      <alignment horizontal="center" vertical="center" wrapText="1"/>
    </xf>
    <xf numFmtId="0" fontId="56" fillId="0" borderId="35" xfId="7" applyFont="1" applyBorder="1" applyAlignment="1">
      <alignment horizontal="center" wrapText="1"/>
    </xf>
    <xf numFmtId="0" fontId="55" fillId="12" borderId="18" xfId="7" applyFont="1" applyFill="1" applyBorder="1" applyAlignment="1">
      <alignment horizontal="center" vertical="center" wrapText="1"/>
    </xf>
    <xf numFmtId="167" fontId="55" fillId="19" borderId="32" xfId="7" applyNumberFormat="1" applyFont="1" applyFill="1" applyBorder="1" applyAlignment="1">
      <alignment horizontal="center" vertical="center" wrapText="1"/>
    </xf>
    <xf numFmtId="167" fontId="55" fillId="19" borderId="33" xfId="7" applyNumberFormat="1" applyFont="1" applyFill="1" applyBorder="1" applyAlignment="1">
      <alignment horizontal="center" vertical="center" wrapText="1"/>
    </xf>
    <xf numFmtId="167" fontId="55" fillId="19" borderId="34" xfId="7" applyNumberFormat="1" applyFont="1" applyFill="1" applyBorder="1" applyAlignment="1">
      <alignment horizontal="center" vertical="center" wrapText="1"/>
    </xf>
    <xf numFmtId="0" fontId="56" fillId="13" borderId="24" xfId="7" applyFont="1" applyFill="1" applyBorder="1" applyAlignment="1">
      <alignment horizontal="right" wrapText="1"/>
    </xf>
    <xf numFmtId="0" fontId="49" fillId="6" borderId="1" xfId="0" applyFont="1" applyFill="1" applyBorder="1" applyAlignment="1">
      <alignment horizontal="center" vertical="center"/>
    </xf>
    <xf numFmtId="0" fontId="49" fillId="6" borderId="2" xfId="0" applyFont="1" applyFill="1" applyBorder="1" applyAlignment="1">
      <alignment horizontal="center" vertical="center"/>
    </xf>
    <xf numFmtId="0" fontId="49" fillId="6" borderId="3" xfId="0" applyFont="1" applyFill="1" applyBorder="1" applyAlignment="1">
      <alignment horizontal="center" vertical="center"/>
    </xf>
    <xf numFmtId="0" fontId="49" fillId="6" borderId="4" xfId="0" applyFont="1" applyFill="1" applyBorder="1" applyAlignment="1">
      <alignment horizontal="center" vertical="center"/>
    </xf>
    <xf numFmtId="0" fontId="49" fillId="6" borderId="5" xfId="0" applyFont="1" applyFill="1" applyBorder="1" applyAlignment="1">
      <alignment horizontal="center" vertical="center"/>
    </xf>
    <xf numFmtId="0" fontId="49" fillId="6" borderId="6" xfId="0" applyFont="1" applyFill="1" applyBorder="1" applyAlignment="1">
      <alignment horizontal="center" vertical="center"/>
    </xf>
    <xf numFmtId="0" fontId="51" fillId="0" borderId="0" xfId="0" applyFont="1" applyBorder="1" applyAlignment="1">
      <alignment horizontal="center"/>
    </xf>
    <xf numFmtId="0" fontId="49" fillId="7" borderId="1" xfId="0" applyFont="1" applyFill="1" applyBorder="1" applyAlignment="1">
      <alignment horizontal="center"/>
    </xf>
    <xf numFmtId="0" fontId="49" fillId="7" borderId="3" xfId="0" applyFont="1" applyFill="1" applyBorder="1" applyAlignment="1">
      <alignment horizontal="center"/>
    </xf>
    <xf numFmtId="0" fontId="54" fillId="6" borderId="13" xfId="0" applyFont="1" applyFill="1" applyBorder="1" applyAlignment="1">
      <alignment horizontal="center"/>
    </xf>
    <xf numFmtId="0" fontId="54" fillId="0" borderId="0" xfId="0" applyFont="1" applyAlignment="1">
      <alignment horizontal="left" vertical="center"/>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38" fillId="13" borderId="27" xfId="0" applyFont="1" applyFill="1" applyBorder="1" applyAlignment="1"/>
    <xf numFmtId="0" fontId="38" fillId="13" borderId="26" xfId="0" applyFont="1" applyFill="1" applyBorder="1" applyAlignment="1"/>
    <xf numFmtId="0" fontId="37" fillId="10" borderId="0" xfId="0" applyFont="1" applyFill="1" applyBorder="1" applyAlignment="1">
      <alignment horizontal="center"/>
    </xf>
    <xf numFmtId="0" fontId="38" fillId="13" borderId="24" xfId="0" applyFont="1" applyFill="1" applyBorder="1" applyAlignment="1"/>
    <xf numFmtId="0" fontId="38" fillId="0" borderId="28" xfId="0" applyFont="1" applyBorder="1" applyAlignment="1">
      <alignment horizontal="center"/>
    </xf>
    <xf numFmtId="0" fontId="38" fillId="0" borderId="29" xfId="0" applyFont="1" applyBorder="1" applyAlignment="1">
      <alignment horizontal="center"/>
    </xf>
    <xf numFmtId="0" fontId="38" fillId="0" borderId="30" xfId="0" applyFont="1" applyBorder="1" applyAlignment="1">
      <alignment horizontal="center"/>
    </xf>
    <xf numFmtId="0" fontId="38" fillId="13" borderId="31" xfId="0" applyFont="1" applyFill="1" applyBorder="1" applyAlignment="1"/>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20" fillId="0" borderId="0" xfId="0" applyFont="1" applyBorder="1" applyAlignment="1">
      <alignment horizontal="center"/>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8" fillId="7" borderId="1" xfId="0" applyFont="1" applyFill="1" applyBorder="1" applyAlignment="1">
      <alignment horizontal="center"/>
    </xf>
    <xf numFmtId="0" fontId="28" fillId="7" borderId="3" xfId="0" applyFont="1" applyFill="1" applyBorder="1" applyAlignment="1">
      <alignment horizontal="center"/>
    </xf>
    <xf numFmtId="0" fontId="30" fillId="6" borderId="20" xfId="0" applyFont="1" applyFill="1" applyBorder="1" applyAlignment="1">
      <alignment horizontal="center"/>
    </xf>
    <xf numFmtId="0" fontId="30" fillId="6" borderId="21" xfId="0" applyFont="1" applyFill="1" applyBorder="1" applyAlignment="1">
      <alignment horizontal="center"/>
    </xf>
    <xf numFmtId="0" fontId="30" fillId="6" borderId="22" xfId="0" applyFont="1" applyFill="1" applyBorder="1" applyAlignment="1">
      <alignment horizontal="center"/>
    </xf>
    <xf numFmtId="0" fontId="20" fillId="0" borderId="0" xfId="0" applyFont="1" applyFill="1" applyBorder="1" applyAlignment="1">
      <alignment horizontal="center"/>
    </xf>
    <xf numFmtId="0" fontId="24" fillId="7" borderId="1" xfId="0" applyFont="1" applyFill="1" applyBorder="1" applyAlignment="1">
      <alignment horizontal="center"/>
    </xf>
    <xf numFmtId="0" fontId="24" fillId="7" borderId="3" xfId="0" applyFont="1" applyFill="1" applyBorder="1" applyAlignment="1">
      <alignment horizontal="center"/>
    </xf>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cellStyle name="Percent" xfId="6" builtinId="5"/>
    <cellStyle name="Percent 2" xfId="8"/>
  </cellStyles>
  <dxfs count="126">
    <dxf>
      <font>
        <b/>
        <i val="0"/>
        <color theme="0"/>
      </font>
      <fill>
        <patternFill>
          <bgColor theme="5"/>
        </patternFill>
      </fill>
    </dxf>
    <dxf>
      <font>
        <b/>
        <i val="0"/>
        <color theme="0"/>
      </font>
      <fill>
        <patternFill>
          <bgColor theme="5"/>
        </patternFill>
      </fill>
    </dxf>
    <dxf>
      <font>
        <b/>
        <i val="0"/>
        <color theme="0"/>
      </font>
      <fill>
        <patternFill>
          <bgColor theme="5"/>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s>
  <tableStyles count="0" defaultTableStyle="TableStyleMedium9" defaultPivotStyle="PivotStyleLight16"/>
  <colors>
    <mruColors>
      <color rgb="FFC7E6A4"/>
      <color rgb="FFFFC5C5"/>
      <color rgb="FFFF8181"/>
      <color rgb="FFC0E399"/>
      <color rgb="FFFF4B4B"/>
      <color rgb="FFC6E6A2"/>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109</xdr:row>
      <xdr:rowOff>0</xdr:rowOff>
    </xdr:from>
    <xdr:to>
      <xdr:col>0</xdr:col>
      <xdr:colOff>2486025</xdr:colOff>
      <xdr:row>119</xdr:row>
      <xdr:rowOff>9525</xdr:rowOff>
    </xdr:to>
    <xdr:pic>
      <xdr:nvPicPr>
        <xdr:cNvPr id="2" name="Picture 1" descr="http://forum.valuepickr.com/uploads/default/original/2X/d/dc71e1b81280aa4766afbff519882da46854744b.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508825"/>
          <a:ext cx="2486025"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OneDrive%20-%20Hewlett%20Packard%20Enterprise/PERSONAL/STOCKS/jAGRAN%20pRAKASHAN/Jagran%20Analysi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mework2"/>
      <sheetName val="Valuation"/>
      <sheetName val="Financial Analysis"/>
      <sheetName val="Analysis2"/>
      <sheetName val="Checklist"/>
      <sheetName val="Profit &amp; Loss"/>
      <sheetName val="Quarters"/>
      <sheetName val="Balance Sheet"/>
      <sheetName val="Cash Flow"/>
      <sheetName val="Customization"/>
      <sheetName val="Scorecard"/>
      <sheetName val="Market_scope"/>
      <sheetName val="Data Sheet"/>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E1" t="str">
            <v/>
          </cell>
        </row>
      </sheetData>
      <sheetData sheetId="13"/>
      <sheetData sheetId="14"/>
      <sheetData sheetId="15"/>
      <sheetData sheetId="16"/>
    </sheetDataSet>
  </externalBook>
</externalLink>
</file>

<file path=xl/tables/table1.xml><?xml version="1.0" encoding="utf-8"?>
<table xmlns="http://schemas.openxmlformats.org/spreadsheetml/2006/main" id="1" name="Annual" displayName="Annual" ref="A3:O19" headerRowCount="0" totalsRowShown="0" headerRowDxfId="34">
  <tableColumns count="15">
    <tableColumn id="1" name="Column1" headerRowDxfId="33" dataDxfId="32"/>
    <tableColumn id="2" name="Column2" headerRowDxfId="31"/>
    <tableColumn id="3" name="Column3" headerRowDxfId="30"/>
    <tableColumn id="4" name="Column4" headerRowDxfId="29"/>
    <tableColumn id="5" name="Column5" headerRowDxfId="28"/>
    <tableColumn id="6" name="Column6" headerRowDxfId="27"/>
    <tableColumn id="7" name="Column7" headerRowDxfId="26"/>
    <tableColumn id="8" name="Column8" headerRowDxfId="25"/>
    <tableColumn id="9" name="Column9" headerRowDxfId="24"/>
    <tableColumn id="10" name="Column10" headerRowDxfId="23"/>
    <tableColumn id="11" name="Column11" headerRowDxfId="22"/>
    <tableColumn id="12" name="Column12" headerRowDxfId="21"/>
    <tableColumn id="13" name="Column13" headerRowDxfId="20" dataDxfId="19"/>
    <tableColumn id="14" name="Column14" headerRowDxfId="18" dataDxfId="17"/>
    <tableColumn id="15" name="Column15" headerRowDxfId="16" dataDxfId="15"/>
  </tableColumns>
  <tableStyleInfo showFirstColumn="0" showLastColumn="0" showRowStripes="0" showColumnStripes="0"/>
</table>
</file>

<file path=xl/tables/table2.xml><?xml version="1.0" encoding="utf-8"?>
<table xmlns="http://schemas.openxmlformats.org/spreadsheetml/2006/main" id="2" name="Quarters" displayName="Quarters" ref="A3:K14" headerRowCount="0" totalsRowShown="0" headerRowDxfId="14">
  <tableColumns count="11">
    <tableColumn id="1" name="Column1" headerRowDxfId="13"/>
    <tableColumn id="2" name="Column2" headerRowDxfId="12"/>
    <tableColumn id="3" name="Column3" headerRowDxfId="11"/>
    <tableColumn id="4" name="Column4" headerRowDxfId="10"/>
    <tableColumn id="5" name="Column5" headerRowDxfId="9"/>
    <tableColumn id="6" name="Column6" headerRowDxfId="8"/>
    <tableColumn id="7" name="Column7" headerRowDxfId="7"/>
    <tableColumn id="8" name="Column8" headerRowDxfId="6"/>
    <tableColumn id="9" name="Column9" headerRowDxfId="5"/>
    <tableColumn id="10" name="Column10" headerRowDxfId="4"/>
    <tableColumn id="11" name="Column11" headerRowDxfId="3"/>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http://www.screener.in/" TargetMode="External"/><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creener.i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screener.in/exce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hyperlink" Target="http://www.screener.in/"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7.bin"/><Relationship Id="rId1" Type="http://schemas.openxmlformats.org/officeDocument/2006/relationships/hyperlink" Target="http://www.screener.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F27" sqref="F27"/>
    </sheetView>
  </sheetViews>
  <sheetFormatPr defaultColWidth="22.140625" defaultRowHeight="12" x14ac:dyDescent="0.2"/>
  <cols>
    <col min="1" max="1" width="1.5703125" style="388" customWidth="1"/>
    <col min="2" max="2" width="22.140625" style="389" customWidth="1"/>
    <col min="3" max="3" width="13.42578125" style="388" customWidth="1"/>
    <col min="4" max="4" width="14.7109375" style="388" customWidth="1"/>
    <col min="5" max="5" width="24.5703125" style="389" customWidth="1"/>
    <col min="6" max="6" width="13.7109375" style="389" customWidth="1"/>
    <col min="7" max="7" width="1.7109375" style="388" customWidth="1"/>
    <col min="8" max="8" width="2.140625" style="388" customWidth="1"/>
    <col min="9" max="9" width="26.140625" style="389" customWidth="1"/>
    <col min="10" max="10" width="26.42578125" style="389" customWidth="1"/>
    <col min="11" max="11" width="4.5703125" style="389" customWidth="1"/>
    <col min="12" max="12" width="27.5703125" style="389" customWidth="1"/>
    <col min="13" max="13" width="36.140625" style="389" customWidth="1"/>
    <col min="14" max="16384" width="22.140625" style="389"/>
  </cols>
  <sheetData>
    <row r="1" spans="2:13" ht="6" customHeight="1" thickBot="1" x14ac:dyDescent="0.25"/>
    <row r="2" spans="2:13" ht="18.75" customHeight="1" thickBot="1" x14ac:dyDescent="0.25">
      <c r="B2" s="436" t="s">
        <v>956</v>
      </c>
      <c r="C2" s="437"/>
      <c r="D2" s="437"/>
      <c r="E2" s="437"/>
      <c r="F2" s="437"/>
      <c r="I2" s="439" t="s">
        <v>959</v>
      </c>
      <c r="J2" s="440"/>
      <c r="L2" s="436" t="s">
        <v>752</v>
      </c>
      <c r="M2" s="438"/>
    </row>
    <row r="3" spans="2:13" x14ac:dyDescent="0.2">
      <c r="B3" s="432" t="s">
        <v>738</v>
      </c>
      <c r="C3" s="432" t="s">
        <v>739</v>
      </c>
      <c r="D3" s="432" t="s">
        <v>969</v>
      </c>
      <c r="E3" s="432" t="s">
        <v>742</v>
      </c>
      <c r="F3" s="432" t="s">
        <v>743</v>
      </c>
      <c r="I3" s="387" t="str">
        <f>Analysis2!A32</f>
        <v>Revenue Trend</v>
      </c>
      <c r="J3" s="190">
        <f>IF(Analysis2!A33="+VE",1,IF(Analysis2!A33="-VE",-1,0))</f>
        <v>1</v>
      </c>
      <c r="L3" s="421" t="s">
        <v>544</v>
      </c>
      <c r="M3" s="431" t="str">
        <f>'Data Sheet'!B1</f>
        <v>CUPID LTD</v>
      </c>
    </row>
    <row r="4" spans="2:13" ht="15.75" customHeight="1" x14ac:dyDescent="0.2">
      <c r="B4" s="387" t="s">
        <v>744</v>
      </c>
      <c r="C4" s="188">
        <f>Framework!G3</f>
        <v>0.2</v>
      </c>
      <c r="D4" s="187">
        <f>Framework!I3</f>
        <v>0.8</v>
      </c>
      <c r="E4" s="187">
        <f>Framework!J3</f>
        <v>0.74</v>
      </c>
      <c r="F4" s="188">
        <f>E4/D4</f>
        <v>0.92499999999999993</v>
      </c>
      <c r="I4" s="387" t="str">
        <f>Analysis2!B32</f>
        <v>EPS Trend</v>
      </c>
      <c r="J4" s="190">
        <f>IF(Analysis2!B33="+VE",1,IF(Analysis2!B33="-VE",-1,0))</f>
        <v>1</v>
      </c>
      <c r="L4" s="421" t="s">
        <v>751</v>
      </c>
      <c r="M4" s="188">
        <f>F11</f>
        <v>0.82000000000000006</v>
      </c>
    </row>
    <row r="5" spans="2:13" ht="15.75" customHeight="1" x14ac:dyDescent="0.2">
      <c r="B5" s="387" t="s">
        <v>745</v>
      </c>
      <c r="C5" s="188">
        <f>Framework!G12</f>
        <v>0.1</v>
      </c>
      <c r="D5" s="190">
        <f>Framework!I12</f>
        <v>0.4</v>
      </c>
      <c r="E5" s="187">
        <f>Framework!J12</f>
        <v>0.32</v>
      </c>
      <c r="F5" s="188">
        <f t="shared" ref="F5:F11" si="0">E5/D5</f>
        <v>0.79999999999999993</v>
      </c>
      <c r="I5" s="387" t="str">
        <f>Analysis2!C32</f>
        <v>GM% Trend</v>
      </c>
      <c r="J5" s="190">
        <f>IF(Analysis2!C33="+VE",1,IF(Analysis2!C33="-VE",-1,0))</f>
        <v>-1</v>
      </c>
      <c r="L5" s="421" t="s">
        <v>753</v>
      </c>
      <c r="M5" s="222">
        <f>Valuation!R9</f>
        <v>280.99739332412275</v>
      </c>
    </row>
    <row r="6" spans="2:13" ht="15.75" customHeight="1" x14ac:dyDescent="0.2">
      <c r="B6" s="387" t="s">
        <v>746</v>
      </c>
      <c r="C6" s="188">
        <f>Framework!G19</f>
        <v>0.15000000000000002</v>
      </c>
      <c r="D6" s="190">
        <f>Framework!I19</f>
        <v>0.60000000000000009</v>
      </c>
      <c r="E6" s="187">
        <f>Framework!J19</f>
        <v>0.60000000000000009</v>
      </c>
      <c r="F6" s="188">
        <f t="shared" si="0"/>
        <v>1</v>
      </c>
      <c r="I6" s="387" t="str">
        <f>Analysis2!D32</f>
        <v>PAT % Trend</v>
      </c>
      <c r="J6" s="190">
        <f>IF(Analysis2!D33="+VE",1,IF(Analysis2!D33="-VE",-1,0))</f>
        <v>1</v>
      </c>
      <c r="L6" s="387" t="s">
        <v>754</v>
      </c>
      <c r="M6" s="223">
        <f>Valuation!O9</f>
        <v>398.09058539905828</v>
      </c>
    </row>
    <row r="7" spans="2:13" ht="15.75" customHeight="1" x14ac:dyDescent="0.2">
      <c r="B7" s="387" t="s">
        <v>747</v>
      </c>
      <c r="C7" s="188">
        <f>Framework!G25</f>
        <v>0.25</v>
      </c>
      <c r="D7" s="190">
        <f>Framework!I25</f>
        <v>1</v>
      </c>
      <c r="E7" s="187">
        <f>Framework!J25</f>
        <v>0.7</v>
      </c>
      <c r="F7" s="188">
        <f t="shared" si="0"/>
        <v>0.7</v>
      </c>
      <c r="I7" s="387" t="str">
        <f>Analysis2!E32</f>
        <v>Receivables Trend</v>
      </c>
      <c r="J7" s="190">
        <f>IF(Analysis2!E33="+VE",1,IF(Analysis2!E33="-VE",-1,0))</f>
        <v>-1</v>
      </c>
      <c r="L7" s="387" t="s">
        <v>755</v>
      </c>
      <c r="M7" s="223">
        <f>(M5+M6)/2</f>
        <v>339.54398936159055</v>
      </c>
    </row>
    <row r="8" spans="2:13" ht="15.75" customHeight="1" x14ac:dyDescent="0.2">
      <c r="B8" s="387" t="s">
        <v>748</v>
      </c>
      <c r="C8" s="188">
        <f>Framework!G34</f>
        <v>0.1</v>
      </c>
      <c r="D8" s="190">
        <f>Framework!I34</f>
        <v>0.4</v>
      </c>
      <c r="E8" s="187">
        <f>Framework!J34</f>
        <v>0.2</v>
      </c>
      <c r="F8" s="188">
        <f t="shared" si="0"/>
        <v>0.5</v>
      </c>
      <c r="I8" s="387" t="str">
        <f>Analysis2!F32</f>
        <v>Inventory Trend</v>
      </c>
      <c r="J8" s="190">
        <f>IF(Analysis2!F33="+VE",1,IF(Analysis2!F33="-VE",-1,0))</f>
        <v>1</v>
      </c>
      <c r="L8" s="387" t="s">
        <v>38</v>
      </c>
      <c r="M8" s="223">
        <f>'Data Sheet'!B8</f>
        <v>272.60000000000002</v>
      </c>
    </row>
    <row r="9" spans="2:13" ht="15.75" customHeight="1" x14ac:dyDescent="0.2">
      <c r="B9" s="387" t="s">
        <v>708</v>
      </c>
      <c r="C9" s="188">
        <f>Framework!G37</f>
        <v>0.1</v>
      </c>
      <c r="D9" s="190">
        <f>Framework!I37</f>
        <v>0.4</v>
      </c>
      <c r="E9" s="187">
        <f>Framework!J37</f>
        <v>0.32</v>
      </c>
      <c r="F9" s="188">
        <f t="shared" si="0"/>
        <v>0.79999999999999993</v>
      </c>
      <c r="I9" s="387" t="str">
        <f>Analysis2!G32</f>
        <v>SSGR Trend</v>
      </c>
      <c r="J9" s="190">
        <f>IF(Analysis2!G33="+VE",1,IF(Analysis2!G33="-VE",-1,0))</f>
        <v>1</v>
      </c>
      <c r="L9" s="387" t="s">
        <v>708</v>
      </c>
      <c r="M9" s="188">
        <f>(M7-M8)/M8</f>
        <v>0.24557589641082361</v>
      </c>
    </row>
    <row r="10" spans="2:13" ht="15.75" customHeight="1" x14ac:dyDescent="0.2">
      <c r="B10" s="387" t="s">
        <v>749</v>
      </c>
      <c r="C10" s="188">
        <f>Framework!G42</f>
        <v>0.1</v>
      </c>
      <c r="D10" s="190">
        <f>Framework!I42</f>
        <v>0.4</v>
      </c>
      <c r="E10" s="187">
        <f>Framework!J42</f>
        <v>0.4</v>
      </c>
      <c r="F10" s="188">
        <f t="shared" si="0"/>
        <v>1</v>
      </c>
      <c r="I10" s="387" t="str">
        <f>Analysis2!H32</f>
        <v>ROIC Trend</v>
      </c>
      <c r="J10" s="190">
        <f>IF(Analysis2!H33="+VE",1,IF(Analysis2!H33="-VE",-1,0))</f>
        <v>1</v>
      </c>
      <c r="L10" s="387" t="s">
        <v>941</v>
      </c>
      <c r="M10" s="189">
        <f>AVERAGE(Valuation!O10,Valuation!R10)</f>
        <v>0.46505479807368899</v>
      </c>
    </row>
    <row r="11" spans="2:13" ht="15.75" customHeight="1" x14ac:dyDescent="0.2">
      <c r="B11" s="387" t="s">
        <v>750</v>
      </c>
      <c r="C11" s="191">
        <f>SUM(C4:C10)</f>
        <v>1</v>
      </c>
      <c r="D11" s="192">
        <f>SUM(D4:D10)</f>
        <v>4</v>
      </c>
      <c r="E11" s="192">
        <f>SUM(E4:E10)</f>
        <v>3.2800000000000002</v>
      </c>
      <c r="F11" s="188">
        <f t="shared" si="0"/>
        <v>0.82000000000000006</v>
      </c>
      <c r="I11" s="387" t="str">
        <f>Analysis2!I32</f>
        <v>WC/Sales Trend</v>
      </c>
      <c r="J11" s="190">
        <f>IF(Analysis2!I33="+VE",1,IF(Analysis2!I33="-VE",-1,0))</f>
        <v>-1</v>
      </c>
      <c r="L11" s="387" t="s">
        <v>973</v>
      </c>
      <c r="M11" s="188" t="str">
        <f>IF(F19&gt;Analysis2!B20,"Yes","No")</f>
        <v>No</v>
      </c>
    </row>
    <row r="12" spans="2:13" ht="16.5" customHeight="1" thickBot="1" x14ac:dyDescent="0.25">
      <c r="B12" s="429"/>
      <c r="C12" s="426"/>
      <c r="D12" s="427"/>
      <c r="E12" s="427"/>
      <c r="F12" s="428"/>
      <c r="I12" s="387" t="str">
        <f>Analysis2!J32</f>
        <v>EPA Trend</v>
      </c>
      <c r="J12" s="190">
        <f>IF(Analysis2!J33="+VE",1,IF(Analysis2!J33="-VE",-1,0))</f>
        <v>1</v>
      </c>
      <c r="L12" s="387" t="s">
        <v>974</v>
      </c>
      <c r="M12" s="188" t="str">
        <f>IF(F21&gt;0.03,"Yes","No")</f>
        <v>Yes</v>
      </c>
    </row>
    <row r="13" spans="2:13" ht="16.5" customHeight="1" thickBot="1" x14ac:dyDescent="0.25">
      <c r="B13" s="439" t="s">
        <v>957</v>
      </c>
      <c r="C13" s="440"/>
      <c r="D13" s="427"/>
      <c r="E13" s="439" t="s">
        <v>972</v>
      </c>
      <c r="F13" s="440"/>
      <c r="I13" s="387" t="str">
        <f>Analysis2!K32</f>
        <v>EPA/Sales Trend</v>
      </c>
      <c r="J13" s="190">
        <f>IF(Analysis2!K33="+VE",1,IF(Analysis2!K33="-VE",-1,0))</f>
        <v>1</v>
      </c>
      <c r="L13" s="387" t="s">
        <v>820</v>
      </c>
      <c r="M13" s="189">
        <f>F20</f>
        <v>0.24010391618636642</v>
      </c>
    </row>
    <row r="14" spans="2:13" ht="15.75" customHeight="1" x14ac:dyDescent="0.2">
      <c r="B14" s="421" t="str">
        <f>Analysis2!A23</f>
        <v>Gross Margin</v>
      </c>
      <c r="C14" s="430">
        <f>Analysis2!A24</f>
        <v>0.4274867122247531</v>
      </c>
      <c r="D14" s="427"/>
      <c r="E14" s="387" t="str">
        <f>Analysis2!A26</f>
        <v>5 Years Sales Growth</v>
      </c>
      <c r="F14" s="188">
        <f>Analysis2!A27</f>
        <v>0.26186515937828236</v>
      </c>
      <c r="I14" s="387" t="str">
        <f>Analysis2!L32</f>
        <v>Debt Equity Trend</v>
      </c>
      <c r="J14" s="190">
        <f>IF(Analysis2!L33="+VE",1,IF(Analysis2!L33="-VE",-1,0))</f>
        <v>1</v>
      </c>
      <c r="L14" s="387" t="s">
        <v>467</v>
      </c>
      <c r="M14" s="425">
        <f>F28</f>
        <v>0.15447522716694229</v>
      </c>
    </row>
    <row r="15" spans="2:13" ht="15.75" customHeight="1" x14ac:dyDescent="0.2">
      <c r="B15" s="387" t="str">
        <f>Analysis2!B23</f>
        <v>PAT/NPM Margin</v>
      </c>
      <c r="C15" s="390">
        <f>Analysis2!B24</f>
        <v>0.2543659832953683</v>
      </c>
      <c r="D15" s="427"/>
      <c r="E15" s="387" t="str">
        <f>Analysis2!B26</f>
        <v>5 Years PAT Growth</v>
      </c>
      <c r="F15" s="188">
        <f>Analysis2!B27</f>
        <v>1.3487978055455914</v>
      </c>
      <c r="I15" s="387" t="str">
        <f>Analysis2!M32</f>
        <v>ROA Trend</v>
      </c>
      <c r="J15" s="190">
        <f>IF(Analysis2!M33="+VE",1,IF(Analysis2!M33="-VE",-1,0))</f>
        <v>1</v>
      </c>
      <c r="L15" s="387" t="s">
        <v>962</v>
      </c>
      <c r="M15" s="190" t="s">
        <v>604</v>
      </c>
    </row>
    <row r="16" spans="2:13" ht="15.75" customHeight="1" x14ac:dyDescent="0.2">
      <c r="B16" s="387" t="str">
        <f>Analysis2!C23</f>
        <v>Tax Rate</v>
      </c>
      <c r="C16" s="390">
        <f>Analysis2!C24</f>
        <v>0.36623690572119255</v>
      </c>
      <c r="E16" s="387" t="str">
        <f>Analysis2!C26</f>
        <v>5 Years EPS Growth</v>
      </c>
      <c r="F16" s="188">
        <f>Analysis2!C27</f>
        <v>1.4263027531331027</v>
      </c>
      <c r="I16" s="387" t="str">
        <f>Analysis2!N32</f>
        <v>Promoter Share Trend</v>
      </c>
      <c r="J16" s="190">
        <f>IF(Analysis2!N33="+VE",1,IF(Analysis2!N33="-VE",-1,0))</f>
        <v>0</v>
      </c>
      <c r="L16" s="387" t="s">
        <v>963</v>
      </c>
      <c r="M16" s="190" t="s">
        <v>971</v>
      </c>
    </row>
    <row r="17" spans="2:13" ht="15.75" customHeight="1" thickBot="1" x14ac:dyDescent="0.25">
      <c r="B17" s="387" t="str">
        <f>Analysis2!D23</f>
        <v>Receivable as a % of Sales</v>
      </c>
      <c r="C17" s="390">
        <f>Analysis2!D24</f>
        <v>0.21704285246974156</v>
      </c>
      <c r="D17" s="389"/>
      <c r="E17" s="387" t="str">
        <f>Analysis2!E26</f>
        <v>Sales Growth vs Peers</v>
      </c>
      <c r="F17" s="188">
        <f>Analysis2!E27</f>
        <v>0</v>
      </c>
      <c r="G17" s="389"/>
      <c r="H17" s="389"/>
      <c r="I17" s="387" t="str">
        <f>Analysis2!O32</f>
        <v>Salary Gr./PAT Gr. Trend</v>
      </c>
      <c r="J17" s="190">
        <f>IF(Analysis2!O33="+VE",1,IF(Analysis2!O33="-VE",-1,0))</f>
        <v>1</v>
      </c>
      <c r="L17" s="387" t="s">
        <v>968</v>
      </c>
      <c r="M17" s="190" t="s">
        <v>975</v>
      </c>
    </row>
    <row r="18" spans="2:13" ht="15.75" customHeight="1" thickBot="1" x14ac:dyDescent="0.25">
      <c r="B18" s="387" t="str">
        <f>Analysis2!E23</f>
        <v>Inventory as a % of Sales</v>
      </c>
      <c r="C18" s="390">
        <f>Analysis2!E24</f>
        <v>5.5937193326790972E-2</v>
      </c>
      <c r="D18" s="389"/>
      <c r="E18" s="387" t="str">
        <f>Analysis2!F26</f>
        <v>PAT CAGR/Sales CAGR</v>
      </c>
      <c r="F18" s="394">
        <f>Analysis2!F27</f>
        <v>5.4467068338507358</v>
      </c>
      <c r="G18" s="389"/>
      <c r="H18" s="389"/>
      <c r="I18" s="439" t="s">
        <v>961</v>
      </c>
      <c r="J18" s="440"/>
      <c r="L18" s="387" t="s">
        <v>477</v>
      </c>
      <c r="M18" s="190" t="s">
        <v>976</v>
      </c>
    </row>
    <row r="19" spans="2:13" ht="15.75" customHeight="1" x14ac:dyDescent="0.2">
      <c r="B19" s="387" t="str">
        <f>Analysis2!F23</f>
        <v>Interest Coverage</v>
      </c>
      <c r="C19" s="395">
        <f>Analysis2!F24</f>
        <v>177.04761904761907</v>
      </c>
      <c r="D19" s="392"/>
      <c r="E19" s="387" t="str">
        <f>Analysis2!G26</f>
        <v>Average SSGR%</v>
      </c>
      <c r="F19" s="188">
        <f>Analysis2!G27</f>
        <v>0.16161774443732654</v>
      </c>
      <c r="G19" s="393"/>
      <c r="H19" s="393"/>
      <c r="I19" s="387" t="str">
        <f>Analysis2!L23</f>
        <v>Promoter Share</v>
      </c>
      <c r="J19" s="390">
        <f>Analysis2!L24</f>
        <v>0.1847</v>
      </c>
      <c r="L19" s="387" t="s">
        <v>964</v>
      </c>
      <c r="M19" s="190" t="str">
        <f>IF(J6=1,"Yes","No")</f>
        <v>Yes</v>
      </c>
    </row>
    <row r="20" spans="2:13" ht="15.75" customHeight="1" x14ac:dyDescent="0.2">
      <c r="B20" s="387" t="str">
        <f>Analysis2!G23</f>
        <v>Debt/Equity</v>
      </c>
      <c r="C20" s="394">
        <f>Analysis2!G24</f>
        <v>0</v>
      </c>
      <c r="D20" s="392"/>
      <c r="E20" s="387" t="str">
        <f>Analysis2!H26</f>
        <v>5 Year ROIC</v>
      </c>
      <c r="F20" s="188">
        <f>Analysis2!H27</f>
        <v>0.24010391618636642</v>
      </c>
      <c r="G20" s="393"/>
      <c r="H20" s="393"/>
      <c r="I20" s="387" t="str">
        <f>Analysis2!D26</f>
        <v>Dividend CAGR</v>
      </c>
      <c r="J20" s="188">
        <f>Analysis2!D27</f>
        <v>0</v>
      </c>
      <c r="L20" s="387" t="s">
        <v>965</v>
      </c>
      <c r="M20" s="190" t="str">
        <f>IF(J15=1,"Yes","No")</f>
        <v>Yes</v>
      </c>
    </row>
    <row r="21" spans="2:13" ht="15.75" customHeight="1" x14ac:dyDescent="0.2">
      <c r="B21" s="387" t="str">
        <f>Analysis2!H23</f>
        <v>Current Ratio</v>
      </c>
      <c r="C21" s="394">
        <f>Analysis2!H24</f>
        <v>2.5</v>
      </c>
      <c r="D21" s="392"/>
      <c r="E21" s="387" t="str">
        <f>Analysis2!K26</f>
        <v>5 Year EPA/Sales</v>
      </c>
      <c r="F21" s="188">
        <f>Analysis2!K27</f>
        <v>0.14442420601837427</v>
      </c>
      <c r="G21" s="393"/>
      <c r="H21" s="393"/>
      <c r="I21" s="387" t="str">
        <f>Analysis2!D29</f>
        <v>P/B</v>
      </c>
      <c r="J21" s="394">
        <f>Analysis2!D30</f>
        <v>8.3985469139219475</v>
      </c>
      <c r="L21" s="387" t="s">
        <v>966</v>
      </c>
      <c r="M21" s="190" t="str">
        <f>IF(J11=1,"Yes","No")</f>
        <v>No</v>
      </c>
    </row>
    <row r="22" spans="2:13" ht="15.75" customHeight="1" x14ac:dyDescent="0.2">
      <c r="B22" s="387" t="str">
        <f>Analysis2!J23</f>
        <v>CFO/PAT 5 Year Average</v>
      </c>
      <c r="C22" s="391">
        <f>Analysis2!J24</f>
        <v>0.96976929196499595</v>
      </c>
      <c r="D22" s="392"/>
      <c r="E22" s="387" t="str">
        <f>Analysis2!L26</f>
        <v>X years Salary/X Years PAT</v>
      </c>
      <c r="F22" s="188">
        <f>Analysis2!L27</f>
        <v>0</v>
      </c>
      <c r="G22" s="393"/>
      <c r="H22" s="393"/>
      <c r="I22" s="387" t="str">
        <f>Analysis2!E29</f>
        <v>P/SALES</v>
      </c>
      <c r="J22" s="394">
        <f>Analysis2!E30</f>
        <v>4.9630274779195291</v>
      </c>
      <c r="L22" s="387" t="s">
        <v>967</v>
      </c>
      <c r="M22" s="190" t="str">
        <f>IF(J14=1,"Yes","No")</f>
        <v>Yes</v>
      </c>
    </row>
    <row r="23" spans="2:13" ht="15.75" customHeight="1" x14ac:dyDescent="0.2">
      <c r="B23" s="387" t="str">
        <f>Analysis2!K23</f>
        <v>FCF/CFO 5 Year Average</v>
      </c>
      <c r="C23" s="391">
        <f>Analysis2!K24</f>
        <v>0.76374077112387206</v>
      </c>
      <c r="D23" s="392"/>
      <c r="E23" s="387" t="str">
        <f>Analysis2!M29</f>
        <v>Sustainable SSGR</v>
      </c>
      <c r="F23" s="188">
        <f>Analysis2!M30</f>
        <v>0.61717925676343421</v>
      </c>
      <c r="G23" s="393"/>
      <c r="H23" s="393"/>
      <c r="I23" s="387" t="str">
        <f>Analysis2!F29</f>
        <v>DIVIDEND YIELD</v>
      </c>
      <c r="J23" s="390">
        <f>Analysis2!F30</f>
        <v>8.5684296210612005E-4</v>
      </c>
      <c r="L23" s="433" t="s">
        <v>978</v>
      </c>
      <c r="M23" s="434"/>
    </row>
    <row r="24" spans="2:13" ht="15.75" customHeight="1" x14ac:dyDescent="0.2">
      <c r="B24" s="387" t="str">
        <f>Analysis2!G29</f>
        <v>SSGR</v>
      </c>
      <c r="C24" s="188">
        <f>Analysis2!G30</f>
        <v>0.85590389531502065</v>
      </c>
      <c r="D24" s="392"/>
      <c r="E24" s="387" t="s">
        <v>952</v>
      </c>
      <c r="F24" s="425">
        <f>'Financial Analysis'!O3/'Financial Analysis'!Q33</f>
        <v>2.5438571058847708</v>
      </c>
      <c r="G24" s="393"/>
      <c r="H24" s="393"/>
      <c r="I24" s="387" t="str">
        <f>Analysis2!I23</f>
        <v>CFO 3 Year Average</v>
      </c>
      <c r="J24" s="391">
        <f>Analysis2!I24</f>
        <v>6.8533333333333326</v>
      </c>
      <c r="L24" s="443" t="s">
        <v>960</v>
      </c>
      <c r="M24" s="445"/>
    </row>
    <row r="25" spans="2:13" ht="15.75" customHeight="1" thickBot="1" x14ac:dyDescent="0.25">
      <c r="B25" s="387" t="str">
        <f>Analysis2!H29</f>
        <v>ROIC</v>
      </c>
      <c r="C25" s="188">
        <f>Analysis2!H30</f>
        <v>0.77604113597840163</v>
      </c>
      <c r="D25" s="392"/>
      <c r="E25" s="387" t="s">
        <v>953</v>
      </c>
      <c r="F25" s="189">
        <f>'Financial Analysis'!Q34</f>
        <v>0.12636098638101817</v>
      </c>
      <c r="G25" s="393"/>
      <c r="H25" s="393"/>
      <c r="I25" s="387" t="str">
        <f>Analysis2!M26</f>
        <v>Capacity to Sales Growth</v>
      </c>
      <c r="J25" s="188">
        <f>Analysis2!M27</f>
        <v>0</v>
      </c>
      <c r="L25" s="444"/>
      <c r="M25" s="446"/>
    </row>
    <row r="26" spans="2:13" ht="15.75" customHeight="1" thickBot="1" x14ac:dyDescent="0.25">
      <c r="B26" s="387" t="str">
        <f>Analysis2!I29</f>
        <v>ROIIC</v>
      </c>
      <c r="C26" s="188">
        <f>Analysis2!I30</f>
        <v>1.4945976587651484</v>
      </c>
      <c r="D26" s="392"/>
      <c r="E26" s="439" t="s">
        <v>752</v>
      </c>
      <c r="F26" s="440"/>
      <c r="G26" s="393"/>
      <c r="H26" s="393"/>
      <c r="I26" s="387" t="str">
        <f>Analysis2!N26</f>
        <v>Sales Volume to Sales Growth</v>
      </c>
      <c r="J26" s="188">
        <f>Analysis2!N27</f>
        <v>0</v>
      </c>
      <c r="L26" s="441" t="s">
        <v>958</v>
      </c>
      <c r="M26" s="442"/>
    </row>
    <row r="27" spans="2:13" ht="15.75" customHeight="1" x14ac:dyDescent="0.2">
      <c r="B27" s="387" t="str">
        <f>Analysis2!J29</f>
        <v>EPA</v>
      </c>
      <c r="C27" s="188">
        <f>Analysis2!J30</f>
        <v>3.6557964367796139</v>
      </c>
      <c r="D27" s="392"/>
      <c r="E27" s="387" t="str">
        <f>Analysis2!A29</f>
        <v>P/E</v>
      </c>
      <c r="F27" s="394">
        <f>Analysis2!A30</f>
        <v>18.097313432835822</v>
      </c>
      <c r="G27" s="393"/>
      <c r="H27" s="393"/>
      <c r="I27" s="387" t="str">
        <f>Analysis2!O26</f>
        <v>10 Year FCF Growth Rate</v>
      </c>
      <c r="J27" s="188">
        <f>Analysis2!O27</f>
        <v>0</v>
      </c>
      <c r="L27" s="441"/>
      <c r="M27" s="442"/>
    </row>
    <row r="28" spans="2:13" ht="15.75" customHeight="1" x14ac:dyDescent="0.2">
      <c r="B28" s="387" t="str">
        <f>Analysis2!K29</f>
        <v>EPA/Sales</v>
      </c>
      <c r="C28" s="188">
        <f>Analysis2!K30</f>
        <v>0.39949895719495671</v>
      </c>
      <c r="D28" s="392"/>
      <c r="E28" s="387" t="str">
        <f>Analysis2!B29</f>
        <v>PEG</v>
      </c>
      <c r="F28" s="391">
        <f>Analysis2!B30</f>
        <v>0.15447522716694229</v>
      </c>
      <c r="G28" s="393"/>
      <c r="H28" s="393"/>
      <c r="I28" s="387" t="str">
        <f>Analysis2!I26</f>
        <v>5 Year ROIIC</v>
      </c>
      <c r="J28" s="188">
        <f>Analysis2!I27</f>
        <v>1.7794148573340005</v>
      </c>
      <c r="L28" s="441" t="s">
        <v>977</v>
      </c>
      <c r="M28" s="442"/>
    </row>
    <row r="29" spans="2:13" ht="15.75" customHeight="1" x14ac:dyDescent="0.2">
      <c r="B29" s="387" t="s">
        <v>979</v>
      </c>
      <c r="C29" s="435">
        <f>AVERAGE('Financial Analysis'!J35:L35)</f>
        <v>0.28894272428257345</v>
      </c>
      <c r="D29" s="392"/>
      <c r="E29" s="387" t="str">
        <f>Analysis2!C29</f>
        <v>EY</v>
      </c>
      <c r="F29" s="188">
        <f>Analysis2!C30</f>
        <v>5.5256820506053503E-2</v>
      </c>
      <c r="G29" s="393"/>
      <c r="H29" s="393"/>
      <c r="I29" s="387" t="str">
        <f>Analysis2!J26</f>
        <v>5 Year EPA</v>
      </c>
      <c r="J29" s="188">
        <f>Analysis2!J27</f>
        <v>-2.8759366271237479</v>
      </c>
      <c r="L29" s="441"/>
      <c r="M29" s="442"/>
    </row>
    <row r="30" spans="2:13" x14ac:dyDescent="0.2">
      <c r="C30" s="389"/>
      <c r="D30" s="389"/>
      <c r="G30" s="389"/>
      <c r="H30" s="389"/>
    </row>
    <row r="31" spans="2:13" x14ac:dyDescent="0.2">
      <c r="C31" s="389"/>
      <c r="D31" s="389"/>
      <c r="G31" s="389"/>
      <c r="H31" s="389"/>
    </row>
    <row r="32" spans="2:13" x14ac:dyDescent="0.2">
      <c r="C32" s="389"/>
      <c r="D32" s="389"/>
      <c r="G32" s="389"/>
      <c r="H32" s="389"/>
    </row>
  </sheetData>
  <mergeCells count="13">
    <mergeCell ref="E26:F26"/>
    <mergeCell ref="I18:J18"/>
    <mergeCell ref="L28:L29"/>
    <mergeCell ref="M28:M29"/>
    <mergeCell ref="L26:L27"/>
    <mergeCell ref="M26:M27"/>
    <mergeCell ref="L24:L25"/>
    <mergeCell ref="M24:M25"/>
    <mergeCell ref="B2:F2"/>
    <mergeCell ref="L2:M2"/>
    <mergeCell ref="I2:J2"/>
    <mergeCell ref="B13:C13"/>
    <mergeCell ref="E13:F13"/>
  </mergeCells>
  <conditionalFormatting sqref="D17">
    <cfRule type="iconSet" priority="43">
      <iconSet iconSet="3Symbols2">
        <cfvo type="percent" val="0"/>
        <cfvo type="percent" val="33"/>
        <cfvo type="percent" val="67"/>
      </iconSet>
    </cfRule>
  </conditionalFormatting>
  <conditionalFormatting sqref="C15">
    <cfRule type="iconSet" priority="41">
      <iconSet iconSet="3Symbols2">
        <cfvo type="percent" val="0"/>
        <cfvo type="num" val="0.05"/>
        <cfvo type="num" val="0.1"/>
      </iconSet>
    </cfRule>
  </conditionalFormatting>
  <conditionalFormatting sqref="C16">
    <cfRule type="iconSet" priority="40">
      <iconSet iconSet="3Symbols2">
        <cfvo type="percent" val="0"/>
        <cfvo type="num" val="0.2"/>
        <cfvo type="num" val="0.3"/>
      </iconSet>
    </cfRule>
  </conditionalFormatting>
  <conditionalFormatting sqref="C19">
    <cfRule type="iconSet" priority="37">
      <iconSet iconSet="3Symbols2">
        <cfvo type="percent" val="0"/>
        <cfvo type="num" val="1"/>
        <cfvo type="num" val="3"/>
      </iconSet>
    </cfRule>
  </conditionalFormatting>
  <conditionalFormatting sqref="C21">
    <cfRule type="iconSet" priority="35">
      <iconSet iconSet="3Symbols2">
        <cfvo type="percent" val="0"/>
        <cfvo type="num" val="1"/>
        <cfvo type="num" val="1.5"/>
      </iconSet>
    </cfRule>
  </conditionalFormatting>
  <conditionalFormatting sqref="F14">
    <cfRule type="iconSet" priority="34">
      <iconSet iconSet="3Symbols2">
        <cfvo type="percent" val="0"/>
        <cfvo type="num" val="0.1"/>
        <cfvo type="num" val="0.2"/>
      </iconSet>
    </cfRule>
  </conditionalFormatting>
  <conditionalFormatting sqref="F15">
    <cfRule type="iconSet" priority="33">
      <iconSet iconSet="3Symbols2">
        <cfvo type="percent" val="0"/>
        <cfvo type="num" val="0.15"/>
        <cfvo type="num" val="0.3"/>
      </iconSet>
    </cfRule>
  </conditionalFormatting>
  <conditionalFormatting sqref="F16">
    <cfRule type="iconSet" priority="32">
      <iconSet iconSet="3Symbols2">
        <cfvo type="percent" val="0"/>
        <cfvo type="num" val="0.15"/>
        <cfvo type="num" val="0.3"/>
      </iconSet>
    </cfRule>
  </conditionalFormatting>
  <conditionalFormatting sqref="C22">
    <cfRule type="iconSet" priority="30">
      <iconSet iconSet="3Symbols2">
        <cfvo type="percent" val="0"/>
        <cfvo type="num" val="0.8"/>
        <cfvo type="num" val="1"/>
      </iconSet>
    </cfRule>
  </conditionalFormatting>
  <conditionalFormatting sqref="C23">
    <cfRule type="iconSet" priority="29">
      <iconSet iconSet="3Symbols2">
        <cfvo type="percent" val="0"/>
        <cfvo type="num" val="0.5"/>
        <cfvo type="num" val="0.7"/>
      </iconSet>
    </cfRule>
  </conditionalFormatting>
  <conditionalFormatting sqref="F17">
    <cfRule type="iconSet" priority="28">
      <iconSet iconSet="3Symbols2">
        <cfvo type="percent" val="0"/>
        <cfvo type="num" val="0"/>
        <cfvo type="num" val="0.02"/>
      </iconSet>
    </cfRule>
  </conditionalFormatting>
  <conditionalFormatting sqref="F4">
    <cfRule type="iconSet" priority="27">
      <iconSet iconSet="3Symbols2">
        <cfvo type="percent" val="0"/>
        <cfvo type="num" val="0.6"/>
        <cfvo type="num" val="0.7"/>
      </iconSet>
    </cfRule>
  </conditionalFormatting>
  <conditionalFormatting sqref="F20">
    <cfRule type="iconSet" priority="25">
      <iconSet iconSet="3Symbols2">
        <cfvo type="percent" val="0"/>
        <cfvo type="num" val="0.15"/>
        <cfvo type="num" val="0.25"/>
      </iconSet>
    </cfRule>
  </conditionalFormatting>
  <conditionalFormatting sqref="F21">
    <cfRule type="iconSet" priority="24">
      <iconSet iconSet="3Symbols2">
        <cfvo type="percent" val="0"/>
        <cfvo type="num" val="0.05"/>
        <cfvo type="num" val="0.1"/>
      </iconSet>
    </cfRule>
  </conditionalFormatting>
  <conditionalFormatting sqref="F19">
    <cfRule type="iconSet" priority="23">
      <iconSet iconSet="3Symbols2">
        <cfvo type="percent" val="0"/>
        <cfvo type="num" val="$F$14-0.05"/>
        <cfvo type="num" val="$F$14"/>
      </iconSet>
    </cfRule>
  </conditionalFormatting>
  <conditionalFormatting sqref="F23">
    <cfRule type="iconSet" priority="22">
      <iconSet iconSet="3Symbols2">
        <cfvo type="percent" val="0"/>
        <cfvo type="num" val="1"/>
        <cfvo type="num" val="1.2"/>
      </iconSet>
    </cfRule>
  </conditionalFormatting>
  <conditionalFormatting sqref="F29">
    <cfRule type="iconSet" priority="19">
      <iconSet iconSet="3Symbols2">
        <cfvo type="percent" val="0"/>
        <cfvo type="num" val="0.05"/>
        <cfvo type="num" val="0.1"/>
      </iconSet>
    </cfRule>
  </conditionalFormatting>
  <conditionalFormatting sqref="C25">
    <cfRule type="iconSet" priority="17">
      <iconSet iconSet="3Symbols2">
        <cfvo type="percent" val="0"/>
        <cfvo type="percent" val="0.15"/>
        <cfvo type="num" val="0.25"/>
      </iconSet>
    </cfRule>
  </conditionalFormatting>
  <conditionalFormatting sqref="C28">
    <cfRule type="iconSet" priority="16">
      <iconSet iconSet="3Symbols2">
        <cfvo type="percent" val="0"/>
        <cfvo type="num" val="0.05"/>
        <cfvo type="num" val="0.08"/>
      </iconSet>
    </cfRule>
  </conditionalFormatting>
  <conditionalFormatting sqref="F18">
    <cfRule type="iconSet" priority="15">
      <iconSet iconSet="3Symbols2">
        <cfvo type="percent" val="0"/>
        <cfvo type="num" val="1"/>
        <cfvo type="num" val="1.5"/>
      </iconSet>
    </cfRule>
  </conditionalFormatting>
  <conditionalFormatting sqref="M9">
    <cfRule type="iconSet" priority="14">
      <iconSet iconSet="3Symbols2">
        <cfvo type="percent" val="0"/>
        <cfvo type="num" val="0.1"/>
        <cfvo type="num" val="0.2"/>
      </iconSet>
    </cfRule>
  </conditionalFormatting>
  <conditionalFormatting sqref="C26:C27">
    <cfRule type="iconSet" priority="11">
      <iconSet iconSet="3Symbols2">
        <cfvo type="percent" val="0"/>
        <cfvo type="percent" val="0.15"/>
        <cfvo type="num" val="0.25"/>
      </iconSet>
    </cfRule>
  </conditionalFormatting>
  <conditionalFormatting sqref="M4">
    <cfRule type="iconSet" priority="9">
      <iconSet iconSet="3Symbols2">
        <cfvo type="percent" val="0"/>
        <cfvo type="num" val="0.6"/>
        <cfvo type="num" val="0.7"/>
      </iconSet>
    </cfRule>
  </conditionalFormatting>
  <conditionalFormatting sqref="F24">
    <cfRule type="iconSet" priority="8">
      <iconSet iconSet="3Symbols2">
        <cfvo type="percent" val="0"/>
        <cfvo type="num" val="0.9"/>
        <cfvo type="num" val="1"/>
      </iconSet>
    </cfRule>
  </conditionalFormatting>
  <conditionalFormatting sqref="C14">
    <cfRule type="iconSet" priority="6">
      <iconSet iconSet="3Symbols2">
        <cfvo type="percent" val="0"/>
        <cfvo type="num" val="0.05"/>
        <cfvo type="num" val="0.1"/>
      </iconSet>
    </cfRule>
  </conditionalFormatting>
  <conditionalFormatting sqref="J3">
    <cfRule type="iconSet" priority="3">
      <iconSet iconSet="3Symbols2">
        <cfvo type="percent" val="0"/>
        <cfvo type="num" val="0"/>
        <cfvo type="num" val="1"/>
      </iconSet>
    </cfRule>
  </conditionalFormatting>
  <conditionalFormatting sqref="J4:J17">
    <cfRule type="iconSet" priority="2">
      <iconSet iconSet="3Symbols2">
        <cfvo type="percent" val="0"/>
        <cfvo type="num" val="0"/>
        <cfvo type="num" val="1"/>
      </iconSet>
    </cfRule>
  </conditionalFormatting>
  <conditionalFormatting sqref="F5:F12">
    <cfRule type="iconSet" priority="103">
      <iconSet iconSet="3Symbols2">
        <cfvo type="percent" val="0"/>
        <cfvo type="num" val="0.6"/>
        <cfvo type="num" val="0.7"/>
      </iconSe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9" id="{47D4C39C-1428-4725-9D47-B8F1283759FD}">
            <x14:iconSet iconSet="3Symbols2" custom="1">
              <x14:cfvo type="percent">
                <xm:f>0</xm:f>
              </x14:cfvo>
              <x14:cfvo type="num">
                <xm:f>Analysis2!$B$21</xm:f>
              </x14:cfvo>
              <x14:cfvo type="num">
                <xm:f>Analysis2!$B$21+0.05</xm:f>
              </x14:cfvo>
              <x14:cfIcon iconSet="3Symbols2" iconId="2"/>
              <x14:cfIcon iconSet="3Symbols2" iconId="1"/>
              <x14:cfIcon iconSet="3Symbols2" iconId="0"/>
            </x14:iconSet>
          </x14:cfRule>
          <xm:sqref>C17</xm:sqref>
        </x14:conditionalFormatting>
        <x14:conditionalFormatting xmlns:xm="http://schemas.microsoft.com/office/excel/2006/main">
          <x14:cfRule type="iconSet" priority="38" id="{0B64D293-3144-41C1-B073-BA05AC9190AF}">
            <x14:iconSet iconSet="3Symbols2" custom="1">
              <x14:cfvo type="percent">
                <xm:f>0</xm:f>
              </x14:cfvo>
              <x14:cfvo type="num">
                <xm:f>0.15</xm:f>
              </x14:cfvo>
              <x14:cfvo type="num">
                <xm:f>0.3</xm:f>
              </x14:cfvo>
              <x14:cfIcon iconSet="3Symbols2" iconId="2"/>
              <x14:cfIcon iconSet="3Symbols2" iconId="1"/>
              <x14:cfIcon iconSet="3Symbols2" iconId="0"/>
            </x14:iconSet>
          </x14:cfRule>
          <xm:sqref>C18</xm:sqref>
        </x14:conditionalFormatting>
        <x14:conditionalFormatting xmlns:xm="http://schemas.microsoft.com/office/excel/2006/main">
          <x14:cfRule type="iconSet" priority="36" id="{B70598CA-98C7-4C38-A591-787C712C5B6E}">
            <x14:iconSet iconSet="3Symbols2" custom="1">
              <x14:cfvo type="percent">
                <xm:f>0</xm:f>
              </x14:cfvo>
              <x14:cfvo type="num">
                <xm:f>0.2</xm:f>
              </x14:cfvo>
              <x14:cfvo type="num">
                <xm:f>1</xm:f>
              </x14:cfvo>
              <x14:cfIcon iconSet="3Symbols2" iconId="2"/>
              <x14:cfIcon iconSet="3Symbols2" iconId="1"/>
              <x14:cfIcon iconSet="3Symbols2" iconId="0"/>
            </x14:iconSet>
          </x14:cfRule>
          <xm:sqref>C20</xm:sqref>
        </x14:conditionalFormatting>
        <x14:conditionalFormatting xmlns:xm="http://schemas.microsoft.com/office/excel/2006/main">
          <x14:cfRule type="iconSet" priority="21" id="{0903AEEB-6658-4576-BAA1-E6602A27E416}">
            <x14:iconSet iconSet="3Symbols2" custom="1">
              <x14:cfvo type="percent">
                <xm:f>0</xm:f>
              </x14:cfvo>
              <x14:cfvo type="num">
                <xm:f>10</xm:f>
              </x14:cfvo>
              <x14:cfvo type="num">
                <xm:f>20</xm:f>
              </x14:cfvo>
              <x14:cfIcon iconSet="3Symbols2" iconId="2"/>
              <x14:cfIcon iconSet="3Symbols2" iconId="1"/>
              <x14:cfIcon iconSet="3Symbols2" iconId="0"/>
            </x14:iconSet>
          </x14:cfRule>
          <xm:sqref>F27</xm:sqref>
        </x14:conditionalFormatting>
        <x14:conditionalFormatting xmlns:xm="http://schemas.microsoft.com/office/excel/2006/main">
          <x14:cfRule type="iconSet" priority="20" id="{DB1A3260-4447-4BB9-99BA-6F626A4F3620}">
            <x14:iconSet iconSet="3Symbols2" custom="1">
              <x14:cfvo type="percent">
                <xm:f>0</xm:f>
              </x14:cfvo>
              <x14:cfvo type="num">
                <xm:f>0.5</xm:f>
              </x14:cfvo>
              <x14:cfvo type="num">
                <xm:f>1</xm:f>
              </x14:cfvo>
              <x14:cfIcon iconSet="3Symbols2" iconId="2"/>
              <x14:cfIcon iconSet="3Symbols2" iconId="1"/>
              <x14:cfIcon iconSet="3Symbols2" iconId="0"/>
            </x14:iconSet>
          </x14:cfRule>
          <xm:sqref>F28</xm:sqref>
        </x14:conditionalFormatting>
        <x14:conditionalFormatting xmlns:xm="http://schemas.microsoft.com/office/excel/2006/main">
          <x14:cfRule type="iconSet" priority="18" id="{D21629E4-9CEC-4F4C-9794-4327859CC159}">
            <x14:iconSet iconSet="3Symbols2">
              <x14:cfvo type="percent">
                <xm:f>0</xm:f>
              </x14:cfvo>
              <x14:cfvo type="num">
                <xm:f>Analysis2!$B$21-0.05</xm:f>
              </x14:cfvo>
              <x14:cfvo type="num">
                <xm:f>Analysis2!$B$21</xm:f>
              </x14:cfvo>
            </x14:iconSet>
          </x14:cfRule>
          <xm:sqref>C24</xm:sqref>
        </x14:conditionalFormatting>
        <x14:conditionalFormatting xmlns:xm="http://schemas.microsoft.com/office/excel/2006/main">
          <x14:cfRule type="iconSet" priority="7" id="{C75883DF-156B-409D-9294-58B598BAEB7A}">
            <x14:iconSet iconSet="3Symbols2" custom="1">
              <x14:cfvo type="percent">
                <xm:f>0</xm:f>
              </x14:cfvo>
              <x14:cfvo type="num">
                <xm:f>0.15</xm:f>
              </x14:cfvo>
              <x14:cfvo type="num">
                <xm:f>0.2</xm:f>
              </x14:cfvo>
              <x14:cfIcon iconSet="3Symbols2" iconId="2"/>
              <x14:cfIcon iconSet="3Symbols2" iconId="1"/>
              <x14:cfIcon iconSet="3Symbols2" iconId="0"/>
            </x14:iconSet>
          </x14:cfRule>
          <xm:sqref>F25</xm:sqref>
        </x14:conditionalFormatting>
        <x14:conditionalFormatting xmlns:xm="http://schemas.microsoft.com/office/excel/2006/main">
          <x14:cfRule type="iconSet" priority="1" id="{43ED478B-70C4-472E-9F02-ACB7D25F1BDE}">
            <x14:iconSet iconSet="3Symbols2" custom="1">
              <x14:cfvo type="percent">
                <xm:f>0</xm:f>
              </x14:cfvo>
              <x14:cfvo type="num">
                <xm:f>0</xm:f>
              </x14:cfvo>
              <x14:cfvo type="num">
                <xm:f>0.1</xm:f>
              </x14:cfvo>
              <x14:cfIcon iconSet="3Symbols2" iconId="2"/>
              <x14:cfIcon iconSet="3Symbols2" iconId="1"/>
              <x14:cfIcon iconSet="3Symbols2" iconId="0"/>
            </x14:iconSet>
          </x14:cfRule>
          <xm:sqref>C29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31"/>
  <sheetViews>
    <sheetView workbookViewId="0">
      <pane xSplit="1" ySplit="3" topLeftCell="B15" activePane="bottomRight" state="frozen"/>
      <selection activeCell="C4" sqref="C4"/>
      <selection pane="topRight" activeCell="C4" sqref="C4"/>
      <selection pane="bottomLeft" activeCell="C4" sqref="C4"/>
      <selection pane="bottomRight" activeCell="C4" sqref="C4:L31"/>
    </sheetView>
  </sheetViews>
  <sheetFormatPr defaultRowHeight="15" x14ac:dyDescent="0.25"/>
  <cols>
    <col min="1" max="1" width="22.85546875" style="11" bestFit="1" customWidth="1"/>
    <col min="2" max="2" width="13.5703125" style="11" customWidth="1"/>
    <col min="3" max="11" width="15.5703125" style="11" customWidth="1"/>
    <col min="12" max="16384" width="9.140625" style="11"/>
  </cols>
  <sheetData>
    <row r="1" spans="1:12" s="8" customFormat="1" x14ac:dyDescent="0.25">
      <c r="A1" s="8" t="str">
        <f>'Profit &amp; Loss'!A1</f>
        <v>CUPID LTD</v>
      </c>
      <c r="E1" t="str">
        <f>UPDATE</f>
        <v/>
      </c>
      <c r="G1"/>
      <c r="J1" s="4" t="s">
        <v>1</v>
      </c>
      <c r="K1" s="4"/>
    </row>
    <row r="2" spans="1:12" x14ac:dyDescent="0.25">
      <c r="G2" s="8"/>
      <c r="H2" s="8"/>
    </row>
    <row r="3" spans="1:12" s="18" customFormat="1" x14ac:dyDescent="0.25">
      <c r="A3" s="15" t="s">
        <v>2</v>
      </c>
      <c r="B3" s="16">
        <f>'Data Sheet'!B56</f>
        <v>38807</v>
      </c>
      <c r="C3" s="16">
        <f>'Data Sheet'!C56</f>
        <v>39172</v>
      </c>
      <c r="D3" s="16">
        <f>'Data Sheet'!D56</f>
        <v>39538</v>
      </c>
      <c r="E3" s="16">
        <f>'Data Sheet'!E56</f>
        <v>39903</v>
      </c>
      <c r="F3" s="16">
        <f>'Data Sheet'!F56</f>
        <v>40268</v>
      </c>
      <c r="G3" s="16">
        <f>'Data Sheet'!G56</f>
        <v>40633</v>
      </c>
      <c r="H3" s="16">
        <f>'Data Sheet'!H56</f>
        <v>40999</v>
      </c>
      <c r="I3" s="16">
        <f>'Data Sheet'!I56</f>
        <v>41364</v>
      </c>
      <c r="J3" s="16">
        <f>'Data Sheet'!J56</f>
        <v>41729</v>
      </c>
      <c r="K3" s="16">
        <f>'Data Sheet'!K56</f>
        <v>42094</v>
      </c>
      <c r="L3" s="16">
        <f>'Data Sheet'!L56</f>
        <v>42460</v>
      </c>
    </row>
    <row r="4" spans="1:12" x14ac:dyDescent="0.25">
      <c r="A4" s="6" t="s">
        <v>19</v>
      </c>
      <c r="B4" s="19">
        <f>'Data Sheet'!B57</f>
        <v>6.77</v>
      </c>
      <c r="C4" s="19">
        <f>'Data Sheet'!C57</f>
        <v>7.43</v>
      </c>
      <c r="D4" s="19">
        <f>'Data Sheet'!D57</f>
        <v>7.87</v>
      </c>
      <c r="E4" s="19">
        <f>'Data Sheet'!E57</f>
        <v>7.87</v>
      </c>
      <c r="F4" s="19">
        <f>'Data Sheet'!F57</f>
        <v>8.4700000000000006</v>
      </c>
      <c r="G4" s="19">
        <f>'Data Sheet'!G57</f>
        <v>8.9700000000000006</v>
      </c>
      <c r="H4" s="19">
        <f>'Data Sheet'!H57</f>
        <v>9.7100000000000009</v>
      </c>
      <c r="I4" s="19">
        <f>'Data Sheet'!I57</f>
        <v>11.12</v>
      </c>
      <c r="J4" s="19">
        <f>'Data Sheet'!J57</f>
        <v>11.12</v>
      </c>
      <c r="K4" s="19">
        <f>'Data Sheet'!K57</f>
        <v>11.12</v>
      </c>
      <c r="L4" s="19">
        <f>'Data Sheet'!L57</f>
        <v>11.12</v>
      </c>
    </row>
    <row r="5" spans="1:12" s="6" customFormat="1" x14ac:dyDescent="0.25">
      <c r="A5" s="6" t="s">
        <v>20</v>
      </c>
      <c r="B5" s="19">
        <f>'Data Sheet'!B58</f>
        <v>3.45</v>
      </c>
      <c r="C5" s="19">
        <f>'Data Sheet'!C58</f>
        <v>7.71</v>
      </c>
      <c r="D5" s="19">
        <f>'Data Sheet'!D58</f>
        <v>9.83</v>
      </c>
      <c r="E5" s="19">
        <f>'Data Sheet'!E58</f>
        <v>7.11</v>
      </c>
      <c r="F5" s="19">
        <f>'Data Sheet'!F58</f>
        <v>5.55</v>
      </c>
      <c r="G5" s="19">
        <f>'Data Sheet'!G58</f>
        <v>5.96</v>
      </c>
      <c r="H5" s="19">
        <f>'Data Sheet'!H58</f>
        <v>6.58</v>
      </c>
      <c r="I5" s="19">
        <f>'Data Sheet'!I58</f>
        <v>7.44</v>
      </c>
      <c r="J5" s="19">
        <f>'Data Sheet'!J58</f>
        <v>7.49</v>
      </c>
      <c r="K5" s="19">
        <f>'Data Sheet'!K58</f>
        <v>13.08</v>
      </c>
      <c r="L5" s="19">
        <f>'Data Sheet'!L58</f>
        <v>25.01</v>
      </c>
    </row>
    <row r="6" spans="1:12" x14ac:dyDescent="0.25">
      <c r="A6" s="11" t="s">
        <v>66</v>
      </c>
      <c r="B6" s="19">
        <f>'Data Sheet'!B59</f>
        <v>1.24</v>
      </c>
      <c r="C6" s="19">
        <f>'Data Sheet'!C59</f>
        <v>4.09</v>
      </c>
      <c r="D6" s="19">
        <f>'Data Sheet'!D59</f>
        <v>5.72</v>
      </c>
      <c r="E6" s="19">
        <f>'Data Sheet'!E59</f>
        <v>7.93</v>
      </c>
      <c r="F6" s="19">
        <f>'Data Sheet'!F59</f>
        <v>7.18</v>
      </c>
      <c r="G6" s="19">
        <f>'Data Sheet'!G59</f>
        <v>6.03</v>
      </c>
      <c r="H6" s="19">
        <f>'Data Sheet'!H59</f>
        <v>4.8899999999999997</v>
      </c>
      <c r="I6" s="19">
        <f>'Data Sheet'!I59</f>
        <v>2.5</v>
      </c>
      <c r="J6" s="19">
        <f>'Data Sheet'!J59</f>
        <v>3.25</v>
      </c>
      <c r="K6" s="19">
        <f>'Data Sheet'!K59</f>
        <v>2.19</v>
      </c>
      <c r="L6" s="19">
        <f>'Data Sheet'!L59</f>
        <v>0</v>
      </c>
    </row>
    <row r="7" spans="1:12" s="6" customFormat="1" x14ac:dyDescent="0.25">
      <c r="A7" s="11" t="s">
        <v>67</v>
      </c>
      <c r="B7" s="19">
        <f>'Data Sheet'!B60</f>
        <v>5.43</v>
      </c>
      <c r="C7" s="19">
        <f>'Data Sheet'!C60</f>
        <v>5.07</v>
      </c>
      <c r="D7" s="19">
        <f>'Data Sheet'!D60</f>
        <v>4.4400000000000004</v>
      </c>
      <c r="E7" s="19">
        <f>'Data Sheet'!E60</f>
        <v>6.48</v>
      </c>
      <c r="F7" s="19">
        <f>'Data Sheet'!F60</f>
        <v>5.85</v>
      </c>
      <c r="G7" s="19">
        <f>'Data Sheet'!G60</f>
        <v>5.84</v>
      </c>
      <c r="H7" s="19">
        <f>'Data Sheet'!H60</f>
        <v>6.86</v>
      </c>
      <c r="I7" s="19">
        <f>'Data Sheet'!I60</f>
        <v>4.78</v>
      </c>
      <c r="J7" s="19">
        <f>'Data Sheet'!J60</f>
        <v>5.7</v>
      </c>
      <c r="K7" s="19">
        <f>'Data Sheet'!K60</f>
        <v>8.59</v>
      </c>
      <c r="L7" s="19">
        <f>'Data Sheet'!L60</f>
        <v>14</v>
      </c>
    </row>
    <row r="8" spans="1:12" s="8" customFormat="1" x14ac:dyDescent="0.25">
      <c r="A8" s="8" t="s">
        <v>21</v>
      </c>
      <c r="B8" s="20">
        <f>'Data Sheet'!B61</f>
        <v>16.89</v>
      </c>
      <c r="C8" s="20">
        <f>'Data Sheet'!C61</f>
        <v>24.3</v>
      </c>
      <c r="D8" s="20">
        <f>'Data Sheet'!D61</f>
        <v>27.86</v>
      </c>
      <c r="E8" s="20">
        <f>'Data Sheet'!E61</f>
        <v>29.39</v>
      </c>
      <c r="F8" s="20">
        <f>'Data Sheet'!F61</f>
        <v>27.05</v>
      </c>
      <c r="G8" s="20">
        <f>'Data Sheet'!G61</f>
        <v>26.8</v>
      </c>
      <c r="H8" s="20">
        <f>'Data Sheet'!H61</f>
        <v>28.04</v>
      </c>
      <c r="I8" s="20">
        <f>'Data Sheet'!I61</f>
        <v>25.84</v>
      </c>
      <c r="J8" s="20">
        <f>'Data Sheet'!J61</f>
        <v>27.56</v>
      </c>
      <c r="K8" s="20">
        <f>'Data Sheet'!K61</f>
        <v>34.979999999999997</v>
      </c>
      <c r="L8" s="20">
        <f>'Data Sheet'!L61</f>
        <v>50.58</v>
      </c>
    </row>
    <row r="9" spans="1:12" s="8" customFormat="1" x14ac:dyDescent="0.25">
      <c r="B9" s="20"/>
      <c r="C9" s="20"/>
      <c r="D9" s="20"/>
      <c r="E9" s="20"/>
      <c r="F9" s="20"/>
      <c r="G9" s="20"/>
      <c r="H9" s="20"/>
      <c r="I9" s="20"/>
      <c r="J9" s="20"/>
      <c r="K9" s="20"/>
      <c r="L9" s="20"/>
    </row>
    <row r="10" spans="1:12" x14ac:dyDescent="0.25">
      <c r="A10" s="6" t="s">
        <v>22</v>
      </c>
      <c r="B10" s="19">
        <f>'Data Sheet'!B62</f>
        <v>9.14</v>
      </c>
      <c r="C10" s="19">
        <f>'Data Sheet'!C62</f>
        <v>13.4</v>
      </c>
      <c r="D10" s="19">
        <f>'Data Sheet'!D62</f>
        <v>17.75</v>
      </c>
      <c r="E10" s="19">
        <f>'Data Sheet'!E62</f>
        <v>20.38</v>
      </c>
      <c r="F10" s="19">
        <f>'Data Sheet'!F62</f>
        <v>19.05</v>
      </c>
      <c r="G10" s="19">
        <f>'Data Sheet'!G62</f>
        <v>17.850000000000001</v>
      </c>
      <c r="H10" s="19">
        <f>'Data Sheet'!H62</f>
        <v>16.78</v>
      </c>
      <c r="I10" s="19">
        <f>'Data Sheet'!I62</f>
        <v>17.2</v>
      </c>
      <c r="J10" s="19">
        <f>'Data Sheet'!J62</f>
        <v>16.28</v>
      </c>
      <c r="K10" s="19">
        <f>'Data Sheet'!K62</f>
        <v>15.61</v>
      </c>
      <c r="L10" s="19">
        <f>'Data Sheet'!L62</f>
        <v>15.55</v>
      </c>
    </row>
    <row r="11" spans="1:12" x14ac:dyDescent="0.25">
      <c r="A11" s="6" t="s">
        <v>23</v>
      </c>
      <c r="B11" s="19">
        <f>'Data Sheet'!B63</f>
        <v>0</v>
      </c>
      <c r="C11" s="19">
        <f>'Data Sheet'!C63</f>
        <v>0.21</v>
      </c>
      <c r="D11" s="19">
        <f>'Data Sheet'!D63</f>
        <v>0.73</v>
      </c>
      <c r="E11" s="19">
        <f>'Data Sheet'!E63</f>
        <v>0</v>
      </c>
      <c r="F11" s="19">
        <f>'Data Sheet'!F63</f>
        <v>0</v>
      </c>
      <c r="G11" s="19">
        <f>'Data Sheet'!G63</f>
        <v>0</v>
      </c>
      <c r="H11" s="19">
        <f>'Data Sheet'!H63</f>
        <v>7.0000000000000007E-2</v>
      </c>
      <c r="I11" s="19">
        <f>'Data Sheet'!I63</f>
        <v>0</v>
      </c>
      <c r="J11" s="19">
        <f>'Data Sheet'!J63</f>
        <v>0</v>
      </c>
      <c r="K11" s="19">
        <f>'Data Sheet'!K63</f>
        <v>0</v>
      </c>
      <c r="L11" s="19">
        <f>'Data Sheet'!L63</f>
        <v>0</v>
      </c>
    </row>
    <row r="12" spans="1:12" x14ac:dyDescent="0.25">
      <c r="A12" s="6" t="s">
        <v>24</v>
      </c>
      <c r="B12" s="19">
        <f>'Data Sheet'!B64</f>
        <v>0.82</v>
      </c>
      <c r="C12" s="19">
        <f>'Data Sheet'!C64</f>
        <v>2.4</v>
      </c>
      <c r="D12" s="19">
        <f>'Data Sheet'!D64</f>
        <v>0.97</v>
      </c>
      <c r="E12" s="19">
        <f>'Data Sheet'!E64</f>
        <v>0.41</v>
      </c>
      <c r="F12" s="19">
        <f>'Data Sheet'!F64</f>
        <v>0.08</v>
      </c>
      <c r="G12" s="19">
        <f>'Data Sheet'!G64</f>
        <v>0.31</v>
      </c>
      <c r="H12" s="19">
        <f>'Data Sheet'!H64</f>
        <v>0.47</v>
      </c>
      <c r="I12" s="19">
        <f>'Data Sheet'!I64</f>
        <v>0.15</v>
      </c>
      <c r="J12" s="19">
        <f>'Data Sheet'!J64</f>
        <v>7.0000000000000007E-2</v>
      </c>
      <c r="K12" s="19">
        <f>'Data Sheet'!K64</f>
        <v>0.06</v>
      </c>
      <c r="L12" s="19">
        <f>'Data Sheet'!L64</f>
        <v>0.06</v>
      </c>
    </row>
    <row r="13" spans="1:12" x14ac:dyDescent="0.25">
      <c r="A13" s="11" t="s">
        <v>68</v>
      </c>
      <c r="B13" s="19">
        <f>'Data Sheet'!B65</f>
        <v>6.93</v>
      </c>
      <c r="C13" s="19">
        <f>'Data Sheet'!C65</f>
        <v>8.2899999999999991</v>
      </c>
      <c r="D13" s="19">
        <f>'Data Sheet'!D65</f>
        <v>8.41</v>
      </c>
      <c r="E13" s="19">
        <f>'Data Sheet'!E65</f>
        <v>8.6</v>
      </c>
      <c r="F13" s="19">
        <f>'Data Sheet'!F65</f>
        <v>7.92</v>
      </c>
      <c r="G13" s="19">
        <f>'Data Sheet'!G65</f>
        <v>8.64</v>
      </c>
      <c r="H13" s="19">
        <f>'Data Sheet'!H65</f>
        <v>10.72</v>
      </c>
      <c r="I13" s="19">
        <f>'Data Sheet'!I65</f>
        <v>8.49</v>
      </c>
      <c r="J13" s="19">
        <f>'Data Sheet'!J65</f>
        <v>11.21</v>
      </c>
      <c r="K13" s="19">
        <f>'Data Sheet'!K65</f>
        <v>19.309999999999999</v>
      </c>
      <c r="L13" s="19">
        <f>'Data Sheet'!L65</f>
        <v>35</v>
      </c>
    </row>
    <row r="14" spans="1:12" s="8" customFormat="1" x14ac:dyDescent="0.25">
      <c r="A14" s="8" t="s">
        <v>21</v>
      </c>
      <c r="B14" s="19">
        <f>'Data Sheet'!B66</f>
        <v>16.89</v>
      </c>
      <c r="C14" s="19">
        <f>'Data Sheet'!C66</f>
        <v>24.3</v>
      </c>
      <c r="D14" s="19">
        <f>'Data Sheet'!D66</f>
        <v>27.86</v>
      </c>
      <c r="E14" s="19">
        <f>'Data Sheet'!E66</f>
        <v>29.39</v>
      </c>
      <c r="F14" s="19">
        <f>'Data Sheet'!F66</f>
        <v>27.05</v>
      </c>
      <c r="G14" s="19">
        <f>'Data Sheet'!G66</f>
        <v>26.8</v>
      </c>
      <c r="H14" s="19">
        <f>'Data Sheet'!H66</f>
        <v>28.04</v>
      </c>
      <c r="I14" s="19">
        <f>'Data Sheet'!I66</f>
        <v>25.84</v>
      </c>
      <c r="J14" s="19">
        <f>'Data Sheet'!J66</f>
        <v>27.56</v>
      </c>
      <c r="K14" s="19">
        <f>'Data Sheet'!K66</f>
        <v>34.979999999999997</v>
      </c>
      <c r="L14" s="19">
        <f>'Data Sheet'!L66</f>
        <v>50.58</v>
      </c>
    </row>
    <row r="15" spans="1:12" x14ac:dyDescent="0.25">
      <c r="A15" s="6"/>
      <c r="B15" s="21"/>
      <c r="C15" s="21"/>
      <c r="D15" s="21"/>
      <c r="E15" s="21"/>
      <c r="F15" s="21"/>
      <c r="G15" s="21"/>
      <c r="H15" s="21"/>
      <c r="I15" s="21"/>
      <c r="J15" s="21"/>
      <c r="K15" s="21"/>
      <c r="L15" s="21"/>
    </row>
    <row r="16" spans="1:12" x14ac:dyDescent="0.25">
      <c r="A16" s="29" t="s">
        <v>25</v>
      </c>
      <c r="B16" s="21">
        <f>B13-B7</f>
        <v>1.5</v>
      </c>
      <c r="C16" s="21">
        <f t="shared" ref="C16" si="0">C13-C7</f>
        <v>3.2199999999999989</v>
      </c>
      <c r="D16" s="21">
        <f t="shared" ref="D16:L16" si="1">D13-D7</f>
        <v>3.9699999999999998</v>
      </c>
      <c r="E16" s="21">
        <f t="shared" si="1"/>
        <v>2.1199999999999992</v>
      </c>
      <c r="F16" s="21">
        <f t="shared" si="1"/>
        <v>2.0700000000000003</v>
      </c>
      <c r="G16" s="21">
        <f t="shared" si="1"/>
        <v>2.8000000000000007</v>
      </c>
      <c r="H16" s="21">
        <f t="shared" si="1"/>
        <v>3.8600000000000003</v>
      </c>
      <c r="I16" s="21">
        <f t="shared" si="1"/>
        <v>3.71</v>
      </c>
      <c r="J16" s="21">
        <f t="shared" si="1"/>
        <v>5.5100000000000007</v>
      </c>
      <c r="K16" s="21">
        <f t="shared" si="1"/>
        <v>10.719999999999999</v>
      </c>
      <c r="L16" s="21">
        <f t="shared" si="1"/>
        <v>21</v>
      </c>
    </row>
    <row r="17" spans="1:12" x14ac:dyDescent="0.25">
      <c r="A17" s="11" t="s">
        <v>39</v>
      </c>
      <c r="B17" s="21">
        <f>'Data Sheet'!B67</f>
        <v>2.69</v>
      </c>
      <c r="C17" s="21">
        <f>'Data Sheet'!C67</f>
        <v>3.25</v>
      </c>
      <c r="D17" s="21">
        <f>'Data Sheet'!D67</f>
        <v>0.75</v>
      </c>
      <c r="E17" s="21">
        <f>'Data Sheet'!E67</f>
        <v>3.09</v>
      </c>
      <c r="F17" s="21">
        <f>'Data Sheet'!F67</f>
        <v>1.69</v>
      </c>
      <c r="G17" s="21">
        <f>'Data Sheet'!G67</f>
        <v>1.87</v>
      </c>
      <c r="H17" s="21">
        <f>'Data Sheet'!H67</f>
        <v>2.7</v>
      </c>
      <c r="I17" s="21">
        <f>'Data Sheet'!I67</f>
        <v>1.28</v>
      </c>
      <c r="J17" s="21">
        <f>'Data Sheet'!J67</f>
        <v>3.17</v>
      </c>
      <c r="K17" s="21">
        <f>'Data Sheet'!K67</f>
        <v>8.18</v>
      </c>
      <c r="L17" s="21">
        <f>'Data Sheet'!L67</f>
        <v>13.27</v>
      </c>
    </row>
    <row r="18" spans="1:12" x14ac:dyDescent="0.25">
      <c r="A18" s="11" t="s">
        <v>40</v>
      </c>
      <c r="B18" s="21">
        <f>'Data Sheet'!B68</f>
        <v>1.23</v>
      </c>
      <c r="C18" s="21">
        <f>'Data Sheet'!C68</f>
        <v>2.97</v>
      </c>
      <c r="D18" s="21">
        <f>'Data Sheet'!D68</f>
        <v>2.3199999999999998</v>
      </c>
      <c r="E18" s="21">
        <f>'Data Sheet'!E68</f>
        <v>2.09</v>
      </c>
      <c r="F18" s="21">
        <f>'Data Sheet'!F68</f>
        <v>1.99</v>
      </c>
      <c r="G18" s="21">
        <f>'Data Sheet'!G68</f>
        <v>2.94</v>
      </c>
      <c r="H18" s="21">
        <f>'Data Sheet'!H68</f>
        <v>3.95</v>
      </c>
      <c r="I18" s="21">
        <f>'Data Sheet'!I68</f>
        <v>2.97</v>
      </c>
      <c r="J18" s="21">
        <f>'Data Sheet'!J68</f>
        <v>4.71</v>
      </c>
      <c r="K18" s="21">
        <f>'Data Sheet'!K68</f>
        <v>3.47</v>
      </c>
      <c r="L18" s="21">
        <f>'Data Sheet'!L68</f>
        <v>3.42</v>
      </c>
    </row>
    <row r="20" spans="1:12" x14ac:dyDescent="0.25">
      <c r="A20" s="11" t="s">
        <v>41</v>
      </c>
      <c r="B20" s="5">
        <f>IF('Profit &amp; Loss'!B4&gt;0,'Balance Sheet'!B17/('Profit &amp; Loss'!B4/365),0)</f>
        <v>76.408560311284049</v>
      </c>
      <c r="C20" s="5">
        <f>IF('Profit &amp; Loss'!C4&gt;0,'Balance Sheet'!C17/('Profit &amp; Loss'!C4/365),0)</f>
        <v>63.199254128929141</v>
      </c>
      <c r="D20" s="5">
        <f>IF('Profit &amp; Loss'!D4&gt;0,'Balance Sheet'!D17/('Profit &amp; Loss'!D4/365),0)</f>
        <v>11.228465955701395</v>
      </c>
      <c r="E20" s="5">
        <f>IF('Profit &amp; Loss'!E4&gt;0,'Balance Sheet'!E17/('Profit &amp; Loss'!E4/365),0)</f>
        <v>91.25</v>
      </c>
      <c r="F20" s="5">
        <f>IF('Profit &amp; Loss'!F4&gt;0,'Balance Sheet'!F17/('Profit &amp; Loss'!F4/365),0)</f>
        <v>72.57058823529411</v>
      </c>
      <c r="G20" s="5">
        <f>IF('Profit &amp; Loss'!G4&gt;0,'Balance Sheet'!G17/('Profit &amp; Loss'!G4/365),0)</f>
        <v>35.716902145473576</v>
      </c>
      <c r="H20" s="5">
        <f>IF('Profit &amp; Loss'!H4&gt;0,'Balance Sheet'!H17/('Profit &amp; Loss'!H4/365),0)</f>
        <v>37.93302540415705</v>
      </c>
      <c r="I20" s="5">
        <f>IF('Profit &amp; Loss'!I4&gt;0,'Balance Sheet'!I17/('Profit &amp; Loss'!I4/365),0)</f>
        <v>16.450704225352116</v>
      </c>
      <c r="J20" s="5">
        <f>IF('Profit &amp; Loss'!J4&gt;0,'Balance Sheet'!J17/('Profit &amp; Loss'!J4/365),0)</f>
        <v>59.244751664106502</v>
      </c>
      <c r="K20" s="5">
        <f>IF('Profit &amp; Loss'!K4&gt;0,'Balance Sheet'!K17/('Profit &amp; Loss'!K4/365),0)</f>
        <v>67.184968496849692</v>
      </c>
      <c r="L20" s="5">
        <f>IF('Profit &amp; Loss'!L4&gt;0,'Balance Sheet'!L17/('Profit &amp; Loss'!L4/365),0)</f>
        <v>73.554290053151107</v>
      </c>
    </row>
    <row r="21" spans="1:12" x14ac:dyDescent="0.25">
      <c r="A21" s="11" t="s">
        <v>42</v>
      </c>
      <c r="B21" s="5">
        <f>IF('Balance Sheet'!B18&gt;0,'Profit &amp; Loss'!B4/'Balance Sheet'!B18,0)</f>
        <v>10.447154471544716</v>
      </c>
      <c r="C21" s="5">
        <f>IF('Balance Sheet'!C18&gt;0,'Profit &amp; Loss'!C4/'Balance Sheet'!C18,0)</f>
        <v>6.3198653198653192</v>
      </c>
      <c r="D21" s="5">
        <f>IF('Balance Sheet'!D18&gt;0,'Profit &amp; Loss'!D4/'Balance Sheet'!D18,0)</f>
        <v>10.508620689655173</v>
      </c>
      <c r="E21" s="5">
        <f>IF('Balance Sheet'!E18&gt;0,'Profit &amp; Loss'!E4/'Balance Sheet'!E18,0)</f>
        <v>5.9138755980861246</v>
      </c>
      <c r="F21" s="5">
        <f>IF('Balance Sheet'!F18&gt;0,'Profit &amp; Loss'!F4/'Balance Sheet'!F18,0)</f>
        <v>4.2713567839195976</v>
      </c>
      <c r="G21" s="5">
        <f>IF('Balance Sheet'!G18&gt;0,'Profit &amp; Loss'!G4/'Balance Sheet'!G18,0)</f>
        <v>6.5</v>
      </c>
      <c r="H21" s="5">
        <f>IF('Balance Sheet'!H18&gt;0,'Profit &amp; Loss'!H4/'Balance Sheet'!H18,0)</f>
        <v>6.5772151898734172</v>
      </c>
      <c r="I21" s="5">
        <f>IF('Balance Sheet'!I18&gt;0,'Profit &amp; Loss'!I4/'Balance Sheet'!I18,0)</f>
        <v>9.5622895622895605</v>
      </c>
      <c r="J21" s="5">
        <f>IF('Balance Sheet'!J18&gt;0,'Profit &amp; Loss'!J4/'Balance Sheet'!J18,0)</f>
        <v>4.1464968152866248</v>
      </c>
      <c r="K21" s="5">
        <f>IF('Balance Sheet'!K18&gt;0,'Profit &amp; Loss'!K4/'Balance Sheet'!K18,0)</f>
        <v>12.806916426512966</v>
      </c>
      <c r="L21" s="5">
        <f>IF('Balance Sheet'!L18&gt;0,'Profit &amp; Loss'!L4/'Balance Sheet'!L18,0)</f>
        <v>19.254385964912281</v>
      </c>
    </row>
    <row r="23" spans="1:12" s="8" customFormat="1" x14ac:dyDescent="0.25">
      <c r="A23" s="8" t="s">
        <v>55</v>
      </c>
      <c r="B23" s="14">
        <f>IF(SUM('Balance Sheet'!B4:B5)&gt;0,'Profit &amp; Loss'!B12/SUM('Balance Sheet'!B4:B5),"")</f>
        <v>0.29647749510763211</v>
      </c>
      <c r="C23" s="14">
        <f>IF(SUM('Balance Sheet'!C4:C5)&gt;0,'Profit &amp; Loss'!C12/SUM('Balance Sheet'!C4:C5),"")</f>
        <v>0.17899603698811095</v>
      </c>
      <c r="D23" s="14">
        <f>IF(SUM('Balance Sheet'!D4:D5)&gt;0,'Profit &amp; Loss'!D12/SUM('Balance Sheet'!D4:D5),"")</f>
        <v>6.1581920903954812E-2</v>
      </c>
      <c r="E23" s="14">
        <f>IF(SUM('Balance Sheet'!E4:E5)&gt;0,'Profit &amp; Loss'!E12/SUM('Balance Sheet'!E4:E5),"")</f>
        <v>-0.18157543391188252</v>
      </c>
      <c r="F23" s="14">
        <f>IF(SUM('Balance Sheet'!F4:F5)&gt;0,'Profit &amp; Loss'!F12/SUM('Balance Sheet'!F4:F5),"")</f>
        <v>-0.13837375178316691</v>
      </c>
      <c r="G23" s="14">
        <f>IF(SUM('Balance Sheet'!G4:G5)&gt;0,'Profit &amp; Loss'!G12/SUM('Balance Sheet'!G4:G5),"")</f>
        <v>2.6121902210314803E-2</v>
      </c>
      <c r="H23" s="14">
        <f>IF(SUM('Balance Sheet'!H4:H5)&gt;0,'Profit &amp; Loss'!H12/SUM('Balance Sheet'!H4:H5),"")</f>
        <v>3.6218538980969918E-2</v>
      </c>
      <c r="I23" s="14">
        <f>IF(SUM('Balance Sheet'!I4:I5)&gt;0,'Profit &amp; Loss'!I12/SUM('Balance Sheet'!I4:I5),"")</f>
        <v>4.6336206896551727E-2</v>
      </c>
      <c r="J23" s="14">
        <f>IF(SUM('Balance Sheet'!J4:J5)&gt;0,'Profit &amp; Loss'!J12/SUM('Balance Sheet'!J4:J5),"")</f>
        <v>2.6867275658248257E-3</v>
      </c>
      <c r="K23" s="14">
        <f>IF(SUM('Balance Sheet'!K4:K5)&gt;0,'Profit &amp; Loss'!K12/SUM('Balance Sheet'!K4:K5),"")</f>
        <v>0.31859504132231403</v>
      </c>
      <c r="L23" s="14">
        <f>IF(SUM('Balance Sheet'!L4:L5)&gt;0,'Profit &amp; Loss'!L12/SUM('Balance Sheet'!L4:L5),"")</f>
        <v>0.46360365347356763</v>
      </c>
    </row>
    <row r="24" spans="1:12" s="8" customFormat="1" x14ac:dyDescent="0.25">
      <c r="A24" s="8" t="s">
        <v>56</v>
      </c>
      <c r="B24" s="14">
        <f>IF(('Balance Sheet'!B10+'Balance Sheet'!B16)&gt;0,('Profit &amp; Loss'!B6-'Profit &amp; Loss'!B8-'Profit &amp; Loss'!B11)/('Balance Sheet'!B10+'Balance Sheet'!B16),"")</f>
        <v>0.12687969924812023</v>
      </c>
      <c r="C24" s="14">
        <f>IF(('Balance Sheet'!C10+'Balance Sheet'!C16)&gt;0,('Profit &amp; Loss'!C6-'Profit &amp; Loss'!C8-'Profit &amp; Loss'!C11)/('Balance Sheet'!C10+'Balance Sheet'!C16),"")</f>
        <v>0.15884476534296041</v>
      </c>
      <c r="D24" s="14">
        <f>IF(('Balance Sheet'!D10+'Balance Sheet'!D16)&gt;0,('Profit &amp; Loss'!D6-'Profit &amp; Loss'!D8-'Profit &amp; Loss'!D11)/('Balance Sheet'!D10+'Balance Sheet'!D16),"")</f>
        <v>7.1362799263351859E-2</v>
      </c>
      <c r="E24" s="14">
        <f>IF(('Balance Sheet'!E10+'Balance Sheet'!E16)&gt;0,('Profit &amp; Loss'!E6-'Profit &amp; Loss'!E8-'Profit &amp; Loss'!E11)/('Balance Sheet'!E10+'Balance Sheet'!E16),"")</f>
        <v>-9.1111111111111143E-2</v>
      </c>
      <c r="F24" s="14">
        <f>IF(('Balance Sheet'!F10+'Balance Sheet'!F16)&gt;0,('Profit &amp; Loss'!F6-'Profit &amp; Loss'!F8-'Profit &amp; Loss'!F11)/('Balance Sheet'!F10+'Balance Sheet'!F16),"")</f>
        <v>-6.7234848484848383E-2</v>
      </c>
      <c r="G24" s="14">
        <f>IF(('Balance Sheet'!G10+'Balance Sheet'!G16)&gt;0,('Profit &amp; Loss'!G6-'Profit &amp; Loss'!G8-'Profit &amp; Loss'!G11)/('Balance Sheet'!G10+'Balance Sheet'!G16),"")</f>
        <v>5.0847457627118543E-2</v>
      </c>
      <c r="H24" s="14">
        <f>IF(('Balance Sheet'!H10+'Balance Sheet'!H16)&gt;0,('Profit &amp; Loss'!H6-'Profit &amp; Loss'!H8-'Profit &amp; Loss'!H11)/('Balance Sheet'!H10+'Balance Sheet'!H16),"")</f>
        <v>5.862403100775198E-2</v>
      </c>
      <c r="I24" s="14">
        <f>IF(('Balance Sheet'!I10+'Balance Sheet'!I16)&gt;0,('Profit &amp; Loss'!I6-'Profit &amp; Loss'!I8-'Profit &amp; Loss'!I11)/('Balance Sheet'!I10+'Balance Sheet'!I16),"")</f>
        <v>4.5911047345767605E-2</v>
      </c>
      <c r="J24" s="14">
        <f>IF(('Balance Sheet'!J10+'Balance Sheet'!J16)&gt;0,('Profit &amp; Loss'!J6-'Profit &amp; Loss'!J8-'Profit &amp; Loss'!J11)/('Balance Sheet'!J10+'Balance Sheet'!J16),"")</f>
        <v>1.8815970628728956E-2</v>
      </c>
      <c r="K24" s="14">
        <f>IF(('Balance Sheet'!K10+'Balance Sheet'!K16)&gt;0,('Profit &amp; Loss'!K6-'Profit &amp; Loss'!K8-'Profit &amp; Loss'!K11)/('Balance Sheet'!K10+'Balance Sheet'!K16),"")</f>
        <v>0.27611090011393841</v>
      </c>
      <c r="L24" s="14">
        <f>IF(('Balance Sheet'!L10+'Balance Sheet'!L16)&gt;0,('Profit &amp; Loss'!L6-'Profit &amp; Loss'!L8-'Profit &amp; Loss'!L11)/('Balance Sheet'!L10+'Balance Sheet'!L16),"")</f>
        <v>0.45170998632010945</v>
      </c>
    </row>
    <row r="25" spans="1:12" s="18" customFormat="1" x14ac:dyDescent="0.25"/>
    <row r="27" spans="1:12" x14ac:dyDescent="0.25">
      <c r="A27" s="85" t="str">
        <f>'Data Sheet'!A69</f>
        <v>Cash &amp; Bank</v>
      </c>
      <c r="B27" s="84">
        <f>'Data Sheet'!B69</f>
        <v>0.62</v>
      </c>
      <c r="C27" s="84">
        <f>'Data Sheet'!C69</f>
        <v>0.08</v>
      </c>
      <c r="D27" s="84">
        <f>'Data Sheet'!D69</f>
        <v>1.67</v>
      </c>
      <c r="E27" s="84">
        <f>'Data Sheet'!E69</f>
        <v>0.28000000000000003</v>
      </c>
      <c r="F27" s="84">
        <f>'Data Sheet'!F69</f>
        <v>0.15</v>
      </c>
      <c r="G27" s="84">
        <f>'Data Sheet'!G69</f>
        <v>0.18</v>
      </c>
      <c r="H27" s="84">
        <f>'Data Sheet'!H69</f>
        <v>0.24</v>
      </c>
      <c r="I27" s="84">
        <f>'Data Sheet'!I69</f>
        <v>0.39</v>
      </c>
      <c r="J27" s="84">
        <f>'Data Sheet'!J69</f>
        <v>0.25</v>
      </c>
      <c r="K27" s="84">
        <f>'Data Sheet'!K69</f>
        <v>3.2</v>
      </c>
      <c r="L27" s="84">
        <f>'Data Sheet'!L69</f>
        <v>9.19</v>
      </c>
    </row>
    <row r="28" spans="1:12" x14ac:dyDescent="0.25">
      <c r="A28" s="8" t="s">
        <v>298</v>
      </c>
      <c r="B28" s="86">
        <f>B10+B11</f>
        <v>9.14</v>
      </c>
      <c r="C28" s="86">
        <f t="shared" ref="C28" si="2">C10+C11</f>
        <v>13.610000000000001</v>
      </c>
      <c r="D28" s="86">
        <f t="shared" ref="D28:L28" si="3">D10+D11</f>
        <v>18.48</v>
      </c>
      <c r="E28" s="86">
        <f t="shared" si="3"/>
        <v>20.38</v>
      </c>
      <c r="F28" s="86">
        <f t="shared" si="3"/>
        <v>19.05</v>
      </c>
      <c r="G28" s="86">
        <f t="shared" si="3"/>
        <v>17.850000000000001</v>
      </c>
      <c r="H28" s="86">
        <f t="shared" si="3"/>
        <v>16.850000000000001</v>
      </c>
      <c r="I28" s="86">
        <f t="shared" si="3"/>
        <v>17.2</v>
      </c>
      <c r="J28" s="86">
        <f t="shared" si="3"/>
        <v>16.28</v>
      </c>
      <c r="K28" s="86">
        <f t="shared" si="3"/>
        <v>15.61</v>
      </c>
      <c r="L28" s="86">
        <f t="shared" si="3"/>
        <v>15.55</v>
      </c>
    </row>
    <row r="30" spans="1:12" ht="75" x14ac:dyDescent="0.25">
      <c r="A30" s="87" t="s">
        <v>299</v>
      </c>
      <c r="B30" s="86">
        <f>B14-B28</f>
        <v>7.75</v>
      </c>
      <c r="C30" s="86">
        <f t="shared" ref="C30" si="4">C14-C28</f>
        <v>10.69</v>
      </c>
      <c r="D30" s="86">
        <f t="shared" ref="D30:L30" si="5">D14-D28</f>
        <v>9.379999999999999</v>
      </c>
      <c r="E30" s="86">
        <f t="shared" si="5"/>
        <v>9.0100000000000016</v>
      </c>
      <c r="F30" s="86">
        <f t="shared" si="5"/>
        <v>8</v>
      </c>
      <c r="G30" s="86">
        <f t="shared" si="5"/>
        <v>8.9499999999999993</v>
      </c>
      <c r="H30" s="86">
        <f t="shared" si="5"/>
        <v>11.189999999999998</v>
      </c>
      <c r="I30" s="86">
        <f t="shared" si="5"/>
        <v>8.64</v>
      </c>
      <c r="J30" s="86">
        <f t="shared" si="5"/>
        <v>11.279999999999998</v>
      </c>
      <c r="K30" s="86">
        <f t="shared" si="5"/>
        <v>19.369999999999997</v>
      </c>
      <c r="L30" s="86">
        <f t="shared" si="5"/>
        <v>35.03</v>
      </c>
    </row>
    <row r="31" spans="1:12" x14ac:dyDescent="0.25">
      <c r="A31" s="11" t="s">
        <v>300</v>
      </c>
      <c r="B31" s="86">
        <f>B30-B18-B17-B27</f>
        <v>3.2099999999999995</v>
      </c>
      <c r="C31" s="86">
        <f t="shared" ref="C31" si="6">C30-C18-C17-C27</f>
        <v>4.3899999999999988</v>
      </c>
      <c r="D31" s="86">
        <f t="shared" ref="D31:L31" si="7">D30-D18-D17-D27</f>
        <v>4.6399999999999988</v>
      </c>
      <c r="E31" s="86">
        <f t="shared" si="7"/>
        <v>3.5500000000000016</v>
      </c>
      <c r="F31" s="86">
        <f t="shared" si="7"/>
        <v>4.17</v>
      </c>
      <c r="G31" s="86">
        <f t="shared" si="7"/>
        <v>3.9599999999999995</v>
      </c>
      <c r="H31" s="86">
        <f t="shared" si="7"/>
        <v>4.2999999999999972</v>
      </c>
      <c r="I31" s="86">
        <f t="shared" si="7"/>
        <v>3.9999999999999996</v>
      </c>
      <c r="J31" s="86">
        <f t="shared" si="7"/>
        <v>3.1499999999999977</v>
      </c>
      <c r="K31" s="86">
        <f t="shared" si="7"/>
        <v>4.5199999999999969</v>
      </c>
      <c r="L31" s="86">
        <f t="shared" si="7"/>
        <v>9.15</v>
      </c>
    </row>
  </sheetData>
  <hyperlinks>
    <hyperlink ref="J1" r:id="rId1"/>
  </hyperlinks>
  <printOptions gridLines="1"/>
  <pageMargins left="0.7" right="0.7" top="0.75" bottom="0.75" header="0.3" footer="0.3"/>
  <pageSetup paperSize="9" orientation="landscape"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4"/>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26.85546875" style="6" bestFit="1" customWidth="1"/>
    <col min="2" max="6" width="13.5703125" style="6" customWidth="1"/>
    <col min="7" max="11" width="13.5703125" style="6" bestFit="1" customWidth="1"/>
    <col min="12" max="12" width="10.85546875" style="6" customWidth="1"/>
    <col min="13" max="16384" width="9.140625" style="6"/>
  </cols>
  <sheetData>
    <row r="1" spans="1:12" s="8" customFormat="1" x14ac:dyDescent="0.25">
      <c r="A1" s="8" t="str">
        <f>'Balance Sheet'!A1</f>
        <v>CUPID LTD</v>
      </c>
      <c r="E1" t="str">
        <f>UPDATE</f>
        <v/>
      </c>
      <c r="F1"/>
      <c r="J1" s="4" t="s">
        <v>1</v>
      </c>
      <c r="K1" s="4"/>
    </row>
    <row r="3" spans="1:12" s="2" customFormat="1" x14ac:dyDescent="0.25">
      <c r="A3" s="15" t="s">
        <v>2</v>
      </c>
      <c r="B3" s="16">
        <f>'Data Sheet'!B81</f>
        <v>38807</v>
      </c>
      <c r="C3" s="16">
        <f>'Data Sheet'!C81</f>
        <v>39172</v>
      </c>
      <c r="D3" s="16">
        <f>'Data Sheet'!D81</f>
        <v>39538</v>
      </c>
      <c r="E3" s="16">
        <f>'Data Sheet'!E81</f>
        <v>39903</v>
      </c>
      <c r="F3" s="16">
        <f>'Data Sheet'!F81</f>
        <v>40268</v>
      </c>
      <c r="G3" s="16">
        <f>'Data Sheet'!G81</f>
        <v>40633</v>
      </c>
      <c r="H3" s="16">
        <f>'Data Sheet'!H81</f>
        <v>40999</v>
      </c>
      <c r="I3" s="16">
        <f>'Data Sheet'!I81</f>
        <v>41364</v>
      </c>
      <c r="J3" s="16">
        <f>'Data Sheet'!J81</f>
        <v>41729</v>
      </c>
      <c r="K3" s="16">
        <f>'Data Sheet'!K81</f>
        <v>42094</v>
      </c>
      <c r="L3" s="16">
        <f>'Data Sheet'!L81</f>
        <v>42460</v>
      </c>
    </row>
    <row r="4" spans="1:12" s="8" customFormat="1" x14ac:dyDescent="0.25">
      <c r="A4" s="8" t="s">
        <v>27</v>
      </c>
      <c r="B4" s="1">
        <f>'Data Sheet'!B82</f>
        <v>2.48</v>
      </c>
      <c r="C4" s="1">
        <f>'Data Sheet'!C82</f>
        <v>1.41</v>
      </c>
      <c r="D4" s="1">
        <f>'Data Sheet'!D82</f>
        <v>3.89</v>
      </c>
      <c r="E4" s="1">
        <f>'Data Sheet'!E82</f>
        <v>0.45</v>
      </c>
      <c r="F4" s="1">
        <f>'Data Sheet'!F82</f>
        <v>0.64</v>
      </c>
      <c r="G4" s="1">
        <f>'Data Sheet'!G82</f>
        <v>1.46</v>
      </c>
      <c r="H4" s="1">
        <f>'Data Sheet'!H82</f>
        <v>1.91</v>
      </c>
      <c r="I4" s="1">
        <f>'Data Sheet'!I82</f>
        <v>1.91</v>
      </c>
      <c r="J4" s="1">
        <f>'Data Sheet'!J82</f>
        <v>-0.28999999999999998</v>
      </c>
      <c r="K4" s="1">
        <f>'Data Sheet'!K82</f>
        <v>6.85</v>
      </c>
      <c r="L4" s="1">
        <f>'Data Sheet'!L82</f>
        <v>14</v>
      </c>
    </row>
    <row r="5" spans="1:12" x14ac:dyDescent="0.25">
      <c r="A5" s="6" t="s">
        <v>28</v>
      </c>
      <c r="B5" s="9">
        <f>'Data Sheet'!B83</f>
        <v>-0.92</v>
      </c>
      <c r="C5" s="9">
        <f>'Data Sheet'!C83</f>
        <v>-6.73</v>
      </c>
      <c r="D5" s="9">
        <f>'Data Sheet'!D83</f>
        <v>-4.57</v>
      </c>
      <c r="E5" s="9">
        <f>'Data Sheet'!E83</f>
        <v>-3.1</v>
      </c>
      <c r="F5" s="9">
        <f>'Data Sheet'!F83</f>
        <v>0.08</v>
      </c>
      <c r="G5" s="9">
        <f>'Data Sheet'!G83</f>
        <v>-0.35</v>
      </c>
      <c r="H5" s="9">
        <f>'Data Sheet'!H83</f>
        <v>-0.49</v>
      </c>
      <c r="I5" s="9">
        <f>'Data Sheet'!I83</f>
        <v>-0.48</v>
      </c>
      <c r="J5" s="9">
        <f>'Data Sheet'!J83</f>
        <v>-0.11</v>
      </c>
      <c r="K5" s="9">
        <f>'Data Sheet'!K83</f>
        <v>-1.25</v>
      </c>
      <c r="L5" s="9">
        <f>'Data Sheet'!L83</f>
        <v>-2</v>
      </c>
    </row>
    <row r="6" spans="1:12" x14ac:dyDescent="0.25">
      <c r="A6" s="6" t="s">
        <v>29</v>
      </c>
      <c r="B6" s="9">
        <f>'Data Sheet'!B84</f>
        <v>-2.95</v>
      </c>
      <c r="C6" s="9">
        <f>'Data Sheet'!C84</f>
        <v>4.74</v>
      </c>
      <c r="D6" s="9">
        <f>'Data Sheet'!D84</f>
        <v>2.31</v>
      </c>
      <c r="E6" s="9">
        <f>'Data Sheet'!E84</f>
        <v>1.26</v>
      </c>
      <c r="F6" s="9">
        <f>'Data Sheet'!F84</f>
        <v>-0.85</v>
      </c>
      <c r="G6" s="9">
        <f>'Data Sheet'!G84</f>
        <v>-1.0900000000000001</v>
      </c>
      <c r="H6" s="9">
        <f>'Data Sheet'!H84</f>
        <v>-1.35</v>
      </c>
      <c r="I6" s="9">
        <f>'Data Sheet'!I84</f>
        <v>-1.36</v>
      </c>
      <c r="J6" s="9">
        <f>'Data Sheet'!J84</f>
        <v>0.69</v>
      </c>
      <c r="K6" s="9">
        <f>'Data Sheet'!K84</f>
        <v>-2.65</v>
      </c>
      <c r="L6" s="9">
        <f>'Data Sheet'!L84</f>
        <v>-3</v>
      </c>
    </row>
    <row r="7" spans="1:12" s="8" customFormat="1" x14ac:dyDescent="0.25">
      <c r="A7" s="8" t="s">
        <v>30</v>
      </c>
      <c r="B7" s="1">
        <f>'Data Sheet'!B85</f>
        <v>-1.39</v>
      </c>
      <c r="C7" s="1">
        <f>'Data Sheet'!C85</f>
        <v>-0.57999999999999996</v>
      </c>
      <c r="D7" s="1">
        <f>'Data Sheet'!D85</f>
        <v>1.63</v>
      </c>
      <c r="E7" s="1">
        <f>'Data Sheet'!E85</f>
        <v>-1.39</v>
      </c>
      <c r="F7" s="1">
        <f>'Data Sheet'!F85</f>
        <v>-0.13</v>
      </c>
      <c r="G7" s="1">
        <f>'Data Sheet'!G85</f>
        <v>0.02</v>
      </c>
      <c r="H7" s="1">
        <f>'Data Sheet'!H85</f>
        <v>7.0000000000000007E-2</v>
      </c>
      <c r="I7" s="1">
        <f>'Data Sheet'!I85</f>
        <v>7.0000000000000007E-2</v>
      </c>
      <c r="J7" s="1">
        <f>'Data Sheet'!J85</f>
        <v>0.28999999999999998</v>
      </c>
      <c r="K7" s="1">
        <f>'Data Sheet'!K85</f>
        <v>2.95</v>
      </c>
      <c r="L7" s="1">
        <f>'Data Sheet'!L85</f>
        <v>9</v>
      </c>
    </row>
    <row r="8" spans="1:12" x14ac:dyDescent="0.25">
      <c r="A8" s="29"/>
      <c r="B8" s="9"/>
      <c r="C8" s="9"/>
      <c r="D8" s="9"/>
      <c r="E8" s="9"/>
      <c r="F8" s="9"/>
      <c r="G8" s="9"/>
      <c r="H8" s="9"/>
      <c r="I8" s="9"/>
      <c r="J8" s="9"/>
      <c r="K8" s="9"/>
    </row>
    <row r="24" s="29"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6"/>
  <sheetViews>
    <sheetView workbookViewId="0">
      <selection activeCell="B8" sqref="B8"/>
    </sheetView>
  </sheetViews>
  <sheetFormatPr defaultRowHeight="15" x14ac:dyDescent="0.2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x14ac:dyDescent="0.35">
      <c r="A1" s="25" t="s">
        <v>52</v>
      </c>
    </row>
    <row r="3" spans="1:7" x14ac:dyDescent="0.25">
      <c r="A3" s="8" t="s">
        <v>43</v>
      </c>
    </row>
    <row r="4" spans="1:7" x14ac:dyDescent="0.25">
      <c r="B4" s="11" t="s">
        <v>85</v>
      </c>
    </row>
    <row r="5" spans="1:7" x14ac:dyDescent="0.25">
      <c r="B5" s="11" t="s">
        <v>44</v>
      </c>
    </row>
    <row r="7" spans="1:7" x14ac:dyDescent="0.25">
      <c r="A7" s="8" t="s">
        <v>45</v>
      </c>
    </row>
    <row r="8" spans="1:7" x14ac:dyDescent="0.25">
      <c r="B8" s="11" t="s">
        <v>46</v>
      </c>
      <c r="C8" s="27" t="s">
        <v>86</v>
      </c>
    </row>
    <row r="10" spans="1:7" x14ac:dyDescent="0.25">
      <c r="A10" s="8" t="s">
        <v>47</v>
      </c>
    </row>
    <row r="11" spans="1:7" x14ac:dyDescent="0.25">
      <c r="B11" s="11" t="s">
        <v>48</v>
      </c>
    </row>
    <row r="14" spans="1:7" x14ac:dyDescent="0.25">
      <c r="A14" s="8" t="s">
        <v>49</v>
      </c>
    </row>
    <row r="15" spans="1:7" x14ac:dyDescent="0.25">
      <c r="B15" s="11" t="s">
        <v>50</v>
      </c>
    </row>
    <row r="16" spans="1:7" x14ac:dyDescent="0.25">
      <c r="B16" s="11" t="s">
        <v>51</v>
      </c>
      <c r="G16" s="28" t="s">
        <v>87</v>
      </c>
    </row>
  </sheetData>
  <hyperlinks>
    <hyperlink ref="C8" r:id="rId1" display=" http://www.screener.in/exce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workbookViewId="0">
      <pane xSplit="1" ySplit="17" topLeftCell="B18" activePane="bottomRight" state="frozen"/>
      <selection pane="topRight" activeCell="B1" sqref="B1"/>
      <selection pane="bottomLeft" activeCell="A18" sqref="A18"/>
      <selection pane="bottomRight" activeCell="B22" sqref="B22"/>
    </sheetView>
  </sheetViews>
  <sheetFormatPr defaultRowHeight="15" x14ac:dyDescent="0.25"/>
  <cols>
    <col min="1" max="1" width="55.42578125" customWidth="1"/>
    <col min="2" max="3" width="14.85546875" bestFit="1" customWidth="1"/>
    <col min="4" max="4" width="14.7109375" bestFit="1" customWidth="1"/>
    <col min="5" max="5" width="11.28515625" bestFit="1" customWidth="1"/>
    <col min="8" max="8" width="11.28515625" bestFit="1" customWidth="1"/>
  </cols>
  <sheetData>
    <row r="1" spans="1:10" x14ac:dyDescent="0.25">
      <c r="A1" s="170" t="s">
        <v>541</v>
      </c>
      <c r="B1" s="173">
        <f>SUM(B3:B8)</f>
        <v>100</v>
      </c>
      <c r="C1" s="173" t="e">
        <f>SUM(C3:C8)</f>
        <v>#DIV/0!</v>
      </c>
      <c r="D1" s="174" t="e">
        <f>C1/B1</f>
        <v>#DIV/0!</v>
      </c>
    </row>
    <row r="2" spans="1:10" x14ac:dyDescent="0.25">
      <c r="A2" s="171" t="s">
        <v>514</v>
      </c>
      <c r="B2" s="175" t="s">
        <v>515</v>
      </c>
      <c r="C2" s="175" t="s">
        <v>516</v>
      </c>
      <c r="D2" s="175" t="s">
        <v>517</v>
      </c>
    </row>
    <row r="3" spans="1:10" x14ac:dyDescent="0.25">
      <c r="A3" s="172" t="str">
        <f>A17</f>
        <v>Historic Financial Performance (CAGR 10 or 5 Years)</v>
      </c>
      <c r="B3" s="176">
        <f>$C$16*C17</f>
        <v>15</v>
      </c>
      <c r="C3" s="176">
        <f>I17</f>
        <v>10.050000000000001</v>
      </c>
      <c r="D3" s="177">
        <f>C3/B3</f>
        <v>0.67</v>
      </c>
    </row>
    <row r="4" spans="1:10" x14ac:dyDescent="0.25">
      <c r="A4" s="172" t="str">
        <f>A29</f>
        <v>Financial Attractiveness</v>
      </c>
      <c r="B4" s="176">
        <f>$C$16*C29</f>
        <v>15</v>
      </c>
      <c r="C4" s="176">
        <f>I29</f>
        <v>7.95</v>
      </c>
      <c r="D4" s="177">
        <f t="shared" ref="D4:D8" si="0">C4/B4</f>
        <v>0.53</v>
      </c>
    </row>
    <row r="5" spans="1:10" x14ac:dyDescent="0.25">
      <c r="A5" s="172" t="str">
        <f>A40</f>
        <v>Corporate Governance</v>
      </c>
      <c r="B5" s="176">
        <f>$C$16*C40</f>
        <v>20</v>
      </c>
      <c r="C5" s="176" t="e">
        <f>I40</f>
        <v>#DIV/0!</v>
      </c>
      <c r="D5" s="177" t="e">
        <f t="shared" si="0"/>
        <v>#DIV/0!</v>
      </c>
    </row>
    <row r="6" spans="1:10" x14ac:dyDescent="0.25">
      <c r="A6" s="172" t="str">
        <f>A50</f>
        <v>Business Performnce/Strength</v>
      </c>
      <c r="B6" s="176">
        <f>$C$16*C50</f>
        <v>20</v>
      </c>
      <c r="C6" s="176">
        <f>I50</f>
        <v>12.9</v>
      </c>
      <c r="D6" s="177">
        <f t="shared" si="0"/>
        <v>0.64500000000000002</v>
      </c>
    </row>
    <row r="7" spans="1:10" x14ac:dyDescent="0.25">
      <c r="A7" s="172" t="str">
        <f>A56</f>
        <v>Market Potential</v>
      </c>
      <c r="B7" s="176">
        <f>$C$16*C56</f>
        <v>15</v>
      </c>
      <c r="C7" s="176">
        <f>I56</f>
        <v>12</v>
      </c>
      <c r="D7" s="177">
        <f t="shared" si="0"/>
        <v>0.8</v>
      </c>
    </row>
    <row r="8" spans="1:10" x14ac:dyDescent="0.25">
      <c r="A8" s="172" t="str">
        <f>A60</f>
        <v>Valuation Attractiveness</v>
      </c>
      <c r="B8" s="176">
        <f>$C$16*C60</f>
        <v>15</v>
      </c>
      <c r="C8" s="176">
        <f>I60</f>
        <v>11.25</v>
      </c>
      <c r="D8" s="177">
        <f t="shared" si="0"/>
        <v>0.75</v>
      </c>
    </row>
    <row r="14" spans="1:10" x14ac:dyDescent="0.25">
      <c r="A14" t="s">
        <v>507</v>
      </c>
    </row>
    <row r="15" spans="1:10" x14ac:dyDescent="0.25">
      <c r="A15" s="169" t="s">
        <v>512</v>
      </c>
    </row>
    <row r="16" spans="1:10" x14ac:dyDescent="0.25">
      <c r="A16" t="s">
        <v>513</v>
      </c>
      <c r="C16">
        <v>100</v>
      </c>
      <c r="I16" t="s">
        <v>516</v>
      </c>
      <c r="J16" t="s">
        <v>515</v>
      </c>
    </row>
    <row r="17" spans="1:22" x14ac:dyDescent="0.25">
      <c r="A17" s="38" t="s">
        <v>499</v>
      </c>
      <c r="B17" s="38"/>
      <c r="C17" s="72">
        <v>0.15</v>
      </c>
      <c r="D17" t="s">
        <v>497</v>
      </c>
      <c r="E17" t="s">
        <v>222</v>
      </c>
      <c r="F17" t="s">
        <v>498</v>
      </c>
      <c r="G17" t="s">
        <v>542</v>
      </c>
      <c r="H17" t="s">
        <v>517</v>
      </c>
      <c r="I17">
        <f>SUM(G18:G27)</f>
        <v>10.050000000000001</v>
      </c>
      <c r="J17">
        <f>$C$16*C17</f>
        <v>15</v>
      </c>
      <c r="M17">
        <v>1</v>
      </c>
      <c r="N17">
        <v>2</v>
      </c>
      <c r="O17">
        <v>3</v>
      </c>
      <c r="P17">
        <v>4</v>
      </c>
      <c r="Q17">
        <v>5</v>
      </c>
      <c r="R17">
        <v>6</v>
      </c>
      <c r="S17">
        <v>7</v>
      </c>
      <c r="T17">
        <v>8</v>
      </c>
      <c r="U17">
        <v>9</v>
      </c>
      <c r="V17">
        <v>10</v>
      </c>
    </row>
    <row r="18" spans="1:22" x14ac:dyDescent="0.25">
      <c r="A18" s="157" t="s">
        <v>487</v>
      </c>
      <c r="B18" s="157" t="s">
        <v>523</v>
      </c>
      <c r="C18" s="72">
        <v>0.1</v>
      </c>
      <c r="D18" s="162">
        <f>$C$17*C18*100</f>
        <v>1.5</v>
      </c>
      <c r="E18" s="72">
        <f>Analysis2!B18</f>
        <v>0.14020928574124447</v>
      </c>
      <c r="F18">
        <f t="shared" ref="F18:F27" si="1">IF(E18&lt;=M18,$M$17,IF(AND(E18&gt;M18,E18&lt;=N18),$N$17,IF(AND(E18&gt;N18,E18&lt;=O18),$O$17,IF(AND(E18&gt;O18,E18&lt;=P18),$P$17,IF(AND(E18&gt;P18,E18&lt;=Q18),$Q$17,IF(AND(E18&gt;Q18,E18&lt;=R18),$R$17,IF(AND(E18&gt;R18,E18&lt;=S18),$S$17,IF(AND(E18&gt;S18,E18&lt;=T18),$T$17,IF(AND(E18&gt;T18,E18&lt;=U18),$U$17,$V$17)))))))))</f>
        <v>4</v>
      </c>
      <c r="G18">
        <f>(F18/10)*D18</f>
        <v>0.60000000000000009</v>
      </c>
      <c r="H18" s="163">
        <f>G18/D18</f>
        <v>0.40000000000000008</v>
      </c>
      <c r="M18" s="72">
        <v>0</v>
      </c>
      <c r="N18" s="72">
        <v>0.05</v>
      </c>
      <c r="O18" s="72">
        <v>0.1</v>
      </c>
      <c r="P18" s="72">
        <v>0.15</v>
      </c>
      <c r="Q18" s="72">
        <v>0.2</v>
      </c>
      <c r="R18" s="72">
        <v>0.25</v>
      </c>
      <c r="S18" s="72">
        <v>0.3</v>
      </c>
      <c r="T18" s="72">
        <v>0.35</v>
      </c>
      <c r="U18" s="72">
        <v>0.4</v>
      </c>
    </row>
    <row r="19" spans="1:22" x14ac:dyDescent="0.25">
      <c r="A19" s="157" t="s">
        <v>488</v>
      </c>
      <c r="B19" s="157" t="s">
        <v>523</v>
      </c>
      <c r="C19" s="72">
        <v>0.1</v>
      </c>
      <c r="D19" s="162">
        <f t="shared" ref="D19:D27" si="2">$C$17*C19*100</f>
        <v>1.5</v>
      </c>
      <c r="E19" s="72">
        <f>Analysis2!E18</f>
        <v>0.29562818337318575</v>
      </c>
      <c r="F19">
        <f t="shared" si="1"/>
        <v>7</v>
      </c>
      <c r="G19">
        <f t="shared" ref="G19:G27" si="3">(F19/10)*D19</f>
        <v>1.0499999999999998</v>
      </c>
      <c r="H19" s="163">
        <f t="shared" ref="H19:H27" si="4">G19/D19</f>
        <v>0.69999999999999984</v>
      </c>
      <c r="M19" s="72">
        <v>0</v>
      </c>
      <c r="N19" s="72">
        <v>0.05</v>
      </c>
      <c r="O19" s="72">
        <v>0.1</v>
      </c>
      <c r="P19" s="72">
        <v>0.15</v>
      </c>
      <c r="Q19" s="72">
        <v>0.2</v>
      </c>
      <c r="R19" s="72">
        <v>0.25</v>
      </c>
      <c r="S19" s="72">
        <v>0.3</v>
      </c>
      <c r="T19" s="72">
        <v>0.35</v>
      </c>
      <c r="U19" s="72">
        <v>0.4</v>
      </c>
    </row>
    <row r="20" spans="1:22" x14ac:dyDescent="0.25">
      <c r="A20" s="157" t="s">
        <v>489</v>
      </c>
      <c r="B20" s="157" t="s">
        <v>523</v>
      </c>
      <c r="C20" s="72">
        <v>0.1</v>
      </c>
      <c r="D20" s="162">
        <f t="shared" si="2"/>
        <v>1.5</v>
      </c>
      <c r="E20" s="72">
        <f>'Financial Analysis'!N8</f>
        <v>0.19401670174496877</v>
      </c>
      <c r="F20">
        <f t="shared" si="1"/>
        <v>5</v>
      </c>
      <c r="G20">
        <f t="shared" si="3"/>
        <v>0.75</v>
      </c>
      <c r="H20" s="163">
        <f t="shared" si="4"/>
        <v>0.5</v>
      </c>
      <c r="M20" s="72">
        <v>0</v>
      </c>
      <c r="N20" s="72">
        <v>0.05</v>
      </c>
      <c r="O20" s="72">
        <v>0.1</v>
      </c>
      <c r="P20" s="72">
        <v>0.15</v>
      </c>
      <c r="Q20" s="72">
        <v>0.2</v>
      </c>
      <c r="R20" s="72">
        <v>0.25</v>
      </c>
      <c r="S20" s="72">
        <v>0.3</v>
      </c>
      <c r="T20" s="72">
        <v>0.35</v>
      </c>
      <c r="U20" s="72">
        <v>0.4</v>
      </c>
    </row>
    <row r="21" spans="1:22" x14ac:dyDescent="0.25">
      <c r="A21" s="157" t="s">
        <v>490</v>
      </c>
      <c r="B21" s="157" t="s">
        <v>523</v>
      </c>
      <c r="C21" s="72">
        <v>0.1</v>
      </c>
      <c r="D21" s="162">
        <f t="shared" si="2"/>
        <v>1.5</v>
      </c>
      <c r="E21" s="72">
        <f>'Financial Analysis'!N72</f>
        <v>0.11927821199877142</v>
      </c>
      <c r="F21">
        <f t="shared" si="1"/>
        <v>7</v>
      </c>
      <c r="G21">
        <f t="shared" si="3"/>
        <v>1.0499999999999998</v>
      </c>
      <c r="H21" s="163">
        <f t="shared" si="4"/>
        <v>0.69999999999999984</v>
      </c>
      <c r="M21" s="72">
        <v>0</v>
      </c>
      <c r="N21" s="72">
        <v>0.02</v>
      </c>
      <c r="O21" s="72">
        <v>0.04</v>
      </c>
      <c r="P21" s="72">
        <v>0.06</v>
      </c>
      <c r="Q21" s="72">
        <v>0.08</v>
      </c>
      <c r="R21" s="72">
        <v>0.1</v>
      </c>
      <c r="S21" s="72">
        <v>0.12</v>
      </c>
      <c r="T21" s="72">
        <v>0.14000000000000001</v>
      </c>
      <c r="U21" s="72">
        <v>0.16</v>
      </c>
    </row>
    <row r="22" spans="1:22" x14ac:dyDescent="0.25">
      <c r="A22" s="157" t="s">
        <v>491</v>
      </c>
      <c r="B22" s="157" t="s">
        <v>523</v>
      </c>
      <c r="C22" s="72">
        <v>0.1</v>
      </c>
      <c r="D22" s="162">
        <f t="shared" si="2"/>
        <v>1.5</v>
      </c>
      <c r="E22" s="72">
        <f>'Financial Analysis'!N31</f>
        <v>7.3357145320758654E-2</v>
      </c>
      <c r="F22">
        <f t="shared" si="1"/>
        <v>5</v>
      </c>
      <c r="G22">
        <f t="shared" si="3"/>
        <v>0.75</v>
      </c>
      <c r="H22" s="163">
        <f t="shared" si="4"/>
        <v>0.5</v>
      </c>
      <c r="M22" s="72">
        <v>0</v>
      </c>
      <c r="N22" s="72">
        <v>0.02</v>
      </c>
      <c r="O22" s="72">
        <v>0.04</v>
      </c>
      <c r="P22" s="72">
        <v>0.06</v>
      </c>
      <c r="Q22" s="72">
        <v>0.08</v>
      </c>
      <c r="R22" s="72">
        <v>0.1</v>
      </c>
      <c r="S22" s="72">
        <v>0.12</v>
      </c>
      <c r="T22" s="72">
        <v>0.14000000000000001</v>
      </c>
      <c r="U22" s="72">
        <v>0.16</v>
      </c>
    </row>
    <row r="23" spans="1:22" x14ac:dyDescent="0.25">
      <c r="A23" s="157" t="s">
        <v>492</v>
      </c>
      <c r="B23" s="157" t="s">
        <v>523</v>
      </c>
      <c r="C23" s="72">
        <v>0.1</v>
      </c>
      <c r="D23" s="162">
        <f t="shared" si="2"/>
        <v>1.5</v>
      </c>
      <c r="E23" s="72">
        <f>-'Financial Analysis'!N109</f>
        <v>1</v>
      </c>
      <c r="F23">
        <f t="shared" si="1"/>
        <v>10</v>
      </c>
      <c r="G23">
        <f t="shared" si="3"/>
        <v>1.5</v>
      </c>
      <c r="H23" s="163">
        <f t="shared" si="4"/>
        <v>1</v>
      </c>
      <c r="M23" s="72">
        <v>0</v>
      </c>
      <c r="N23" s="72">
        <v>0.02</v>
      </c>
      <c r="O23" s="72">
        <v>0.04</v>
      </c>
      <c r="P23" s="72">
        <v>0.06</v>
      </c>
      <c r="Q23" s="72">
        <v>0.08</v>
      </c>
      <c r="R23" s="72">
        <v>0.1</v>
      </c>
      <c r="S23" s="72">
        <v>0.12</v>
      </c>
      <c r="T23" s="72">
        <v>0.14000000000000001</v>
      </c>
      <c r="U23" s="72">
        <v>0.16</v>
      </c>
    </row>
    <row r="24" spans="1:22" x14ac:dyDescent="0.25">
      <c r="A24" s="157" t="s">
        <v>493</v>
      </c>
      <c r="B24" s="157" t="s">
        <v>523</v>
      </c>
      <c r="C24" s="72">
        <v>0.1</v>
      </c>
      <c r="D24" s="162">
        <f t="shared" si="2"/>
        <v>1.5</v>
      </c>
      <c r="E24" s="72">
        <f>'Financial Analysis'!N68</f>
        <v>0.13856870285754064</v>
      </c>
      <c r="F24">
        <f t="shared" si="1"/>
        <v>8</v>
      </c>
      <c r="G24">
        <f t="shared" si="3"/>
        <v>1.2000000000000002</v>
      </c>
      <c r="H24" s="163">
        <f t="shared" si="4"/>
        <v>0.80000000000000016</v>
      </c>
      <c r="M24" s="72">
        <v>0</v>
      </c>
      <c r="N24" s="72">
        <v>0.02</v>
      </c>
      <c r="O24" s="72">
        <v>0.04</v>
      </c>
      <c r="P24" s="72">
        <v>0.06</v>
      </c>
      <c r="Q24" s="72">
        <v>0.08</v>
      </c>
      <c r="R24" s="72">
        <v>0.1</v>
      </c>
      <c r="S24" s="72">
        <v>0.12</v>
      </c>
      <c r="T24" s="72">
        <v>0.14000000000000001</v>
      </c>
      <c r="U24" s="72">
        <v>0.16</v>
      </c>
    </row>
    <row r="25" spans="1:22" x14ac:dyDescent="0.25">
      <c r="A25" s="157" t="s">
        <v>518</v>
      </c>
      <c r="B25" s="157" t="s">
        <v>523</v>
      </c>
      <c r="C25" s="72">
        <v>0.1</v>
      </c>
      <c r="D25" s="162">
        <f t="shared" si="2"/>
        <v>1.5</v>
      </c>
      <c r="E25" s="72">
        <f>-Analysis2!M49</f>
        <v>-8.0190245803588356E-2</v>
      </c>
      <c r="F25">
        <f t="shared" si="1"/>
        <v>1</v>
      </c>
      <c r="G25">
        <f t="shared" si="3"/>
        <v>0.15000000000000002</v>
      </c>
      <c r="H25" s="163">
        <f t="shared" si="4"/>
        <v>0.10000000000000002</v>
      </c>
      <c r="M25" s="72">
        <v>0</v>
      </c>
      <c r="N25" s="72">
        <v>0.02</v>
      </c>
      <c r="O25" s="72">
        <v>0.04</v>
      </c>
      <c r="P25" s="72">
        <v>0.06</v>
      </c>
      <c r="Q25" s="72">
        <v>0.08</v>
      </c>
      <c r="R25" s="72">
        <v>0.1</v>
      </c>
      <c r="S25" s="72">
        <v>0.12</v>
      </c>
      <c r="T25" s="72">
        <v>0.14000000000000001</v>
      </c>
      <c r="U25" s="72">
        <v>0.16</v>
      </c>
    </row>
    <row r="26" spans="1:22" x14ac:dyDescent="0.25">
      <c r="A26" s="157" t="s">
        <v>494</v>
      </c>
      <c r="B26" s="157" t="s">
        <v>523</v>
      </c>
      <c r="C26" s="72">
        <v>0.1</v>
      </c>
      <c r="D26" s="162">
        <f t="shared" si="2"/>
        <v>1.5</v>
      </c>
      <c r="E26" s="72">
        <f>Analysis2!M18</f>
        <v>0.29052867288216988</v>
      </c>
      <c r="F26">
        <f t="shared" si="1"/>
        <v>10</v>
      </c>
      <c r="G26">
        <f t="shared" si="3"/>
        <v>1.5</v>
      </c>
      <c r="H26" s="163">
        <f t="shared" si="4"/>
        <v>1</v>
      </c>
      <c r="M26" s="72">
        <v>0</v>
      </c>
      <c r="N26" s="72">
        <v>0.02</v>
      </c>
      <c r="O26" s="72">
        <v>0.04</v>
      </c>
      <c r="P26" s="72">
        <v>0.06</v>
      </c>
      <c r="Q26" s="72">
        <v>0.08</v>
      </c>
      <c r="R26" s="72">
        <v>0.1</v>
      </c>
      <c r="S26" s="72">
        <v>0.12</v>
      </c>
      <c r="T26" s="72">
        <v>0.14000000000000001</v>
      </c>
      <c r="U26" s="72">
        <v>0.16</v>
      </c>
    </row>
    <row r="27" spans="1:22" x14ac:dyDescent="0.25">
      <c r="A27" s="157" t="s">
        <v>495</v>
      </c>
      <c r="B27" s="157" t="s">
        <v>523</v>
      </c>
      <c r="C27" s="72">
        <v>0.1</v>
      </c>
      <c r="D27" s="162">
        <f t="shared" si="2"/>
        <v>1.5</v>
      </c>
      <c r="E27" s="72">
        <f>Analysis2!N18</f>
        <v>0.27013263928161679</v>
      </c>
      <c r="F27">
        <f t="shared" si="1"/>
        <v>10</v>
      </c>
      <c r="G27">
        <f t="shared" si="3"/>
        <v>1.5</v>
      </c>
      <c r="H27" s="163">
        <f t="shared" si="4"/>
        <v>1</v>
      </c>
      <c r="M27" s="72">
        <v>0</v>
      </c>
      <c r="N27" s="72">
        <v>0.02</v>
      </c>
      <c r="O27" s="72">
        <v>0.04</v>
      </c>
      <c r="P27" s="72">
        <v>0.06</v>
      </c>
      <c r="Q27" s="72">
        <v>0.08</v>
      </c>
      <c r="R27" s="72">
        <v>0.1</v>
      </c>
      <c r="S27" s="72">
        <v>0.12</v>
      </c>
      <c r="T27" s="72">
        <v>0.14000000000000001</v>
      </c>
      <c r="U27" s="72">
        <v>0.16</v>
      </c>
    </row>
    <row r="28" spans="1:22" x14ac:dyDescent="0.25">
      <c r="A28" s="157"/>
      <c r="B28" s="157"/>
      <c r="C28" s="72"/>
      <c r="D28" s="161"/>
      <c r="E28" s="72"/>
      <c r="M28" s="72"/>
      <c r="N28" s="72"/>
      <c r="O28" s="72"/>
      <c r="P28" s="72"/>
      <c r="Q28" s="72"/>
      <c r="R28" s="72"/>
      <c r="S28" s="72"/>
      <c r="T28" s="72"/>
      <c r="U28" s="72"/>
    </row>
    <row r="29" spans="1:22" x14ac:dyDescent="0.25">
      <c r="A29" s="158" t="s">
        <v>471</v>
      </c>
      <c r="B29" s="158"/>
      <c r="C29" s="72">
        <v>0.15</v>
      </c>
      <c r="I29">
        <f>SUM(G30:G38)</f>
        <v>7.95</v>
      </c>
      <c r="J29">
        <f>$C$16*C29</f>
        <v>15</v>
      </c>
    </row>
    <row r="30" spans="1:22" x14ac:dyDescent="0.25">
      <c r="A30" s="157" t="s">
        <v>480</v>
      </c>
      <c r="B30" s="157" t="s">
        <v>523</v>
      </c>
      <c r="C30" s="72">
        <v>0.1</v>
      </c>
      <c r="D30" s="162">
        <f>$C$29*C30*100</f>
        <v>1.5</v>
      </c>
      <c r="E30" s="162">
        <f>Analysis2!L47</f>
        <v>0</v>
      </c>
      <c r="F30" s="165">
        <f>IF(E30&gt;=M30,$M$17,IF(AND(E30&lt;M30,E30&gt;=N30),$N$17,IF(AND(E30&lt;N30,E30&gt;=O30),$O$17,IF(AND(E30&lt;O30,E30&gt;=P30),$P$17,IF(AND(E30&lt;P30,E30&gt;=Q30),$Q$17,IF(AND(E30&lt;Q30,E30&gt;=R30),$R$17,IF(AND(E30&lt;R30,E30&gt;=S30),$S$17,IF(AND(E30&lt;S30,E30&gt;=T30),$T$17,IF(AND(E30&lt;T30,E30&gt;=U30),$U$17,$V$17)))))))))</f>
        <v>10</v>
      </c>
      <c r="G30">
        <f t="shared" ref="G30:G38" si="5">(F30/10)*D30</f>
        <v>1.5</v>
      </c>
      <c r="H30" s="163">
        <f t="shared" ref="H30:H38" si="6">G30/D30</f>
        <v>1</v>
      </c>
      <c r="M30" s="105">
        <v>5</v>
      </c>
      <c r="N30" s="105">
        <v>3</v>
      </c>
      <c r="O30" s="105">
        <v>2</v>
      </c>
      <c r="P30" s="105">
        <v>1.5</v>
      </c>
      <c r="Q30" s="105">
        <v>1</v>
      </c>
      <c r="R30" s="105">
        <v>0.8</v>
      </c>
      <c r="S30" s="105">
        <v>0.6</v>
      </c>
      <c r="T30" s="105">
        <v>0.4</v>
      </c>
      <c r="U30" s="105">
        <v>0.2</v>
      </c>
    </row>
    <row r="31" spans="1:22" x14ac:dyDescent="0.25">
      <c r="A31" s="157" t="s">
        <v>481</v>
      </c>
      <c r="B31" s="157" t="s">
        <v>523</v>
      </c>
      <c r="C31" s="72">
        <v>0.1</v>
      </c>
      <c r="D31" s="162">
        <f t="shared" ref="D31:D38" si="7">$C$29*C31*100</f>
        <v>1.5</v>
      </c>
      <c r="E31" s="72">
        <f>AVERAGE(Analysis2!J68:L68)</f>
        <v>0.3639549932940967</v>
      </c>
      <c r="F31">
        <f>IF(E31&lt;=M31,$M$17,IF(AND(E31&gt;M31,E31&lt;=N31),$N$17,IF(AND(E31&gt;N31,E31&lt;=O31),$O$17,IF(AND(E31&gt;O31,E31&lt;=P31),$P$17,IF(AND(E31&gt;P31,E31&lt;=Q31),$Q$17,IF(AND(E31&gt;Q31,E31&lt;=R31),$R$17,IF(AND(E31&gt;R31,E31&lt;=S31),$S$17,IF(AND(E31&gt;S31,E31&lt;=T31),$T$17,IF(AND(E31&gt;T31,E31&lt;=U31),$U$17,$V$17)))))))))</f>
        <v>9</v>
      </c>
      <c r="G31">
        <f t="shared" si="5"/>
        <v>1.35</v>
      </c>
      <c r="H31" s="163">
        <f t="shared" si="6"/>
        <v>0.9</v>
      </c>
      <c r="M31" s="72">
        <v>0.1</v>
      </c>
      <c r="N31" s="72">
        <v>0.12</v>
      </c>
      <c r="O31" s="72">
        <v>0.14000000000000001</v>
      </c>
      <c r="P31" s="72">
        <v>0.16</v>
      </c>
      <c r="Q31" s="72">
        <v>0.18</v>
      </c>
      <c r="R31" s="72">
        <v>0.21</v>
      </c>
      <c r="S31" s="72">
        <v>0.25</v>
      </c>
      <c r="T31" s="72">
        <v>0.3</v>
      </c>
      <c r="U31" s="72">
        <v>0.38</v>
      </c>
    </row>
    <row r="32" spans="1:22" x14ac:dyDescent="0.25">
      <c r="A32" s="157" t="s">
        <v>509</v>
      </c>
      <c r="B32" s="157" t="s">
        <v>523</v>
      </c>
      <c r="C32" s="72">
        <v>0.1</v>
      </c>
      <c r="D32" s="162">
        <f t="shared" si="7"/>
        <v>1.5</v>
      </c>
      <c r="E32" s="162">
        <f>AVERAGE(Analysis2!J57:L57)</f>
        <v>-2.7586860121288854</v>
      </c>
      <c r="F32">
        <f>IF(E32&lt;=M32,$M$17,IF(AND(E32&gt;M32,E32&lt;=N32),$N$17,IF(AND(E32&gt;N32,E32&lt;=O32),$O$17,IF(AND(E32&gt;O32,E32&lt;=P32),$P$17,IF(AND(E32&gt;P32,E32&lt;=Q32),$Q$17,IF(AND(E32&gt;Q32,E32&lt;=R32),$R$17,IF(AND(E32&gt;R32,E32&lt;=S32),$S$17,IF(AND(E32&gt;S32,E32&lt;=T32),$T$17,IF(AND(E32&gt;T32,E32&lt;=U32),$U$17,$V$17)))))))))</f>
        <v>1</v>
      </c>
      <c r="G32">
        <f t="shared" si="5"/>
        <v>0.15000000000000002</v>
      </c>
      <c r="H32" s="163">
        <f t="shared" si="6"/>
        <v>0.10000000000000002</v>
      </c>
      <c r="M32" s="164">
        <v>0</v>
      </c>
      <c r="N32" s="164">
        <v>0.25</v>
      </c>
      <c r="O32" s="164">
        <v>0.5</v>
      </c>
      <c r="P32" s="164">
        <v>0.75</v>
      </c>
      <c r="Q32" s="164">
        <v>1</v>
      </c>
      <c r="R32" s="164">
        <v>1.25</v>
      </c>
      <c r="S32" s="164">
        <v>1.5</v>
      </c>
      <c r="T32" s="164">
        <v>1.75</v>
      </c>
      <c r="U32" s="164">
        <v>2</v>
      </c>
    </row>
    <row r="33" spans="1:22" x14ac:dyDescent="0.25">
      <c r="A33" s="157" t="s">
        <v>510</v>
      </c>
      <c r="B33" s="157" t="s">
        <v>523</v>
      </c>
      <c r="C33" s="72">
        <v>0.1</v>
      </c>
      <c r="D33" s="162">
        <f t="shared" si="7"/>
        <v>1.5</v>
      </c>
      <c r="E33" s="162">
        <f>AVERAGE(Analysis2!J56:L56)</f>
        <v>-9.3867506098951505</v>
      </c>
      <c r="F33">
        <f>IF(E33&lt;=M33,$M$17,IF(AND(E33&gt;M33,E33&lt;=N33),$N$17,IF(AND(E33&gt;N33,E33&lt;=O33),$O$17,IF(AND(E33&gt;O33,E33&lt;=P33),$P$17,IF(AND(E33&gt;P33,E33&lt;=Q33),$Q$17,IF(AND(E33&gt;Q33,E33&lt;=R33),$R$17,IF(AND(E33&gt;R33,E33&lt;=S33),$S$17,IF(AND(E33&gt;S33,E33&lt;=T33),$T$17,IF(AND(E33&gt;T33,E33&lt;=U33),$U$17,$V$17)))))))))</f>
        <v>1</v>
      </c>
      <c r="G33">
        <f t="shared" si="5"/>
        <v>0.15000000000000002</v>
      </c>
      <c r="H33" s="163">
        <f t="shared" si="6"/>
        <v>0.10000000000000002</v>
      </c>
      <c r="M33" s="164">
        <v>0</v>
      </c>
      <c r="N33" s="164">
        <v>0.1</v>
      </c>
      <c r="O33" s="164">
        <v>0.2</v>
      </c>
      <c r="P33" s="164">
        <v>0.4</v>
      </c>
      <c r="Q33" s="164">
        <v>0.6</v>
      </c>
      <c r="R33" s="164">
        <v>0.8</v>
      </c>
      <c r="S33" s="164">
        <v>1</v>
      </c>
      <c r="T33" s="164">
        <v>1.25</v>
      </c>
      <c r="U33" s="164">
        <v>1.5</v>
      </c>
    </row>
    <row r="34" spans="1:22" x14ac:dyDescent="0.25">
      <c r="A34" s="157" t="s">
        <v>511</v>
      </c>
      <c r="B34" s="157" t="s">
        <v>523</v>
      </c>
      <c r="C34" s="72">
        <v>0.15</v>
      </c>
      <c r="D34" s="162">
        <f t="shared" si="7"/>
        <v>2.25</v>
      </c>
      <c r="E34" s="162">
        <f>AVERAGE(Analysis2!J55:L55)</f>
        <v>-0.10414162715335452</v>
      </c>
      <c r="F34" s="165">
        <f>IF(E34&lt;M34,$M$17,IF(AND(E34&lt;M34,E34&gt;=N34),$N$17,IF(AND(E34&lt;N34,E34&gt;=O34),$O$17,IF(AND(E34&lt;O34,E34&gt;=P34),$P$17,IF(AND(E34&lt;P34,E34&gt;=Q34),$Q$17,IF(AND(E34&lt;Q34,E34&gt;=R34),$R$17,IF(AND(E34&lt;R34,E34&gt;=S34),$S$17,IF(AND(E34&lt;S34,E34&gt;=T34),$T$17,IF(AND(E34&lt;T34,E34&gt;=U34),$U$17,$V$17)))))))))</f>
        <v>1</v>
      </c>
      <c r="G34">
        <f t="shared" si="5"/>
        <v>0.22500000000000001</v>
      </c>
      <c r="H34" s="163">
        <f t="shared" si="6"/>
        <v>0.1</v>
      </c>
      <c r="M34" s="162">
        <v>0</v>
      </c>
      <c r="N34" s="162">
        <v>0.8</v>
      </c>
      <c r="O34" s="162">
        <v>0.7</v>
      </c>
      <c r="P34" s="162">
        <v>0.6</v>
      </c>
      <c r="Q34" s="162">
        <v>0.5</v>
      </c>
      <c r="R34" s="162">
        <v>0.4</v>
      </c>
      <c r="S34" s="162">
        <v>0.3</v>
      </c>
      <c r="T34" s="162">
        <v>0.2</v>
      </c>
      <c r="U34" s="162">
        <v>0.1</v>
      </c>
    </row>
    <row r="35" spans="1:22" x14ac:dyDescent="0.25">
      <c r="A35" s="157" t="s">
        <v>482</v>
      </c>
      <c r="B35" s="157" t="s">
        <v>523</v>
      </c>
      <c r="C35" s="72">
        <v>0.15</v>
      </c>
      <c r="D35" s="162">
        <f t="shared" si="7"/>
        <v>2.25</v>
      </c>
      <c r="E35" s="72">
        <f>AVERAGE(Analysis2!J49:L49)</f>
        <v>0.28894272428257345</v>
      </c>
      <c r="F35" s="165">
        <f>IF(E35&gt;=M35,$M$17,IF(AND(E35&lt;M35,E35&gt;=N35),$N$17,IF(AND(E35&lt;N35,E35&gt;=O35),$O$17,IF(AND(E35&lt;O35,E35&gt;=P35),$P$17,IF(AND(E35&lt;P35,E35&gt;=Q35),$Q$17,IF(AND(E35&lt;Q35,E35&gt;=R35),$R$17,IF(AND(E35&lt;R35,E35&gt;=S35),$S$17,IF(AND(E35&lt;S35,E35&gt;=T35),$T$17,IF(AND(E35&lt;T35,E35&gt;=U35),$U$17,$V$17)))))))))</f>
        <v>7</v>
      </c>
      <c r="G35">
        <f t="shared" si="5"/>
        <v>1.575</v>
      </c>
      <c r="H35" s="163">
        <f t="shared" si="6"/>
        <v>0.7</v>
      </c>
      <c r="M35" s="163">
        <v>1</v>
      </c>
      <c r="N35" s="163">
        <v>0.8</v>
      </c>
      <c r="O35" s="163">
        <v>0.6</v>
      </c>
      <c r="P35" s="163">
        <v>0.5</v>
      </c>
      <c r="Q35" s="163">
        <v>0.4</v>
      </c>
      <c r="R35" s="163">
        <v>0.3</v>
      </c>
      <c r="S35" s="163">
        <v>0.25</v>
      </c>
      <c r="T35" s="163">
        <v>0.2</v>
      </c>
      <c r="U35" s="163">
        <v>0.15</v>
      </c>
    </row>
    <row r="36" spans="1:22" x14ac:dyDescent="0.25">
      <c r="A36" s="157" t="s">
        <v>103</v>
      </c>
      <c r="B36" s="157" t="s">
        <v>523</v>
      </c>
      <c r="C36" s="72">
        <v>0.1</v>
      </c>
      <c r="D36" s="162">
        <f t="shared" si="7"/>
        <v>1.5</v>
      </c>
      <c r="E36" s="160">
        <f>Other_input_data!L76</f>
        <v>8.5684296210612005E-4</v>
      </c>
      <c r="F36">
        <f>IF(E36&lt;=M36,$M$17,IF(AND(E36&gt;M36,E36&lt;=N36),$N$17,IF(AND(E36&gt;N36,E36&lt;=O36),$O$17,IF(AND(E36&gt;O36,E36&lt;=P36),$P$17,IF(AND(E36&gt;P36,E36&lt;=Q36),$Q$17,IF(AND(E36&gt;Q36,E36&lt;=R36),$R$17,IF(AND(E36&gt;R36,E36&lt;=S36),$S$17,IF(AND(E36&gt;S36,E36&lt;=T36),$T$17,IF(AND(E36&gt;T36,E36&lt;=U36),$U$17,$V$17)))))))))</f>
        <v>2</v>
      </c>
      <c r="G36">
        <f t="shared" si="5"/>
        <v>0.30000000000000004</v>
      </c>
      <c r="H36" s="163">
        <f t="shared" si="6"/>
        <v>0.20000000000000004</v>
      </c>
      <c r="M36" s="163">
        <v>0</v>
      </c>
      <c r="N36" s="163">
        <v>0.01</v>
      </c>
      <c r="O36" s="163">
        <v>0.02</v>
      </c>
      <c r="P36" s="163">
        <v>0.03</v>
      </c>
      <c r="Q36" s="163">
        <v>0.04</v>
      </c>
      <c r="R36" s="163">
        <v>0.05</v>
      </c>
      <c r="S36" s="163">
        <v>0.06</v>
      </c>
      <c r="T36" s="163">
        <v>7.0000000000000007E-2</v>
      </c>
      <c r="U36" s="163">
        <v>0.08</v>
      </c>
    </row>
    <row r="37" spans="1:22" x14ac:dyDescent="0.25">
      <c r="A37" s="157" t="s">
        <v>483</v>
      </c>
      <c r="B37" s="157" t="s">
        <v>523</v>
      </c>
      <c r="C37" s="72">
        <v>0.1</v>
      </c>
      <c r="D37" s="162">
        <f t="shared" si="7"/>
        <v>1.5</v>
      </c>
      <c r="E37" s="162">
        <f>AVERAGE(Analysis2!J65:L65)</f>
        <v>2.6594524214519022</v>
      </c>
      <c r="F37">
        <f>IF(E37&lt;=M37,$M$17,IF(AND(E37&gt;M37,E37&lt;=N37),$N$17,IF(AND(E37&gt;N37,E37&lt;=O37),$O$17,IF(AND(E37&gt;O37,E37&lt;=P37),$P$17,IF(AND(E37&gt;P37,E37&lt;=Q37),$Q$17,IF(AND(E37&gt;Q37,E37&lt;=R37),$R$17,IF(AND(E37&gt;R37,E37&lt;=S37),$S$17,IF(AND(E37&gt;S37,E37&lt;=T37),$T$17,IF(AND(E37&gt;T37,E37&lt;=U37),$U$17,$V$17)))))))))</f>
        <v>10</v>
      </c>
      <c r="G37">
        <f t="shared" si="5"/>
        <v>1.5</v>
      </c>
      <c r="H37" s="163">
        <f t="shared" si="6"/>
        <v>1</v>
      </c>
      <c r="M37" s="162"/>
      <c r="N37" s="162">
        <v>0.2</v>
      </c>
      <c r="O37" s="162">
        <v>0.25</v>
      </c>
      <c r="P37" s="162">
        <v>0.5</v>
      </c>
      <c r="Q37" s="162">
        <v>0.75</v>
      </c>
      <c r="R37" s="162">
        <v>1</v>
      </c>
      <c r="S37" s="162">
        <v>1.25</v>
      </c>
      <c r="T37" s="162">
        <v>1.5</v>
      </c>
      <c r="U37" s="162">
        <v>2</v>
      </c>
    </row>
    <row r="38" spans="1:22" x14ac:dyDescent="0.25">
      <c r="A38" s="157" t="s">
        <v>486</v>
      </c>
      <c r="B38" s="157" t="s">
        <v>523</v>
      </c>
      <c r="C38" s="72">
        <v>0.1</v>
      </c>
      <c r="D38" s="162">
        <f t="shared" si="7"/>
        <v>1.5</v>
      </c>
      <c r="E38" s="160">
        <f>AVERAGE(Analysis2!J61:L61)</f>
        <v>0.21034368816331081</v>
      </c>
      <c r="F38">
        <f>IF(E38&lt;=M38,$M$17,IF(AND(E38&gt;M38,E38&lt;=N38),$N$17,IF(AND(E38&gt;N38,E38&lt;=O38),$O$17,IF(AND(E38&gt;O38,E38&lt;=P38),$P$17,IF(AND(E38&gt;P38,E38&lt;=Q38),$Q$17,IF(AND(E38&gt;Q38,E38&lt;=R38),$R$17,IF(AND(E38&gt;R38,E38&lt;=S38),$S$17,IF(AND(E38&gt;S38,E38&lt;=T38),$T$17,IF(AND(E38&gt;T38,E38&lt;=U38),$U$17,$V$17)))))))))</f>
        <v>8</v>
      </c>
      <c r="G38">
        <f t="shared" si="5"/>
        <v>1.2000000000000002</v>
      </c>
      <c r="H38" s="163">
        <f t="shared" si="6"/>
        <v>0.80000000000000016</v>
      </c>
      <c r="M38" s="72">
        <v>0.01</v>
      </c>
      <c r="N38" s="72">
        <v>0.02</v>
      </c>
      <c r="O38" s="72">
        <v>0.03</v>
      </c>
      <c r="P38" s="72">
        <v>0.05</v>
      </c>
      <c r="Q38" s="72">
        <v>0.08</v>
      </c>
      <c r="R38" s="72">
        <v>0.12</v>
      </c>
      <c r="S38" s="72">
        <v>0.17</v>
      </c>
      <c r="T38" s="72">
        <v>0.23</v>
      </c>
      <c r="U38" s="72">
        <v>0.3</v>
      </c>
    </row>
    <row r="39" spans="1:22" x14ac:dyDescent="0.25">
      <c r="A39" s="157"/>
      <c r="B39" s="157"/>
      <c r="C39" s="72"/>
      <c r="D39" s="161"/>
      <c r="E39" s="160"/>
      <c r="M39" s="72"/>
      <c r="N39" s="72"/>
      <c r="O39" s="72"/>
      <c r="P39" s="72"/>
      <c r="Q39" s="72"/>
      <c r="R39" s="72"/>
      <c r="S39" s="72"/>
      <c r="T39" s="72"/>
      <c r="U39" s="72"/>
    </row>
    <row r="40" spans="1:22" x14ac:dyDescent="0.25">
      <c r="A40" s="159" t="s">
        <v>472</v>
      </c>
      <c r="B40" s="159"/>
      <c r="C40" s="72">
        <v>0.2</v>
      </c>
      <c r="I40" t="e">
        <f>SUM(G41:G48)</f>
        <v>#DIV/0!</v>
      </c>
      <c r="J40">
        <f>$C$16*C40</f>
        <v>20</v>
      </c>
    </row>
    <row r="41" spans="1:22" x14ac:dyDescent="0.25">
      <c r="A41" s="167" t="s">
        <v>521</v>
      </c>
      <c r="B41" s="157" t="s">
        <v>523</v>
      </c>
      <c r="C41" s="72">
        <v>0.1</v>
      </c>
      <c r="D41" s="162">
        <f>$C$40*C41*100</f>
        <v>2.0000000000000004</v>
      </c>
      <c r="E41" s="72">
        <f>AVERAGE(Analysis2!J83:L83)</f>
        <v>1.4349373294602716E-2</v>
      </c>
      <c r="F41">
        <f>IF(E41&lt;=M41,$M$17,IF(AND(E41&gt;M41,E41&lt;=N41),$N$17,IF(AND(E41&gt;N41,E41&lt;=O41),$O$17,IF(AND(E41&gt;O41,E41&lt;=P41),$P$17,IF(AND(E41&gt;P41,E41&lt;=Q41),$Q$17,IF(AND(E41&gt;Q41,E41&lt;=R41),$R$17,IF(AND(E41&gt;R41,E41&lt;=S41),$S$17,IF(AND(E41&gt;S41,E41&lt;=T41),$T$17,IF(AND(E41&gt;T41,E41&lt;=U41),$U$17,$V$17)))))))))</f>
        <v>2</v>
      </c>
      <c r="G41">
        <f t="shared" ref="G41:G48" si="8">(F41/10)*D41</f>
        <v>0.40000000000000013</v>
      </c>
      <c r="H41" s="163">
        <f t="shared" ref="H41:H48" si="9">G41/D41</f>
        <v>0.2</v>
      </c>
      <c r="M41" s="72">
        <v>0</v>
      </c>
      <c r="N41" s="72">
        <v>0.05</v>
      </c>
      <c r="O41" s="72">
        <v>0.1</v>
      </c>
      <c r="P41" s="72">
        <v>0.15</v>
      </c>
      <c r="Q41" s="72">
        <v>0.2</v>
      </c>
      <c r="R41" s="72">
        <v>0.25</v>
      </c>
      <c r="S41" s="72">
        <v>0.3</v>
      </c>
      <c r="T41" s="72">
        <v>0.35</v>
      </c>
      <c r="U41" s="72">
        <v>0.4</v>
      </c>
    </row>
    <row r="42" spans="1:22" x14ac:dyDescent="0.25">
      <c r="A42" s="167" t="s">
        <v>473</v>
      </c>
      <c r="B42" s="157" t="s">
        <v>523</v>
      </c>
      <c r="C42" s="72">
        <v>0.1</v>
      </c>
      <c r="D42" s="162">
        <f t="shared" ref="D42:D48" si="10">$C$40*C42*100</f>
        <v>2.0000000000000004</v>
      </c>
      <c r="E42" s="72" t="e">
        <f>Analysis2!M83</f>
        <v>#DIV/0!</v>
      </c>
      <c r="F42" t="e">
        <f>IF(E42&lt;=M42,$M$17,IF(AND(E42&gt;M42,E42&lt;=N42),$N$17,IF(AND(E42&gt;N42,E42&lt;=O42),$O$17,IF(AND(E42&gt;O42,E42&lt;=P42),$P$17,IF(AND(E42&gt;P42,E42&lt;=Q42),$Q$17,IF(AND(E42&gt;Q42,E42&lt;=R42),$R$17,IF(AND(E42&gt;R42,E42&lt;=S42),$S$17,IF(AND(E42&gt;S42,E42&lt;=T42),$T$17,IF(AND(E42&gt;T42,E42&lt;=U42),$U$17,$V$17)))))))))</f>
        <v>#DIV/0!</v>
      </c>
      <c r="G42" t="e">
        <f t="shared" si="8"/>
        <v>#DIV/0!</v>
      </c>
      <c r="H42" s="163" t="e">
        <f t="shared" si="9"/>
        <v>#DIV/0!</v>
      </c>
      <c r="M42" s="72">
        <v>0</v>
      </c>
      <c r="N42" s="72">
        <v>0.05</v>
      </c>
      <c r="O42" s="72">
        <v>0.1</v>
      </c>
      <c r="P42" s="161">
        <v>0.125</v>
      </c>
      <c r="Q42" s="72">
        <v>0.15</v>
      </c>
      <c r="R42" s="161">
        <v>0.17499999999999999</v>
      </c>
      <c r="S42" s="72">
        <v>0.2</v>
      </c>
      <c r="T42" s="72">
        <v>0.22</v>
      </c>
      <c r="U42" s="72">
        <v>0.24</v>
      </c>
    </row>
    <row r="43" spans="1:22" x14ac:dyDescent="0.25">
      <c r="A43" s="167" t="s">
        <v>543</v>
      </c>
      <c r="B43" s="157" t="s">
        <v>522</v>
      </c>
      <c r="C43" s="72">
        <v>0.2</v>
      </c>
      <c r="D43" s="162">
        <f t="shared" si="10"/>
        <v>4.0000000000000009</v>
      </c>
      <c r="E43" s="107">
        <v>9</v>
      </c>
      <c r="F43">
        <f>IF(E43&lt;=M43,$M$17,IF(AND(E43&gt;M43,E43&lt;=N43),$N$17,IF(AND(E43&gt;N43,E43&lt;=O43),$O$17,IF(AND(E43&gt;O43,E43&lt;=P43),$P$17,IF(AND(E43&gt;P43,E43&lt;=Q43),$Q$17,IF(AND(E43&gt;Q43,E43&lt;=R43),$R$17,IF(AND(E43&gt;R43,E43&lt;=S43),$S$17,IF(AND(E43&gt;S43,E43&lt;=T43),$T$17,IF(AND(E43&gt;T43,E43&lt;=U43),$U$17,$V$17)))))))))</f>
        <v>9</v>
      </c>
      <c r="G43">
        <f t="shared" si="8"/>
        <v>3.600000000000001</v>
      </c>
      <c r="H43" s="163">
        <f t="shared" si="9"/>
        <v>0.9</v>
      </c>
      <c r="M43">
        <v>1</v>
      </c>
      <c r="N43">
        <v>2</v>
      </c>
      <c r="O43">
        <v>3</v>
      </c>
      <c r="P43">
        <v>4</v>
      </c>
      <c r="Q43">
        <v>5</v>
      </c>
      <c r="R43">
        <v>6</v>
      </c>
      <c r="S43">
        <v>7</v>
      </c>
      <c r="T43">
        <v>8</v>
      </c>
      <c r="U43">
        <v>9</v>
      </c>
    </row>
    <row r="44" spans="1:22" x14ac:dyDescent="0.25">
      <c r="A44" s="157" t="s">
        <v>474</v>
      </c>
      <c r="B44" s="157" t="s">
        <v>523</v>
      </c>
      <c r="C44" s="72">
        <v>0.1</v>
      </c>
      <c r="D44" s="162">
        <f t="shared" si="10"/>
        <v>2.0000000000000004</v>
      </c>
      <c r="E44" s="72">
        <f>Other_input_data!M39</f>
        <v>4.5820933075432668E-2</v>
      </c>
      <c r="F44" s="165">
        <f>IF(E44&gt;=M44,$M$17,IF(AND(E44&lt;M44,E44&gt;=N44),$N$17,IF(AND(E44&lt;N44,E44&gt;=O44),$O$17,IF(AND(E44&lt;O44,E44&gt;=P44),$P$17,IF(AND(E44&lt;P44,E44&gt;=Q44),$Q$17,IF(AND(E44&lt;Q44,E44&gt;=R44),$R$17,IF(AND(E44&lt;R44,E44&gt;=S44),$S$17,IF(AND(E44&lt;S44,E44&gt;=T44),$T$17,IF(AND(E44&lt;T44,E44&gt;=U44),$U$17,$V$17)))))))))</f>
        <v>10</v>
      </c>
      <c r="G44">
        <f t="shared" si="8"/>
        <v>2.0000000000000004</v>
      </c>
      <c r="H44" s="163">
        <f t="shared" si="9"/>
        <v>1</v>
      </c>
      <c r="M44" s="72">
        <v>0.23</v>
      </c>
      <c r="N44" s="72">
        <v>0.22</v>
      </c>
      <c r="O44" s="72">
        <v>0.21</v>
      </c>
      <c r="P44" s="72">
        <v>0.2</v>
      </c>
      <c r="Q44" s="72">
        <v>0.19</v>
      </c>
      <c r="R44" s="72">
        <v>0.17</v>
      </c>
      <c r="S44" s="72">
        <v>0.15</v>
      </c>
      <c r="T44" s="72">
        <v>0.1</v>
      </c>
      <c r="U44" s="72">
        <v>0.05</v>
      </c>
      <c r="V44" s="72"/>
    </row>
    <row r="45" spans="1:22" x14ac:dyDescent="0.25">
      <c r="A45" s="157" t="s">
        <v>500</v>
      </c>
      <c r="B45" s="157" t="s">
        <v>522</v>
      </c>
      <c r="C45" s="72">
        <v>0.1</v>
      </c>
      <c r="D45" s="162">
        <f t="shared" si="10"/>
        <v>2.0000000000000004</v>
      </c>
      <c r="E45" s="163">
        <v>0</v>
      </c>
      <c r="F45" s="165">
        <f>IF(E45&gt;=M45,$M$17,IF(AND(E45&lt;M45,E45&gt;=N45),$N$17,IF(AND(E45&lt;N45,E45&gt;=O45),$O$17,IF(AND(E45&lt;O45,E45&gt;=P45),$P$17,IF(AND(E45&lt;P45,E45&gt;=Q45),$Q$17,IF(AND(E45&lt;Q45,E45&gt;=R45),$R$17,IF(AND(E45&lt;R45,E45&gt;=S45),$S$17,IF(AND(E45&lt;S45,E45&gt;=T45),$T$17,IF(AND(E45&lt;T45,E45&gt;=U45),$U$17,$V$17)))))))))</f>
        <v>8</v>
      </c>
      <c r="G45">
        <f t="shared" si="8"/>
        <v>1.6000000000000005</v>
      </c>
      <c r="H45" s="163">
        <f t="shared" si="9"/>
        <v>0.8</v>
      </c>
      <c r="M45" s="72">
        <v>0.2</v>
      </c>
      <c r="N45" s="72">
        <v>0.17</v>
      </c>
      <c r="O45" s="72">
        <v>0.14000000000000001</v>
      </c>
      <c r="P45" s="72">
        <v>0.1</v>
      </c>
      <c r="Q45" s="72">
        <v>7.0000000000000007E-2</v>
      </c>
      <c r="R45" s="72">
        <v>0.04</v>
      </c>
      <c r="S45" s="72">
        <v>0.02</v>
      </c>
      <c r="T45" s="72">
        <v>0</v>
      </c>
      <c r="U45" s="72">
        <v>-0.05</v>
      </c>
    </row>
    <row r="46" spans="1:22" x14ac:dyDescent="0.25">
      <c r="A46" s="157" t="s">
        <v>501</v>
      </c>
      <c r="B46" s="157" t="s">
        <v>522</v>
      </c>
      <c r="C46" s="72">
        <v>0.1</v>
      </c>
      <c r="D46" s="162">
        <f t="shared" si="10"/>
        <v>2.0000000000000004</v>
      </c>
      <c r="E46" s="166">
        <v>0</v>
      </c>
      <c r="F46" s="165">
        <f>IF(E46&gt;=M46,$M$17,IF(AND(E46&lt;M46,E46&gt;=N46),$N$17,IF(AND(E46&lt;N46,E46&gt;=O46),$O$17,IF(AND(E46&lt;O46,E46&gt;=P46),$P$17,IF(AND(E46&lt;P46,E46&gt;=Q46),$Q$17,IF(AND(E46&lt;Q46,E46&gt;=R46),$R$17,IF(AND(E46&lt;R46,E46&gt;=S46),$S$17,IF(AND(E46&lt;S46,E46&gt;=T46),$T$17,IF(AND(E46&lt;T46,E46&gt;=U46),$U$17,$V$17)))))))))</f>
        <v>8</v>
      </c>
      <c r="G46">
        <f t="shared" si="8"/>
        <v>1.6000000000000005</v>
      </c>
      <c r="H46" s="163">
        <f t="shared" si="9"/>
        <v>0.8</v>
      </c>
      <c r="M46" s="107">
        <v>3</v>
      </c>
      <c r="N46" s="107">
        <v>3</v>
      </c>
      <c r="O46" s="107">
        <v>3</v>
      </c>
      <c r="P46" s="107">
        <v>2</v>
      </c>
      <c r="Q46" s="107">
        <v>2</v>
      </c>
      <c r="R46" s="107">
        <v>1</v>
      </c>
      <c r="S46" s="107">
        <v>1</v>
      </c>
      <c r="T46" s="107">
        <v>0</v>
      </c>
      <c r="U46" s="107">
        <v>0</v>
      </c>
    </row>
    <row r="47" spans="1:22" x14ac:dyDescent="0.25">
      <c r="A47" s="167" t="s">
        <v>496</v>
      </c>
      <c r="B47" s="157" t="s">
        <v>522</v>
      </c>
      <c r="C47" s="72">
        <v>0.15</v>
      </c>
      <c r="D47" s="162">
        <f t="shared" si="10"/>
        <v>3</v>
      </c>
      <c r="E47" s="166">
        <v>9</v>
      </c>
      <c r="F47">
        <f>IF(E47&lt;=M47,$M$17,IF(AND(E47&gt;M47,E47&lt;=N47),$N$17,IF(AND(E47&gt;N47,E47&lt;=O47),$O$17,IF(AND(E47&gt;O47,E47&lt;=P47),$P$17,IF(AND(E47&gt;P47,E47&lt;=Q47),$Q$17,IF(AND(E47&gt;Q47,E47&lt;=R47),$R$17,IF(AND(E47&gt;R47,E47&lt;=S47),$S$17,IF(AND(E47&gt;S47,E47&lt;=T47),$T$17,IF(AND(E47&gt;T47,E47&lt;=U47),$U$17,$V$17)))))))))</f>
        <v>9</v>
      </c>
      <c r="G47">
        <f t="shared" si="8"/>
        <v>2.7</v>
      </c>
      <c r="H47" s="163">
        <f t="shared" si="9"/>
        <v>0.9</v>
      </c>
      <c r="M47" s="107">
        <v>1</v>
      </c>
      <c r="N47" s="107">
        <v>2</v>
      </c>
      <c r="O47" s="107">
        <v>3</v>
      </c>
      <c r="P47" s="107">
        <v>4</v>
      </c>
      <c r="Q47" s="107">
        <v>5</v>
      </c>
      <c r="R47" s="107">
        <v>6</v>
      </c>
      <c r="S47" s="107">
        <v>7</v>
      </c>
      <c r="T47" s="107">
        <v>8</v>
      </c>
      <c r="U47" s="107">
        <v>9</v>
      </c>
    </row>
    <row r="48" spans="1:22" x14ac:dyDescent="0.25">
      <c r="A48" s="157" t="s">
        <v>502</v>
      </c>
      <c r="B48" s="157" t="s">
        <v>522</v>
      </c>
      <c r="C48" s="72">
        <v>0.15</v>
      </c>
      <c r="D48" s="162">
        <f t="shared" si="10"/>
        <v>3</v>
      </c>
      <c r="E48" s="160">
        <v>0.01</v>
      </c>
      <c r="F48" s="165">
        <f>IF(E48&gt;=M48,$M$17,IF(AND(E48&lt;M48,E48&gt;=N48),$N$17,IF(AND(E48&lt;N48,E48&gt;=O48),$O$17,IF(AND(E48&lt;O48,E48&gt;=P48),$P$17,IF(AND(E48&lt;P48,E48&gt;=Q48),$Q$17,IF(AND(E48&lt;Q48,E48&gt;=R48),$R$17,IF(AND(E48&lt;R48,E48&gt;=S48),$S$17,IF(AND(E48&lt;S48,E48&gt;=T48),$T$17,IF(AND(E48&lt;T48,E48&gt;=U48),$U$17,$V$17)))))))))</f>
        <v>9</v>
      </c>
      <c r="G48">
        <f t="shared" si="8"/>
        <v>2.7</v>
      </c>
      <c r="H48" s="163">
        <f t="shared" si="9"/>
        <v>0.9</v>
      </c>
      <c r="M48" s="161">
        <v>0.1</v>
      </c>
      <c r="N48" s="161">
        <v>0.09</v>
      </c>
      <c r="O48" s="161">
        <v>8.5000000000000006E-2</v>
      </c>
      <c r="P48" s="161">
        <v>0.08</v>
      </c>
      <c r="Q48" s="161">
        <v>7.0000000000000007E-2</v>
      </c>
      <c r="R48" s="161">
        <v>0.06</v>
      </c>
      <c r="S48" s="161">
        <v>0.04</v>
      </c>
      <c r="T48" s="161">
        <v>0.02</v>
      </c>
      <c r="U48" s="161">
        <v>0.01</v>
      </c>
    </row>
    <row r="49" spans="1:22" x14ac:dyDescent="0.25">
      <c r="A49" s="157"/>
      <c r="B49" s="157"/>
      <c r="C49" s="72"/>
      <c r="D49" s="161"/>
      <c r="E49" s="160"/>
      <c r="M49" s="161"/>
      <c r="N49" s="161"/>
      <c r="O49" s="161"/>
      <c r="P49" s="161"/>
      <c r="Q49" s="161"/>
      <c r="R49" s="161"/>
      <c r="S49" s="161"/>
      <c r="T49" s="161"/>
      <c r="U49" s="161"/>
    </row>
    <row r="50" spans="1:22" x14ac:dyDescent="0.25">
      <c r="A50" s="159" t="s">
        <v>478</v>
      </c>
      <c r="B50" s="159"/>
      <c r="C50" s="72">
        <v>0.2</v>
      </c>
      <c r="I50">
        <f>SUM(G51:G54)</f>
        <v>12.9</v>
      </c>
      <c r="J50">
        <f>$C$16*C50</f>
        <v>20</v>
      </c>
    </row>
    <row r="51" spans="1:22" x14ac:dyDescent="0.25">
      <c r="A51" s="157" t="s">
        <v>505</v>
      </c>
      <c r="B51" s="157" t="s">
        <v>523</v>
      </c>
      <c r="C51" s="72">
        <v>0.25</v>
      </c>
      <c r="D51" s="162">
        <f>$C$50*C51*100</f>
        <v>5</v>
      </c>
      <c r="E51" s="72">
        <f>Market_scope!G2</f>
        <v>0.02</v>
      </c>
      <c r="F51" s="165">
        <f>IF(E51&gt;=M51,$M$17,IF(AND(E51&lt;M51,E51&gt;=N51),$N$17,IF(AND(E51&lt;N51,E51&gt;=O51),$O$17,IF(AND(E51&lt;O51,E51&gt;=P51),$P$17,IF(AND(E51&lt;P51,E51&gt;=Q51),$Q$17,IF(AND(E51&lt;Q51,E51&gt;=R51),$R$17,IF(AND(E51&lt;R51,E51&gt;=S51),$S$17,IF(AND(E51&lt;S51,E51&gt;=T51),$T$17,IF(AND(E51&lt;T51,E51&gt;=U51),$U$17,$V$17)))))))))</f>
        <v>9</v>
      </c>
      <c r="G51">
        <f t="shared" ref="G51:G54" si="11">(F51/10)*D51</f>
        <v>4.5</v>
      </c>
      <c r="H51" s="163">
        <f t="shared" ref="H51:H54" si="12">G51/D51</f>
        <v>0.9</v>
      </c>
      <c r="M51" s="72">
        <v>0.2</v>
      </c>
      <c r="N51" s="72">
        <v>0.16</v>
      </c>
      <c r="O51" s="72">
        <v>0.14000000000000001</v>
      </c>
      <c r="P51" s="72">
        <v>0.12</v>
      </c>
      <c r="Q51" s="72">
        <v>0.1</v>
      </c>
      <c r="R51" s="72">
        <v>0.08</v>
      </c>
      <c r="S51" s="72">
        <v>0.06</v>
      </c>
      <c r="T51" s="72">
        <v>0.04</v>
      </c>
      <c r="U51" s="72">
        <v>0.02</v>
      </c>
    </row>
    <row r="52" spans="1:22" x14ac:dyDescent="0.25">
      <c r="A52" s="157" t="s">
        <v>484</v>
      </c>
      <c r="B52" s="157" t="s">
        <v>523</v>
      </c>
      <c r="C52" s="72">
        <v>0.15</v>
      </c>
      <c r="D52" s="162">
        <f t="shared" ref="D52:D54" si="13">$C$50*C52*100</f>
        <v>3</v>
      </c>
      <c r="E52" s="72">
        <f>Market_scope!M2</f>
        <v>0.27522033632230447</v>
      </c>
      <c r="F52">
        <f>IF(E52&lt;=M52,$M$17,IF(AND(E52&gt;M52,E52&lt;=N52),$N$17,IF(AND(E52&gt;N52,E52&lt;=O52),$O$17,IF(AND(E52&gt;O52,E52&lt;=P52),$P$17,IF(AND(E52&gt;P52,E52&lt;=Q52),$Q$17,IF(AND(E52&gt;Q52,E52&lt;=R52),$R$17,IF(AND(E52&gt;R52,E52&lt;=S52),$S$17,IF(AND(E52&gt;S52,E52&lt;=T52),$T$17,IF(AND(E52&gt;T52,E52&lt;=U52),$U$17,$V$17)))))))))</f>
        <v>10</v>
      </c>
      <c r="G52">
        <f t="shared" si="11"/>
        <v>3</v>
      </c>
      <c r="H52" s="163">
        <f t="shared" si="12"/>
        <v>1</v>
      </c>
      <c r="M52" s="72">
        <v>-0.05</v>
      </c>
      <c r="N52" s="72">
        <v>-0.04</v>
      </c>
      <c r="O52" s="72">
        <v>-0.03</v>
      </c>
      <c r="P52" s="72">
        <v>-0.02</v>
      </c>
      <c r="Q52" s="72">
        <v>-0.01</v>
      </c>
      <c r="R52" s="72">
        <v>0</v>
      </c>
      <c r="S52" s="72">
        <v>0.01</v>
      </c>
      <c r="T52" s="72">
        <v>0.02</v>
      </c>
      <c r="U52" s="72">
        <v>0.03</v>
      </c>
      <c r="V52" s="72"/>
    </row>
    <row r="53" spans="1:22" x14ac:dyDescent="0.25">
      <c r="A53" s="157" t="s">
        <v>506</v>
      </c>
      <c r="B53" s="157" t="s">
        <v>523</v>
      </c>
      <c r="C53" s="72">
        <v>0.3</v>
      </c>
      <c r="D53" s="162">
        <f t="shared" si="13"/>
        <v>6</v>
      </c>
      <c r="E53" s="160">
        <f>Market_scope!M6</f>
        <v>7.0429496933102076E-3</v>
      </c>
      <c r="F53">
        <f>IF(E53&lt;=M53,$M$17,IF(AND(E53&gt;M53,E53&lt;=N53),$N$17,IF(AND(E53&gt;N53,E53&lt;=O53),$O$17,IF(AND(E53&gt;O53,E53&lt;=P53),$P$17,IF(AND(E53&gt;P53,E53&lt;=Q53),$Q$17,IF(AND(E53&gt;Q53,E53&lt;=R53),$R$17,IF(AND(E53&gt;R53,E53&lt;=S53),$S$17,IF(AND(E53&gt;S53,E53&lt;=T53),$T$17,IF(AND(E53&gt;T53,E53&lt;=U53),$U$17,$V$17)))))))))</f>
        <v>3</v>
      </c>
      <c r="G53">
        <f t="shared" si="11"/>
        <v>1.7999999999999998</v>
      </c>
      <c r="H53" s="163">
        <f t="shared" si="12"/>
        <v>0.3</v>
      </c>
      <c r="M53" s="72">
        <v>-0.01</v>
      </c>
      <c r="N53" s="72">
        <v>0</v>
      </c>
      <c r="O53" s="72">
        <v>0.01</v>
      </c>
      <c r="P53" s="72">
        <v>0.02</v>
      </c>
      <c r="Q53" s="72">
        <v>0.03</v>
      </c>
      <c r="R53" s="160">
        <v>3.5000000000000003E-2</v>
      </c>
      <c r="S53" s="72">
        <v>0.04</v>
      </c>
      <c r="T53" s="160">
        <v>4.4999999999999998E-2</v>
      </c>
      <c r="U53" s="72">
        <v>0.05</v>
      </c>
    </row>
    <row r="54" spans="1:22" x14ac:dyDescent="0.25">
      <c r="A54" s="167" t="s">
        <v>477</v>
      </c>
      <c r="B54" s="157" t="s">
        <v>522</v>
      </c>
      <c r="C54" s="72">
        <v>0.3</v>
      </c>
      <c r="D54" s="162">
        <f t="shared" si="13"/>
        <v>6</v>
      </c>
      <c r="E54">
        <v>6</v>
      </c>
      <c r="F54">
        <f>IF(E54&lt;=M54,$M$17,IF(AND(E54&gt;M54,E54&lt;=N54),$N$17,IF(AND(E54&gt;N54,E54&lt;=O54),$O$17,IF(AND(E54&gt;O54,E54&lt;=P54),$P$17,IF(AND(E54&gt;P54,E54&lt;=Q54),$Q$17,IF(AND(E54&gt;Q54,E54&lt;=R54),$R$17,IF(AND(E54&gt;R54,E54&lt;=S54),$S$17,IF(AND(E54&gt;S54,E54&lt;=T54),$T$17,IF(AND(E54&gt;T54,E54&lt;=U54),$U$17,$V$17)))))))))</f>
        <v>6</v>
      </c>
      <c r="G54">
        <f t="shared" si="11"/>
        <v>3.5999999999999996</v>
      </c>
      <c r="H54" s="163">
        <f t="shared" si="12"/>
        <v>0.6</v>
      </c>
      <c r="M54" s="107">
        <v>1</v>
      </c>
      <c r="N54" s="107">
        <v>2</v>
      </c>
      <c r="O54" s="107">
        <v>3</v>
      </c>
      <c r="P54" s="107">
        <v>4</v>
      </c>
      <c r="Q54" s="107">
        <v>5</v>
      </c>
      <c r="R54" s="107">
        <v>6</v>
      </c>
      <c r="S54" s="107">
        <v>7</v>
      </c>
      <c r="T54" s="107">
        <v>8</v>
      </c>
      <c r="U54" s="107">
        <v>9</v>
      </c>
      <c r="V54" s="107">
        <v>10</v>
      </c>
    </row>
    <row r="55" spans="1:22" x14ac:dyDescent="0.25">
      <c r="A55" s="167"/>
      <c r="B55" s="167"/>
      <c r="C55" s="72"/>
      <c r="D55" s="161"/>
      <c r="M55" s="107"/>
      <c r="N55" s="107"/>
      <c r="O55" s="107"/>
      <c r="P55" s="107"/>
      <c r="Q55" s="107"/>
      <c r="R55" s="107"/>
      <c r="S55" s="107"/>
      <c r="T55" s="107"/>
      <c r="U55" s="107"/>
      <c r="V55" s="107"/>
    </row>
    <row r="56" spans="1:22" x14ac:dyDescent="0.25">
      <c r="A56" s="38" t="s">
        <v>475</v>
      </c>
      <c r="B56" s="38"/>
      <c r="C56" s="72">
        <v>0.15</v>
      </c>
      <c r="I56">
        <f>SUM(G57:G58)</f>
        <v>12</v>
      </c>
      <c r="J56">
        <f>$C$16*C56</f>
        <v>15</v>
      </c>
    </row>
    <row r="57" spans="1:22" x14ac:dyDescent="0.25">
      <c r="A57" s="157" t="s">
        <v>485</v>
      </c>
      <c r="B57" s="157" t="s">
        <v>523</v>
      </c>
      <c r="C57" s="72">
        <v>0.5</v>
      </c>
      <c r="D57" s="162">
        <f>$C$56*C57*100</f>
        <v>7.5</v>
      </c>
      <c r="E57" s="160">
        <f>Market_scope!M5</f>
        <v>0.1</v>
      </c>
      <c r="F57">
        <f t="shared" ref="F57:F58" si="14">IF(E57&lt;=M57,$M$17,IF(AND(E57&gt;M57,E57&lt;=N57),$N$17,IF(AND(E57&gt;N57,E57&lt;=O57),$O$17,IF(AND(E57&gt;O57,E57&lt;=P57),$P$17,IF(AND(E57&gt;P57,E57&lt;=Q57),$Q$17,IF(AND(E57&gt;Q57,E57&lt;=R57),$R$17,IF(AND(E57&gt;R57,E57&lt;=S57),$S$17,IF(AND(E57&gt;S57,E57&lt;=T57),$T$17,IF(AND(E57&gt;T57,E57&lt;=U57),$U$17,$V$17)))))))))</f>
        <v>9</v>
      </c>
      <c r="G57">
        <f t="shared" ref="G57:G58" si="15">(F57/10)*D57</f>
        <v>6.75</v>
      </c>
      <c r="H57" s="163">
        <f t="shared" ref="H57:H58" si="16">G57/D57</f>
        <v>0.9</v>
      </c>
      <c r="M57" s="72">
        <v>0.02</v>
      </c>
      <c r="N57" s="72">
        <v>0.03</v>
      </c>
      <c r="O57" s="72">
        <v>0.04</v>
      </c>
      <c r="P57" s="72">
        <v>0.05</v>
      </c>
      <c r="Q57" s="72">
        <v>0.06</v>
      </c>
      <c r="R57" s="72">
        <v>7.0000000000000007E-2</v>
      </c>
      <c r="S57" s="72">
        <v>0.08</v>
      </c>
      <c r="T57" s="72">
        <v>0.09</v>
      </c>
      <c r="U57" s="72">
        <v>0.1</v>
      </c>
    </row>
    <row r="58" spans="1:22" x14ac:dyDescent="0.25">
      <c r="A58" s="157" t="s">
        <v>508</v>
      </c>
      <c r="B58" s="157" t="s">
        <v>523</v>
      </c>
      <c r="C58" s="72">
        <v>0.5</v>
      </c>
      <c r="D58" s="162">
        <f>$C$56*C58*100</f>
        <v>7.5</v>
      </c>
      <c r="E58" s="72">
        <f>Market_scope!M4-Market_scope!M5</f>
        <v>7.400000000000001E-2</v>
      </c>
      <c r="F58">
        <f t="shared" si="14"/>
        <v>7</v>
      </c>
      <c r="G58">
        <f t="shared" si="15"/>
        <v>5.25</v>
      </c>
      <c r="H58" s="163">
        <f t="shared" si="16"/>
        <v>0.7</v>
      </c>
      <c r="M58" s="72">
        <v>-0.02</v>
      </c>
      <c r="N58" s="72">
        <v>0</v>
      </c>
      <c r="O58" s="72">
        <v>0.02</v>
      </c>
      <c r="P58" s="72">
        <v>0.04</v>
      </c>
      <c r="Q58" s="72">
        <v>0.06</v>
      </c>
      <c r="R58" s="72">
        <v>7.0000000000000007E-2</v>
      </c>
      <c r="S58" s="72">
        <v>0.08</v>
      </c>
      <c r="T58" s="72">
        <v>0.09</v>
      </c>
      <c r="U58" s="72">
        <v>0.1</v>
      </c>
    </row>
    <row r="60" spans="1:22" x14ac:dyDescent="0.25">
      <c r="A60" s="38" t="s">
        <v>476</v>
      </c>
      <c r="B60" s="38"/>
      <c r="C60" s="72">
        <v>0.15</v>
      </c>
      <c r="I60">
        <f>SUM(G61:G63)</f>
        <v>11.25</v>
      </c>
      <c r="J60">
        <f>$C$16*C60</f>
        <v>15</v>
      </c>
    </row>
    <row r="61" spans="1:22" x14ac:dyDescent="0.25">
      <c r="A61" s="157" t="s">
        <v>503</v>
      </c>
      <c r="B61" s="157" t="s">
        <v>523</v>
      </c>
      <c r="C61" s="72">
        <v>0.5</v>
      </c>
      <c r="D61" s="162">
        <f>$C$60*C61*100</f>
        <v>7.5</v>
      </c>
      <c r="E61" s="162">
        <f>'Financial Analysis'!L126</f>
        <v>0.15447522716694229</v>
      </c>
      <c r="F61" s="165">
        <f>IF(E61&gt;=M61,$M$17,IF(AND(E61&lt;M61,E61&gt;=N61),$N$17,IF(AND(E61&lt;N61,E61&gt;=O61),$O$17,IF(AND(E61&lt;O61,E61&gt;=P61),$P$17,IF(AND(E61&lt;P61,E61&gt;=Q61),$Q$17,IF(AND(E61&lt;Q61,E61&gt;=R61),$R$17,IF(AND(E61&lt;R61,E61&gt;=S61),$S$17,IF(AND(E61&lt;S61,E61&gt;=T61),$T$17,IF(AND(E61&lt;T61,E61&gt;=U61),$U$17,$V$17)))))))))</f>
        <v>10</v>
      </c>
      <c r="G61">
        <f t="shared" ref="G61:G63" si="17">(F61/10)*D61</f>
        <v>7.5</v>
      </c>
      <c r="H61" s="163">
        <f t="shared" ref="H61:H63" si="18">G61/D61</f>
        <v>1</v>
      </c>
      <c r="M61" s="105">
        <v>3</v>
      </c>
      <c r="N61" s="105">
        <v>2.5</v>
      </c>
      <c r="O61" s="105">
        <v>2</v>
      </c>
      <c r="P61" s="105">
        <v>1.5</v>
      </c>
      <c r="Q61" s="105">
        <v>1</v>
      </c>
      <c r="R61" s="105">
        <v>0.75</v>
      </c>
      <c r="S61" s="105">
        <v>0.5</v>
      </c>
      <c r="T61" s="105">
        <v>0.3</v>
      </c>
      <c r="U61" s="105">
        <v>0.2</v>
      </c>
    </row>
    <row r="62" spans="1:22" x14ac:dyDescent="0.25">
      <c r="A62" s="157" t="s">
        <v>504</v>
      </c>
      <c r="B62" s="157" t="s">
        <v>523</v>
      </c>
      <c r="C62" s="72">
        <v>0.5</v>
      </c>
      <c r="D62" s="162">
        <f t="shared" ref="D62:D63" si="19">$C$60*C62*100</f>
        <v>7.5</v>
      </c>
      <c r="E62" s="162">
        <f>(Analysis2!B6/Market_scope!M4)/100</f>
        <v>1.0400754846457367</v>
      </c>
      <c r="F62" s="165">
        <f>IF(E62&gt;=M62,$M$17,IF(AND(E62&lt;M62,E62&gt;=N62),$N$17,IF(AND(E62&lt;N62,E62&gt;=O62),$O$17,IF(AND(E62&lt;O62,E62&gt;=P62),$P$17,IF(AND(E62&lt;P62,E62&gt;=Q62),$Q$17,IF(AND(E62&lt;Q62,E62&gt;=R62),$R$17,IF(AND(E62&lt;R62,E62&gt;=S62),$S$17,IF(AND(E62&lt;S62,E62&gt;=T62),$T$17,IF(AND(E62&lt;T62,E62&gt;=U62),$U$17,$V$17)))))))))</f>
        <v>5</v>
      </c>
      <c r="G62">
        <f t="shared" si="17"/>
        <v>3.75</v>
      </c>
      <c r="H62" s="163">
        <f t="shared" si="18"/>
        <v>0.5</v>
      </c>
      <c r="M62" s="105">
        <v>3</v>
      </c>
      <c r="N62" s="105">
        <v>2.5</v>
      </c>
      <c r="O62" s="105">
        <v>2</v>
      </c>
      <c r="P62" s="105">
        <v>1.5</v>
      </c>
      <c r="Q62" s="105">
        <v>1</v>
      </c>
      <c r="R62" s="105">
        <v>0.75</v>
      </c>
      <c r="S62" s="105">
        <v>0.5</v>
      </c>
      <c r="T62" s="105">
        <v>0.3</v>
      </c>
      <c r="U62" s="105">
        <v>0.2</v>
      </c>
    </row>
    <row r="63" spans="1:22" x14ac:dyDescent="0.25">
      <c r="A63" s="167" t="s">
        <v>479</v>
      </c>
      <c r="B63" s="157" t="s">
        <v>523</v>
      </c>
      <c r="C63" s="72">
        <v>0</v>
      </c>
      <c r="D63" s="162">
        <f t="shared" si="19"/>
        <v>0</v>
      </c>
      <c r="E63">
        <v>0</v>
      </c>
      <c r="F63">
        <f>IF(E63&lt;=M63,$M$17,IF(AND(E63&gt;M63,E63&lt;=N63),$N$17,IF(AND(E63&gt;N63,E63&lt;=O63),$O$17,IF(AND(E63&gt;O63,E63&lt;=P63),$P$17,IF(AND(E63&gt;P63,E63&lt;=Q63),$Q$17,IF(AND(E63&gt;Q63,E63&lt;=R63),$R$17,IF(AND(E63&gt;R63,E63&lt;=S63),$S$17,IF(AND(E63&gt;S63,E63&lt;=T63),$T$17,IF(AND(E63&gt;T63,E63&lt;=U63),$U$17,$V$17)))))))))</f>
        <v>1</v>
      </c>
      <c r="G63">
        <f t="shared" si="17"/>
        <v>0</v>
      </c>
      <c r="H63" s="163" t="e">
        <f t="shared" si="18"/>
        <v>#DIV/0!</v>
      </c>
    </row>
    <row r="64" spans="1:22" x14ac:dyDescent="0.25">
      <c r="A64" s="157"/>
      <c r="B64" s="15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
  <sheetViews>
    <sheetView workbookViewId="0">
      <selection activeCell="H4" sqref="H4"/>
    </sheetView>
  </sheetViews>
  <sheetFormatPr defaultRowHeight="15" x14ac:dyDescent="0.25"/>
  <cols>
    <col min="2" max="2" width="30" bestFit="1" customWidth="1"/>
  </cols>
  <sheetData>
    <row r="1" spans="2:13" x14ac:dyDescent="0.25">
      <c r="C1" t="s">
        <v>527</v>
      </c>
      <c r="D1" t="s">
        <v>528</v>
      </c>
      <c r="E1" t="s">
        <v>529</v>
      </c>
      <c r="F1" t="s">
        <v>530</v>
      </c>
      <c r="G1" t="s">
        <v>531</v>
      </c>
      <c r="H1" t="s">
        <v>532</v>
      </c>
      <c r="I1" t="s">
        <v>533</v>
      </c>
      <c r="J1" t="s">
        <v>534</v>
      </c>
      <c r="K1" t="s">
        <v>535</v>
      </c>
      <c r="L1" t="s">
        <v>536</v>
      </c>
    </row>
    <row r="2" spans="2:13" x14ac:dyDescent="0.25">
      <c r="B2" t="s">
        <v>537</v>
      </c>
      <c r="C2" s="72">
        <v>0.1</v>
      </c>
      <c r="D2" s="72">
        <v>0.08</v>
      </c>
      <c r="E2" s="72">
        <v>7.0000000000000007E-2</v>
      </c>
      <c r="F2" s="72">
        <v>0.04</v>
      </c>
      <c r="G2" s="72">
        <v>0.02</v>
      </c>
      <c r="M2" s="168">
        <f>-((G2/C2)^(1/5)-1)</f>
        <v>0.27522033632230447</v>
      </c>
    </row>
    <row r="3" spans="2:13" x14ac:dyDescent="0.25">
      <c r="B3" t="s">
        <v>524</v>
      </c>
      <c r="C3">
        <v>3</v>
      </c>
      <c r="D3">
        <v>3</v>
      </c>
      <c r="E3">
        <v>2</v>
      </c>
      <c r="F3">
        <v>1</v>
      </c>
      <c r="G3">
        <v>1</v>
      </c>
    </row>
    <row r="4" spans="2:13" x14ac:dyDescent="0.25">
      <c r="B4" t="s">
        <v>525</v>
      </c>
      <c r="H4" s="72">
        <v>0.19</v>
      </c>
      <c r="I4" s="72">
        <v>0.19</v>
      </c>
      <c r="J4" s="72">
        <v>0.19</v>
      </c>
      <c r="K4" s="72">
        <v>0.15</v>
      </c>
      <c r="L4" s="72">
        <v>0.15</v>
      </c>
      <c r="M4" s="72">
        <f>AVERAGE(H4:L4)</f>
        <v>0.17400000000000002</v>
      </c>
    </row>
    <row r="5" spans="2:13" x14ac:dyDescent="0.25">
      <c r="B5" t="s">
        <v>526</v>
      </c>
      <c r="H5" s="72">
        <v>0.1</v>
      </c>
      <c r="I5" s="72">
        <v>0.1</v>
      </c>
      <c r="J5" s="72">
        <v>0.1</v>
      </c>
      <c r="K5" s="72">
        <v>0.1</v>
      </c>
      <c r="L5" s="72">
        <v>0.1</v>
      </c>
      <c r="M5" s="72">
        <f>AVERAGE(H5:L5)</f>
        <v>0.1</v>
      </c>
    </row>
    <row r="6" spans="2:13" x14ac:dyDescent="0.25">
      <c r="B6" t="s">
        <v>538</v>
      </c>
      <c r="C6">
        <v>280</v>
      </c>
      <c r="D6">
        <v>283</v>
      </c>
      <c r="E6">
        <v>287</v>
      </c>
      <c r="F6">
        <v>286</v>
      </c>
      <c r="G6">
        <v>290</v>
      </c>
      <c r="M6" s="168">
        <f>((G6/C6)^(1/5)-1)</f>
        <v>7.0429496933102076E-3</v>
      </c>
    </row>
    <row r="7" spans="2:13" x14ac:dyDescent="0.25">
      <c r="B7" t="s">
        <v>539</v>
      </c>
    </row>
    <row r="8" spans="2:13" x14ac:dyDescent="0.25">
      <c r="B8" t="s">
        <v>540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workbookViewId="0">
      <pane xSplit="1" ySplit="1" topLeftCell="B2" activePane="bottomRight" state="frozen"/>
      <selection activeCell="C4" sqref="C4"/>
      <selection pane="topRight" activeCell="C4" sqref="C4"/>
      <selection pane="bottomLeft" activeCell="C4" sqref="C4"/>
      <selection pane="bottomRight" sqref="A1:XFD1048576"/>
    </sheetView>
  </sheetViews>
  <sheetFormatPr defaultRowHeight="15" x14ac:dyDescent="0.25"/>
  <cols>
    <col min="1" max="1" width="27.7109375" style="5" bestFit="1" customWidth="1"/>
    <col min="2" max="11" width="13.5703125" style="5" bestFit="1" customWidth="1"/>
    <col min="12" max="12" width="10" style="5" bestFit="1" customWidth="1"/>
    <col min="13" max="16384" width="9.140625" style="5"/>
  </cols>
  <sheetData>
    <row r="1" spans="1:12" s="1" customFormat="1" x14ac:dyDescent="0.25">
      <c r="A1" s="1" t="s">
        <v>0</v>
      </c>
      <c r="B1" s="1" t="s">
        <v>980</v>
      </c>
      <c r="E1" s="467" t="str">
        <f>IF(B2&lt;&gt;B3, "A NEW VERSION OF THE WORKSHEET IS AVAILABLE", "")</f>
        <v/>
      </c>
      <c r="F1" s="467"/>
      <c r="G1" s="467"/>
      <c r="H1" s="467"/>
      <c r="I1" s="467"/>
      <c r="J1" s="467"/>
      <c r="K1" s="467"/>
    </row>
    <row r="2" spans="1:12" x14ac:dyDescent="0.25">
      <c r="A2" s="1" t="s">
        <v>57</v>
      </c>
      <c r="B2" s="5">
        <v>2.1</v>
      </c>
      <c r="E2" s="468" t="s">
        <v>31</v>
      </c>
      <c r="F2" s="468"/>
      <c r="G2" s="468"/>
      <c r="H2" s="468"/>
      <c r="I2" s="468"/>
      <c r="J2" s="468"/>
      <c r="K2" s="468"/>
    </row>
    <row r="3" spans="1:12" x14ac:dyDescent="0.25">
      <c r="A3" s="1" t="s">
        <v>58</v>
      </c>
      <c r="B3" s="5">
        <v>2.1</v>
      </c>
    </row>
    <row r="4" spans="1:12" x14ac:dyDescent="0.25">
      <c r="A4" s="1"/>
    </row>
    <row r="5" spans="1:12" x14ac:dyDescent="0.25">
      <c r="A5" s="1" t="s">
        <v>59</v>
      </c>
    </row>
    <row r="6" spans="1:12" x14ac:dyDescent="0.25">
      <c r="A6" s="5" t="s">
        <v>37</v>
      </c>
      <c r="B6" s="5">
        <f>IF(B9&gt;0, B9/B8, 0)</f>
        <v>1.1119955979457079</v>
      </c>
    </row>
    <row r="7" spans="1:12" x14ac:dyDescent="0.25">
      <c r="A7" s="5" t="s">
        <v>26</v>
      </c>
      <c r="B7">
        <v>10</v>
      </c>
    </row>
    <row r="8" spans="1:12" x14ac:dyDescent="0.25">
      <c r="A8" s="5" t="s">
        <v>38</v>
      </c>
      <c r="B8">
        <v>272.60000000000002</v>
      </c>
    </row>
    <row r="9" spans="1:12" x14ac:dyDescent="0.25">
      <c r="A9" s="5" t="s">
        <v>74</v>
      </c>
      <c r="B9">
        <v>303.13</v>
      </c>
    </row>
    <row r="10" spans="1:12" x14ac:dyDescent="0.25">
      <c r="A10" s="5" t="s">
        <v>756</v>
      </c>
      <c r="B10" s="5">
        <f>SUM(H49:K49)/B6</f>
        <v>15.063009269950188</v>
      </c>
    </row>
    <row r="11" spans="1:12" x14ac:dyDescent="0.25">
      <c r="A11" s="5" t="s">
        <v>757</v>
      </c>
      <c r="B11" s="5">
        <f>B8/B10</f>
        <v>18.097313432835822</v>
      </c>
    </row>
    <row r="15" spans="1:12" x14ac:dyDescent="0.25">
      <c r="A15" s="1" t="s">
        <v>32</v>
      </c>
      <c r="D15" s="5">
        <f>D17-D18-D20-D21-D22-D23-D24+D19+D25</f>
        <v>4.2499999999999991</v>
      </c>
      <c r="E15" s="5">
        <f>E17-E18-E20-E21-E22-E23-E24+E19+E25</f>
        <v>-1.42</v>
      </c>
      <c r="F15" s="5">
        <f>F17-F18-F20-F21-F22-F23-F24+F19+F25</f>
        <v>-0.78999999999999959</v>
      </c>
    </row>
    <row r="16" spans="1:12" s="24" customFormat="1" x14ac:dyDescent="0.25">
      <c r="A16" s="23" t="s">
        <v>33</v>
      </c>
      <c r="B16" s="16">
        <v>38807</v>
      </c>
      <c r="C16" s="16">
        <v>39172</v>
      </c>
      <c r="D16" s="16">
        <v>39538</v>
      </c>
      <c r="E16" s="16">
        <v>39903</v>
      </c>
      <c r="F16" s="16">
        <v>40268</v>
      </c>
      <c r="G16" s="16">
        <v>40633</v>
      </c>
      <c r="H16" s="16">
        <v>40999</v>
      </c>
      <c r="I16" s="16">
        <v>41364</v>
      </c>
      <c r="J16" s="16">
        <v>41729</v>
      </c>
      <c r="K16" s="16">
        <v>42094</v>
      </c>
      <c r="L16" s="16">
        <v>42430</v>
      </c>
    </row>
    <row r="17" spans="1:12" s="9" customFormat="1" x14ac:dyDescent="0.25">
      <c r="A17" s="9" t="s">
        <v>3</v>
      </c>
      <c r="B17">
        <v>12.85</v>
      </c>
      <c r="C17">
        <v>18.77</v>
      </c>
      <c r="D17">
        <v>24.38</v>
      </c>
      <c r="E17">
        <v>12.36</v>
      </c>
      <c r="F17">
        <v>8.5</v>
      </c>
      <c r="G17">
        <v>19.11</v>
      </c>
      <c r="H17">
        <v>25.98</v>
      </c>
      <c r="I17">
        <v>28.4</v>
      </c>
      <c r="J17">
        <v>19.53</v>
      </c>
      <c r="K17">
        <v>44.44</v>
      </c>
      <c r="L17">
        <v>61.14</v>
      </c>
    </row>
    <row r="18" spans="1:12" s="9" customFormat="1" x14ac:dyDescent="0.25">
      <c r="A18" s="5" t="s">
        <v>75</v>
      </c>
      <c r="B18">
        <v>2.97</v>
      </c>
      <c r="C18">
        <v>8.73</v>
      </c>
      <c r="D18">
        <v>7.97</v>
      </c>
      <c r="E18">
        <v>4.8099999999999996</v>
      </c>
      <c r="F18">
        <v>3.25</v>
      </c>
      <c r="G18">
        <v>7.95</v>
      </c>
      <c r="H18">
        <v>16.75</v>
      </c>
      <c r="I18">
        <v>16.72</v>
      </c>
      <c r="J18">
        <v>11.41</v>
      </c>
      <c r="K18">
        <v>18.489999999999998</v>
      </c>
      <c r="L18" s="9">
        <v>22.03</v>
      </c>
    </row>
    <row r="19" spans="1:12" s="9" customFormat="1" x14ac:dyDescent="0.25">
      <c r="A19" s="5" t="s">
        <v>76</v>
      </c>
      <c r="B19">
        <v>0.3</v>
      </c>
      <c r="C19">
        <v>1.64</v>
      </c>
      <c r="D19">
        <v>-0.83</v>
      </c>
      <c r="E19">
        <v>-0.31</v>
      </c>
      <c r="F19">
        <v>0.15</v>
      </c>
      <c r="G19">
        <v>0.72</v>
      </c>
      <c r="H19">
        <v>0.27</v>
      </c>
      <c r="I19">
        <v>-0.62</v>
      </c>
      <c r="J19">
        <v>1.01</v>
      </c>
      <c r="K19">
        <v>-0.9</v>
      </c>
    </row>
    <row r="20" spans="1:12" s="9" customFormat="1" x14ac:dyDescent="0.25">
      <c r="A20" s="5" t="s">
        <v>77</v>
      </c>
      <c r="B20">
        <v>0.89</v>
      </c>
      <c r="C20">
        <v>1.39</v>
      </c>
      <c r="D20">
        <v>2.25</v>
      </c>
      <c r="E20">
        <v>1.31</v>
      </c>
      <c r="F20">
        <v>0.94</v>
      </c>
      <c r="G20">
        <v>1.53</v>
      </c>
      <c r="H20">
        <v>2.3199999999999998</v>
      </c>
      <c r="I20">
        <v>2.36</v>
      </c>
      <c r="J20">
        <v>1.83</v>
      </c>
      <c r="K20">
        <v>2.73</v>
      </c>
      <c r="L20"/>
    </row>
    <row r="21" spans="1:12" s="9" customFormat="1" x14ac:dyDescent="0.25">
      <c r="A21" s="5" t="s">
        <v>78</v>
      </c>
      <c r="B21">
        <v>3.03</v>
      </c>
      <c r="C21">
        <v>3.85</v>
      </c>
      <c r="D21">
        <v>6.07</v>
      </c>
      <c r="E21">
        <v>4.3</v>
      </c>
      <c r="F21">
        <v>3.03</v>
      </c>
      <c r="G21">
        <v>4.4800000000000004</v>
      </c>
      <c r="H21">
        <v>1.1299999999999999</v>
      </c>
      <c r="I21">
        <v>1.31</v>
      </c>
      <c r="J21">
        <v>1.02</v>
      </c>
      <c r="K21">
        <v>2.46</v>
      </c>
      <c r="L21"/>
    </row>
    <row r="22" spans="1:12" s="9" customFormat="1" x14ac:dyDescent="0.25">
      <c r="A22" s="5" t="s">
        <v>79</v>
      </c>
      <c r="B22">
        <v>0.99</v>
      </c>
      <c r="C22">
        <v>0.87</v>
      </c>
      <c r="D22">
        <v>1.2</v>
      </c>
      <c r="E22">
        <v>1.48</v>
      </c>
      <c r="F22">
        <v>1.51</v>
      </c>
      <c r="G22">
        <v>1.51</v>
      </c>
      <c r="H22">
        <v>1.85</v>
      </c>
      <c r="I22">
        <v>2.2999999999999998</v>
      </c>
      <c r="J22">
        <v>2.2599999999999998</v>
      </c>
      <c r="K22">
        <v>3.14</v>
      </c>
      <c r="L22"/>
    </row>
    <row r="23" spans="1:12" s="9" customFormat="1" x14ac:dyDescent="0.25">
      <c r="A23" s="5" t="s">
        <v>80</v>
      </c>
      <c r="B23">
        <v>1.18</v>
      </c>
      <c r="C23">
        <v>0.93</v>
      </c>
      <c r="D23">
        <v>1.85</v>
      </c>
      <c r="E23">
        <v>1.31</v>
      </c>
      <c r="F23">
        <v>0.78</v>
      </c>
      <c r="G23">
        <v>1.48</v>
      </c>
      <c r="H23">
        <v>1.29</v>
      </c>
      <c r="I23">
        <v>1.77</v>
      </c>
      <c r="J23">
        <v>1.77</v>
      </c>
      <c r="K23">
        <v>3.48</v>
      </c>
      <c r="L23"/>
    </row>
    <row r="24" spans="1:12" s="9" customFormat="1" x14ac:dyDescent="0.25">
      <c r="A24" s="5" t="s">
        <v>81</v>
      </c>
      <c r="B24">
        <v>0.24</v>
      </c>
      <c r="C24">
        <v>0.1</v>
      </c>
      <c r="D24">
        <v>0.15</v>
      </c>
      <c r="E24">
        <v>0.64</v>
      </c>
      <c r="F24">
        <v>0.39</v>
      </c>
      <c r="G24">
        <v>0.28000000000000003</v>
      </c>
      <c r="H24">
        <v>0.2</v>
      </c>
      <c r="I24">
        <v>0.43</v>
      </c>
      <c r="J24">
        <v>0.27</v>
      </c>
      <c r="K24">
        <v>0.41</v>
      </c>
      <c r="L24"/>
    </row>
    <row r="25" spans="1:12" s="9" customFormat="1" x14ac:dyDescent="0.25">
      <c r="A25" s="9" t="s">
        <v>6</v>
      </c>
      <c r="B25">
        <v>1.68</v>
      </c>
      <c r="C25">
        <v>0.17</v>
      </c>
      <c r="D25">
        <v>0.19</v>
      </c>
      <c r="E25">
        <v>0.38</v>
      </c>
      <c r="F25">
        <v>0.46</v>
      </c>
      <c r="G25">
        <v>0.28000000000000003</v>
      </c>
      <c r="H25">
        <v>0.25</v>
      </c>
      <c r="I25">
        <v>0.39</v>
      </c>
      <c r="J25">
        <v>0.09</v>
      </c>
      <c r="K25">
        <v>0.7</v>
      </c>
      <c r="L25"/>
    </row>
    <row r="26" spans="1:12" s="9" customFormat="1" x14ac:dyDescent="0.25">
      <c r="A26" s="9" t="s">
        <v>7</v>
      </c>
      <c r="B26">
        <v>0.68</v>
      </c>
      <c r="C26">
        <v>0.72</v>
      </c>
      <c r="D26">
        <v>1.08</v>
      </c>
      <c r="E26">
        <v>1.38</v>
      </c>
      <c r="F26">
        <v>1.39</v>
      </c>
      <c r="G26">
        <v>1.38</v>
      </c>
      <c r="H26">
        <v>1.37</v>
      </c>
      <c r="I26">
        <v>1.42</v>
      </c>
      <c r="J26">
        <v>1.51</v>
      </c>
      <c r="K26">
        <v>1.83</v>
      </c>
      <c r="L26">
        <v>1.93</v>
      </c>
    </row>
    <row r="27" spans="1:12" s="9" customFormat="1" x14ac:dyDescent="0.25">
      <c r="A27" s="9" t="s">
        <v>8</v>
      </c>
      <c r="C27">
        <v>0.1</v>
      </c>
      <c r="D27">
        <v>0.65</v>
      </c>
      <c r="E27">
        <v>1.05</v>
      </c>
      <c r="F27">
        <v>0.98</v>
      </c>
      <c r="G27">
        <v>0.94</v>
      </c>
      <c r="H27">
        <v>0.86</v>
      </c>
      <c r="I27">
        <v>0.49</v>
      </c>
      <c r="J27">
        <v>0.47</v>
      </c>
      <c r="K27">
        <v>0.26</v>
      </c>
      <c r="L27">
        <v>0.21</v>
      </c>
    </row>
    <row r="28" spans="1:12" s="9" customFormat="1" x14ac:dyDescent="0.25">
      <c r="A28" s="9" t="s">
        <v>9</v>
      </c>
      <c r="B28">
        <v>4.8499999999999996</v>
      </c>
      <c r="C28">
        <v>3.89</v>
      </c>
      <c r="D28">
        <v>2.52</v>
      </c>
      <c r="E28">
        <v>-3.85</v>
      </c>
      <c r="F28">
        <v>-3.16</v>
      </c>
      <c r="G28">
        <v>0.56000000000000005</v>
      </c>
      <c r="H28">
        <v>0.72</v>
      </c>
      <c r="I28">
        <v>1.37</v>
      </c>
      <c r="J28">
        <v>0.1</v>
      </c>
      <c r="K28">
        <v>11.44</v>
      </c>
      <c r="L28">
        <v>24.82</v>
      </c>
    </row>
    <row r="29" spans="1:12" s="9" customFormat="1" x14ac:dyDescent="0.25">
      <c r="A29" s="9" t="s">
        <v>10</v>
      </c>
      <c r="B29">
        <v>1.82</v>
      </c>
      <c r="C29">
        <v>1.18</v>
      </c>
      <c r="D29">
        <v>1.43</v>
      </c>
      <c r="E29">
        <v>-1.1299999999999999</v>
      </c>
      <c r="F29">
        <v>-1.22</v>
      </c>
      <c r="G29">
        <v>0.17</v>
      </c>
      <c r="H29">
        <v>0.13</v>
      </c>
      <c r="I29">
        <v>0.51</v>
      </c>
      <c r="J29">
        <v>0.06</v>
      </c>
      <c r="K29">
        <v>3.73</v>
      </c>
      <c r="L29">
        <v>9.09</v>
      </c>
    </row>
    <row r="30" spans="1:12" s="9" customFormat="1" x14ac:dyDescent="0.25">
      <c r="A30" s="9" t="s">
        <v>11</v>
      </c>
      <c r="B30">
        <v>3.03</v>
      </c>
      <c r="C30">
        <v>2.71</v>
      </c>
      <c r="D30">
        <v>1.0900000000000001</v>
      </c>
      <c r="E30">
        <v>-2.72</v>
      </c>
      <c r="F30">
        <v>-1.94</v>
      </c>
      <c r="G30">
        <v>0.39</v>
      </c>
      <c r="H30">
        <v>0.59</v>
      </c>
      <c r="I30">
        <v>0.86</v>
      </c>
      <c r="J30">
        <v>0.05</v>
      </c>
      <c r="K30">
        <v>7.71</v>
      </c>
      <c r="L30">
        <v>15.93</v>
      </c>
    </row>
    <row r="31" spans="1:12" s="9" customFormat="1" x14ac:dyDescent="0.25">
      <c r="A31" s="9" t="s">
        <v>65</v>
      </c>
      <c r="F31">
        <v>0</v>
      </c>
      <c r="G31">
        <v>0</v>
      </c>
      <c r="H31">
        <v>0</v>
      </c>
      <c r="I31">
        <v>0</v>
      </c>
      <c r="J31">
        <v>0</v>
      </c>
      <c r="K31">
        <v>0.26</v>
      </c>
      <c r="L31">
        <v>0.26</v>
      </c>
    </row>
    <row r="32" spans="1:12" s="9" customFormat="1" x14ac:dyDescent="0.25"/>
    <row r="33" spans="1:12" x14ac:dyDescent="0.25">
      <c r="A33" s="5" t="s">
        <v>97</v>
      </c>
      <c r="C33" s="178">
        <f>C30/C17</f>
        <v>0.14437932871603623</v>
      </c>
      <c r="D33" s="178">
        <f t="shared" ref="D33:L33" si="0">D30/D17</f>
        <v>4.4708777686628391E-2</v>
      </c>
      <c r="E33" s="178">
        <f t="shared" si="0"/>
        <v>-0.22006472491909387</v>
      </c>
      <c r="F33" s="178">
        <f t="shared" si="0"/>
        <v>-0.22823529411764706</v>
      </c>
      <c r="G33" s="178">
        <f t="shared" si="0"/>
        <v>2.0408163265306124E-2</v>
      </c>
      <c r="H33" s="178">
        <f t="shared" si="0"/>
        <v>2.270977675134719E-2</v>
      </c>
      <c r="I33" s="178">
        <f t="shared" si="0"/>
        <v>3.0281690140845072E-2</v>
      </c>
      <c r="J33" s="178">
        <f t="shared" si="0"/>
        <v>2.5601638504864311E-3</v>
      </c>
      <c r="K33" s="178">
        <f t="shared" si="0"/>
        <v>0.17349234923492349</v>
      </c>
      <c r="L33" s="178">
        <f t="shared" si="0"/>
        <v>0.26054955839057897</v>
      </c>
    </row>
    <row r="34" spans="1:12" x14ac:dyDescent="0.25">
      <c r="A34" s="9"/>
      <c r="L34" s="1"/>
    </row>
    <row r="35" spans="1:12" x14ac:dyDescent="0.25">
      <c r="A35" s="9"/>
      <c r="L35" s="1"/>
    </row>
    <row r="36" spans="1:12" x14ac:dyDescent="0.25">
      <c r="A36" s="9"/>
      <c r="L36" s="1"/>
    </row>
    <row r="37" spans="1:12" x14ac:dyDescent="0.25">
      <c r="A37" s="9"/>
      <c r="L37" s="1"/>
    </row>
    <row r="38" spans="1:12" x14ac:dyDescent="0.25">
      <c r="A38" s="9"/>
    </row>
    <row r="39" spans="1:12" x14ac:dyDescent="0.25">
      <c r="A39" s="9"/>
    </row>
    <row r="40" spans="1:12" x14ac:dyDescent="0.25">
      <c r="A40" s="1" t="s">
        <v>34</v>
      </c>
    </row>
    <row r="41" spans="1:12" s="24" customFormat="1" x14ac:dyDescent="0.25">
      <c r="A41" s="23" t="s">
        <v>33</v>
      </c>
      <c r="B41" s="16">
        <v>41729</v>
      </c>
      <c r="C41" s="16">
        <v>41820</v>
      </c>
      <c r="D41" s="16">
        <v>41912</v>
      </c>
      <c r="E41" s="16">
        <v>42004</v>
      </c>
      <c r="F41" s="16">
        <v>42094</v>
      </c>
      <c r="G41" s="16">
        <v>42185</v>
      </c>
      <c r="H41" s="16">
        <v>42277</v>
      </c>
      <c r="I41" s="16">
        <v>42369</v>
      </c>
      <c r="J41" s="16">
        <v>42460</v>
      </c>
      <c r="K41" s="16">
        <v>42551</v>
      </c>
    </row>
    <row r="42" spans="1:12" s="9" customFormat="1" x14ac:dyDescent="0.25">
      <c r="A42" s="9" t="s">
        <v>3</v>
      </c>
      <c r="B42">
        <v>8.3699999999999992</v>
      </c>
      <c r="C42">
        <v>9.73</v>
      </c>
      <c r="D42">
        <v>10.029999999999999</v>
      </c>
      <c r="E42">
        <v>12.08</v>
      </c>
      <c r="F42">
        <v>13.06</v>
      </c>
      <c r="G42">
        <v>12.78</v>
      </c>
      <c r="H42">
        <v>15.32</v>
      </c>
      <c r="I42">
        <v>16.05</v>
      </c>
      <c r="J42">
        <v>18.239999999999998</v>
      </c>
      <c r="K42">
        <v>16.239999999999998</v>
      </c>
    </row>
    <row r="43" spans="1:12" s="9" customFormat="1" x14ac:dyDescent="0.25">
      <c r="A43" s="9" t="s">
        <v>4</v>
      </c>
      <c r="B43">
        <v>5.84</v>
      </c>
      <c r="C43">
        <v>7.22</v>
      </c>
      <c r="D43">
        <v>7.18</v>
      </c>
      <c r="E43">
        <v>8.16</v>
      </c>
      <c r="F43">
        <v>9.06</v>
      </c>
      <c r="G43">
        <v>7.86</v>
      </c>
      <c r="H43">
        <v>9.0399999999999991</v>
      </c>
      <c r="I43">
        <v>9.5299999999999994</v>
      </c>
      <c r="J43">
        <v>9.4</v>
      </c>
      <c r="K43">
        <v>9.73</v>
      </c>
    </row>
    <row r="44" spans="1:12" s="9" customFormat="1" x14ac:dyDescent="0.25">
      <c r="A44" s="9" t="s">
        <v>6</v>
      </c>
      <c r="D44">
        <v>0.08</v>
      </c>
      <c r="E44">
        <v>0.17</v>
      </c>
      <c r="H44">
        <v>0.41</v>
      </c>
    </row>
    <row r="45" spans="1:12" s="9" customFormat="1" x14ac:dyDescent="0.25">
      <c r="A45" s="9" t="s">
        <v>7</v>
      </c>
      <c r="B45">
        <v>0.39</v>
      </c>
      <c r="C45">
        <v>0.52</v>
      </c>
      <c r="D45">
        <v>0.43</v>
      </c>
      <c r="E45">
        <v>0.48</v>
      </c>
      <c r="F45">
        <v>0.41</v>
      </c>
      <c r="G45">
        <v>0.47</v>
      </c>
      <c r="H45">
        <v>0.48</v>
      </c>
      <c r="I45">
        <v>0.49</v>
      </c>
      <c r="J45">
        <v>0.5</v>
      </c>
      <c r="K45">
        <v>0.49</v>
      </c>
    </row>
    <row r="46" spans="1:12" s="9" customFormat="1" x14ac:dyDescent="0.25">
      <c r="A46" s="9" t="s">
        <v>8</v>
      </c>
      <c r="B46">
        <v>0.11</v>
      </c>
      <c r="C46">
        <v>0.11</v>
      </c>
      <c r="D46">
        <v>0.08</v>
      </c>
      <c r="E46">
        <v>0.03</v>
      </c>
      <c r="F46">
        <v>0.05</v>
      </c>
      <c r="G46">
        <v>0.05</v>
      </c>
      <c r="H46">
        <v>0.06</v>
      </c>
      <c r="I46">
        <v>0.02</v>
      </c>
      <c r="J46">
        <v>0.08</v>
      </c>
      <c r="K46">
        <v>0.02</v>
      </c>
    </row>
    <row r="47" spans="1:12" s="9" customFormat="1" x14ac:dyDescent="0.25">
      <c r="A47" s="9" t="s">
        <v>9</v>
      </c>
      <c r="B47">
        <v>2.0499999999999998</v>
      </c>
      <c r="C47">
        <v>1.89</v>
      </c>
      <c r="D47">
        <v>2.42</v>
      </c>
      <c r="E47">
        <v>3.58</v>
      </c>
      <c r="F47">
        <v>3.54</v>
      </c>
      <c r="G47">
        <v>4.4000000000000004</v>
      </c>
      <c r="H47">
        <v>6.15</v>
      </c>
      <c r="I47">
        <v>6.01</v>
      </c>
      <c r="J47">
        <v>8.26</v>
      </c>
      <c r="K47">
        <v>6</v>
      </c>
    </row>
    <row r="48" spans="1:12" s="9" customFormat="1" x14ac:dyDescent="0.25">
      <c r="A48" s="9" t="s">
        <v>10</v>
      </c>
      <c r="B48">
        <v>0.06</v>
      </c>
      <c r="D48">
        <v>0.71</v>
      </c>
      <c r="E48">
        <v>0.75</v>
      </c>
      <c r="F48">
        <v>2.2799999999999998</v>
      </c>
      <c r="G48">
        <v>1.39</v>
      </c>
      <c r="H48">
        <v>2.04</v>
      </c>
      <c r="I48">
        <v>1.82</v>
      </c>
      <c r="J48">
        <v>3.65</v>
      </c>
      <c r="K48">
        <v>2.17</v>
      </c>
    </row>
    <row r="49" spans="1:21" s="9" customFormat="1" x14ac:dyDescent="0.25">
      <c r="A49" s="9" t="s">
        <v>11</v>
      </c>
      <c r="B49">
        <v>1.99</v>
      </c>
      <c r="C49">
        <v>1.89</v>
      </c>
      <c r="D49">
        <v>1.72</v>
      </c>
      <c r="E49">
        <v>2.82</v>
      </c>
      <c r="F49">
        <v>1.27</v>
      </c>
      <c r="G49">
        <v>3.02</v>
      </c>
      <c r="H49">
        <v>4.1100000000000003</v>
      </c>
      <c r="I49">
        <v>4.1900000000000004</v>
      </c>
      <c r="J49">
        <v>4.62</v>
      </c>
      <c r="K49">
        <v>3.83</v>
      </c>
    </row>
    <row r="50" spans="1:21" x14ac:dyDescent="0.25">
      <c r="A50" s="9" t="s">
        <v>5</v>
      </c>
      <c r="B50">
        <v>2.5299999999999998</v>
      </c>
      <c r="C50">
        <v>2.5099999999999998</v>
      </c>
      <c r="D50">
        <v>2.85</v>
      </c>
      <c r="E50">
        <v>3.92</v>
      </c>
      <c r="F50">
        <v>4</v>
      </c>
      <c r="G50">
        <v>4.92</v>
      </c>
      <c r="H50">
        <v>6.28</v>
      </c>
      <c r="I50">
        <v>6.52</v>
      </c>
      <c r="J50">
        <v>8.84</v>
      </c>
      <c r="K50">
        <v>6.51</v>
      </c>
    </row>
    <row r="51" spans="1:21" x14ac:dyDescent="0.25">
      <c r="A51" s="9"/>
    </row>
    <row r="52" spans="1:21" x14ac:dyDescent="0.25">
      <c r="A52" s="5" t="s">
        <v>53</v>
      </c>
      <c r="B52" s="5">
        <f>B49/$B$6</f>
        <v>1.7895754296836341</v>
      </c>
      <c r="C52" s="5">
        <f t="shared" ref="C52:K52" si="1">C49/$B$6</f>
        <v>1.6996470161316928</v>
      </c>
      <c r="D52" s="5">
        <f t="shared" si="1"/>
        <v>1.5467687130933925</v>
      </c>
      <c r="E52" s="5">
        <f t="shared" si="1"/>
        <v>2.5359812621647477</v>
      </c>
      <c r="F52" s="5">
        <f t="shared" si="1"/>
        <v>1.142090852109656</v>
      </c>
      <c r="G52" s="5">
        <f t="shared" si="1"/>
        <v>2.7158380892686309</v>
      </c>
      <c r="H52" s="5">
        <f t="shared" si="1"/>
        <v>3.6960577969847925</v>
      </c>
      <c r="I52" s="5">
        <f t="shared" si="1"/>
        <v>3.768000527826346</v>
      </c>
      <c r="J52" s="5">
        <f t="shared" si="1"/>
        <v>4.1546927060996932</v>
      </c>
      <c r="K52" s="5">
        <f t="shared" si="1"/>
        <v>3.4442582390393564</v>
      </c>
    </row>
    <row r="53" spans="1:21" x14ac:dyDescent="0.25">
      <c r="A53" s="9"/>
    </row>
    <row r="54" spans="1:21" x14ac:dyDescent="0.25">
      <c r="A54" s="9"/>
    </row>
    <row r="55" spans="1:21" x14ac:dyDescent="0.25">
      <c r="A55" s="1" t="s">
        <v>35</v>
      </c>
    </row>
    <row r="56" spans="1:21" s="24" customFormat="1" x14ac:dyDescent="0.25">
      <c r="A56" s="23" t="s">
        <v>33</v>
      </c>
      <c r="B56" s="16">
        <v>38807</v>
      </c>
      <c r="C56" s="16">
        <v>39172</v>
      </c>
      <c r="D56" s="16">
        <v>39538</v>
      </c>
      <c r="E56" s="16">
        <v>39903</v>
      </c>
      <c r="F56" s="16">
        <v>40268</v>
      </c>
      <c r="G56" s="16">
        <v>40633</v>
      </c>
      <c r="H56" s="16">
        <v>40999</v>
      </c>
      <c r="I56" s="16">
        <v>41364</v>
      </c>
      <c r="J56" s="16">
        <v>41729</v>
      </c>
      <c r="K56" s="16">
        <v>42094</v>
      </c>
      <c r="L56" s="16">
        <v>42460</v>
      </c>
    </row>
    <row r="57" spans="1:21" x14ac:dyDescent="0.25">
      <c r="A57" s="9" t="s">
        <v>19</v>
      </c>
      <c r="B57">
        <v>6.77</v>
      </c>
      <c r="C57">
        <v>7.43</v>
      </c>
      <c r="D57">
        <v>7.87</v>
      </c>
      <c r="E57">
        <v>7.87</v>
      </c>
      <c r="F57">
        <v>8.4700000000000006</v>
      </c>
      <c r="G57">
        <v>8.9700000000000006</v>
      </c>
      <c r="H57">
        <v>9.7100000000000009</v>
      </c>
      <c r="I57">
        <v>11.12</v>
      </c>
      <c r="J57">
        <v>11.12</v>
      </c>
      <c r="K57">
        <v>11.12</v>
      </c>
      <c r="L57">
        <v>11.12</v>
      </c>
      <c r="M57" s="1"/>
      <c r="N57" s="1"/>
      <c r="O57" s="1"/>
      <c r="P57" s="1"/>
      <c r="Q57" s="1"/>
      <c r="R57" s="1"/>
      <c r="S57" s="1"/>
      <c r="T57" s="1"/>
      <c r="U57" s="1"/>
    </row>
    <row r="58" spans="1:21" x14ac:dyDescent="0.25">
      <c r="A58" s="9" t="s">
        <v>20</v>
      </c>
      <c r="B58">
        <v>3.45</v>
      </c>
      <c r="C58">
        <v>7.71</v>
      </c>
      <c r="D58">
        <v>9.83</v>
      </c>
      <c r="E58">
        <v>7.11</v>
      </c>
      <c r="F58">
        <v>5.55</v>
      </c>
      <c r="G58">
        <v>5.96</v>
      </c>
      <c r="H58">
        <v>6.58</v>
      </c>
      <c r="I58">
        <v>7.44</v>
      </c>
      <c r="J58">
        <v>7.49</v>
      </c>
      <c r="K58">
        <v>13.08</v>
      </c>
      <c r="L58">
        <v>25.01</v>
      </c>
      <c r="M58" s="1"/>
      <c r="N58" s="1"/>
      <c r="O58" s="1"/>
      <c r="P58" s="1"/>
      <c r="Q58" s="1"/>
      <c r="R58" s="1"/>
      <c r="S58" s="1"/>
      <c r="T58" s="1"/>
      <c r="U58" s="1"/>
    </row>
    <row r="59" spans="1:21" x14ac:dyDescent="0.25">
      <c r="A59" s="9" t="s">
        <v>66</v>
      </c>
      <c r="B59">
        <v>1.24</v>
      </c>
      <c r="C59">
        <v>4.09</v>
      </c>
      <c r="D59">
        <v>5.72</v>
      </c>
      <c r="E59">
        <v>7.93</v>
      </c>
      <c r="F59">
        <v>7.18</v>
      </c>
      <c r="G59">
        <v>6.03</v>
      </c>
      <c r="H59">
        <v>4.8899999999999997</v>
      </c>
      <c r="I59">
        <v>2.5</v>
      </c>
      <c r="J59">
        <v>3.25</v>
      </c>
      <c r="K59">
        <v>2.19</v>
      </c>
      <c r="L59">
        <v>0</v>
      </c>
      <c r="M59" s="1"/>
      <c r="N59" s="1"/>
      <c r="O59" s="1"/>
      <c r="P59" s="1"/>
      <c r="Q59" s="1"/>
      <c r="R59" s="1"/>
      <c r="S59" s="1"/>
      <c r="T59" s="1"/>
      <c r="U59" s="1"/>
    </row>
    <row r="60" spans="1:21" x14ac:dyDescent="0.25">
      <c r="A60" s="9" t="s">
        <v>67</v>
      </c>
      <c r="B60">
        <v>5.43</v>
      </c>
      <c r="C60">
        <v>5.07</v>
      </c>
      <c r="D60">
        <v>4.4400000000000004</v>
      </c>
      <c r="E60">
        <v>6.48</v>
      </c>
      <c r="F60">
        <v>5.85</v>
      </c>
      <c r="G60">
        <v>5.84</v>
      </c>
      <c r="H60">
        <v>6.86</v>
      </c>
      <c r="I60">
        <v>4.78</v>
      </c>
      <c r="J60">
        <v>5.7</v>
      </c>
      <c r="K60">
        <v>8.59</v>
      </c>
      <c r="L60">
        <v>14</v>
      </c>
      <c r="M60" s="1"/>
      <c r="N60" s="1"/>
      <c r="O60" s="1"/>
      <c r="P60" s="1"/>
      <c r="Q60" s="1"/>
      <c r="R60" s="1"/>
      <c r="S60" s="1"/>
      <c r="T60" s="1"/>
      <c r="U60" s="1"/>
    </row>
    <row r="61" spans="1:21" s="1" customFormat="1" x14ac:dyDescent="0.25">
      <c r="A61" s="1" t="s">
        <v>21</v>
      </c>
      <c r="B61">
        <v>16.89</v>
      </c>
      <c r="C61">
        <v>24.3</v>
      </c>
      <c r="D61">
        <v>27.86</v>
      </c>
      <c r="E61">
        <v>29.39</v>
      </c>
      <c r="F61">
        <v>27.05</v>
      </c>
      <c r="G61">
        <v>26.8</v>
      </c>
      <c r="H61">
        <v>28.04</v>
      </c>
      <c r="I61">
        <v>25.84</v>
      </c>
      <c r="J61">
        <v>27.56</v>
      </c>
      <c r="K61">
        <v>34.979999999999997</v>
      </c>
      <c r="L61">
        <v>50.58</v>
      </c>
    </row>
    <row r="62" spans="1:21" x14ac:dyDescent="0.25">
      <c r="A62" s="9" t="s">
        <v>22</v>
      </c>
      <c r="B62">
        <v>9.14</v>
      </c>
      <c r="C62">
        <v>13.4</v>
      </c>
      <c r="D62">
        <v>17.75</v>
      </c>
      <c r="E62">
        <v>20.38</v>
      </c>
      <c r="F62">
        <v>19.05</v>
      </c>
      <c r="G62">
        <v>17.850000000000001</v>
      </c>
      <c r="H62">
        <v>16.78</v>
      </c>
      <c r="I62">
        <v>17.2</v>
      </c>
      <c r="J62">
        <v>16.28</v>
      </c>
      <c r="K62">
        <v>15.61</v>
      </c>
      <c r="L62">
        <v>15.55</v>
      </c>
      <c r="M62" s="1"/>
      <c r="N62" s="1"/>
      <c r="O62" s="1"/>
      <c r="P62" s="1"/>
      <c r="Q62" s="1"/>
      <c r="R62" s="1"/>
      <c r="S62" s="1"/>
      <c r="T62" s="1"/>
      <c r="U62" s="1"/>
    </row>
    <row r="63" spans="1:21" x14ac:dyDescent="0.25">
      <c r="A63" s="9" t="s">
        <v>23</v>
      </c>
      <c r="C63">
        <v>0.21</v>
      </c>
      <c r="D63">
        <v>0.73</v>
      </c>
      <c r="H63">
        <v>7.0000000000000007E-2</v>
      </c>
      <c r="L63"/>
      <c r="M63" s="1"/>
      <c r="N63" s="1"/>
      <c r="O63" s="1"/>
      <c r="P63" s="1"/>
      <c r="Q63" s="1"/>
      <c r="R63" s="1"/>
      <c r="S63" s="1"/>
      <c r="T63" s="1"/>
      <c r="U63" s="1"/>
    </row>
    <row r="64" spans="1:21" x14ac:dyDescent="0.25">
      <c r="A64" s="9" t="s">
        <v>24</v>
      </c>
      <c r="B64">
        <v>0.82</v>
      </c>
      <c r="C64">
        <v>2.4</v>
      </c>
      <c r="D64">
        <v>0.97</v>
      </c>
      <c r="E64">
        <v>0.41</v>
      </c>
      <c r="F64">
        <v>0.08</v>
      </c>
      <c r="G64">
        <v>0.31</v>
      </c>
      <c r="H64">
        <v>0.47</v>
      </c>
      <c r="I64">
        <v>0.15</v>
      </c>
      <c r="J64">
        <v>7.0000000000000007E-2</v>
      </c>
      <c r="K64">
        <v>0.06</v>
      </c>
      <c r="L64">
        <v>0.06</v>
      </c>
      <c r="M64" s="1"/>
      <c r="N64" s="1"/>
      <c r="O64" s="1"/>
      <c r="P64" s="1"/>
      <c r="Q64" s="1"/>
      <c r="R64" s="1"/>
      <c r="S64" s="1"/>
      <c r="T64" s="1"/>
      <c r="U64" s="1"/>
    </row>
    <row r="65" spans="1:21" x14ac:dyDescent="0.25">
      <c r="A65" s="9" t="s">
        <v>68</v>
      </c>
      <c r="B65">
        <v>6.93</v>
      </c>
      <c r="C65">
        <v>8.2899999999999991</v>
      </c>
      <c r="D65">
        <v>8.41</v>
      </c>
      <c r="E65">
        <v>8.6</v>
      </c>
      <c r="F65">
        <v>7.92</v>
      </c>
      <c r="G65">
        <v>8.64</v>
      </c>
      <c r="H65">
        <v>10.72</v>
      </c>
      <c r="I65">
        <v>8.49</v>
      </c>
      <c r="J65">
        <v>11.21</v>
      </c>
      <c r="K65">
        <v>19.309999999999999</v>
      </c>
      <c r="L65">
        <v>35</v>
      </c>
      <c r="M65" s="1"/>
      <c r="N65" s="1"/>
      <c r="O65" s="1"/>
      <c r="P65" s="1"/>
      <c r="Q65" s="1"/>
      <c r="R65" s="1"/>
      <c r="S65" s="1"/>
      <c r="T65" s="1"/>
      <c r="U65" s="1"/>
    </row>
    <row r="66" spans="1:21" s="1" customFormat="1" x14ac:dyDescent="0.25">
      <c r="A66" s="1" t="s">
        <v>21</v>
      </c>
      <c r="B66">
        <v>16.89</v>
      </c>
      <c r="C66">
        <v>24.3</v>
      </c>
      <c r="D66">
        <v>27.86</v>
      </c>
      <c r="E66">
        <v>29.39</v>
      </c>
      <c r="F66">
        <v>27.05</v>
      </c>
      <c r="G66">
        <v>26.8</v>
      </c>
      <c r="H66">
        <v>28.04</v>
      </c>
      <c r="I66">
        <v>25.84</v>
      </c>
      <c r="J66">
        <v>27.56</v>
      </c>
      <c r="K66">
        <v>34.979999999999997</v>
      </c>
      <c r="L66">
        <v>50.58</v>
      </c>
    </row>
    <row r="67" spans="1:21" s="9" customFormat="1" x14ac:dyDescent="0.25">
      <c r="A67" s="9" t="s">
        <v>73</v>
      </c>
      <c r="B67">
        <v>2.69</v>
      </c>
      <c r="C67">
        <v>3.25</v>
      </c>
      <c r="D67">
        <v>0.75</v>
      </c>
      <c r="E67">
        <v>3.09</v>
      </c>
      <c r="F67">
        <v>1.69</v>
      </c>
      <c r="G67">
        <v>1.87</v>
      </c>
      <c r="H67">
        <v>2.7</v>
      </c>
      <c r="I67">
        <v>1.28</v>
      </c>
      <c r="J67">
        <v>3.17</v>
      </c>
      <c r="K67">
        <v>8.18</v>
      </c>
      <c r="L67">
        <v>13.27</v>
      </c>
      <c r="M67" s="1"/>
      <c r="N67" s="1"/>
      <c r="O67" s="1"/>
      <c r="P67" s="1"/>
      <c r="Q67" s="1"/>
      <c r="R67" s="1"/>
      <c r="S67" s="1"/>
      <c r="T67" s="1"/>
      <c r="U67" s="1"/>
    </row>
    <row r="68" spans="1:21" x14ac:dyDescent="0.25">
      <c r="A68" s="9" t="s">
        <v>40</v>
      </c>
      <c r="B68">
        <v>1.23</v>
      </c>
      <c r="C68">
        <v>2.97</v>
      </c>
      <c r="D68">
        <v>2.3199999999999998</v>
      </c>
      <c r="E68">
        <v>2.09</v>
      </c>
      <c r="F68">
        <v>1.99</v>
      </c>
      <c r="G68">
        <v>2.94</v>
      </c>
      <c r="H68">
        <v>3.95</v>
      </c>
      <c r="I68">
        <v>2.97</v>
      </c>
      <c r="J68">
        <v>4.71</v>
      </c>
      <c r="K68">
        <v>3.47</v>
      </c>
      <c r="L68" s="5">
        <v>3.42</v>
      </c>
      <c r="M68" s="1"/>
      <c r="N68" s="1"/>
      <c r="O68" s="1"/>
      <c r="P68" s="1"/>
      <c r="Q68" s="1"/>
      <c r="R68" s="1"/>
      <c r="S68" s="1"/>
      <c r="T68" s="1"/>
      <c r="U68" s="1"/>
    </row>
    <row r="69" spans="1:21" x14ac:dyDescent="0.25">
      <c r="A69" s="5" t="s">
        <v>82</v>
      </c>
      <c r="B69">
        <v>0.62</v>
      </c>
      <c r="C69">
        <v>0.08</v>
      </c>
      <c r="D69">
        <v>1.67</v>
      </c>
      <c r="E69">
        <v>0.28000000000000003</v>
      </c>
      <c r="F69">
        <v>0.15</v>
      </c>
      <c r="G69">
        <v>0.18</v>
      </c>
      <c r="H69">
        <v>0.24</v>
      </c>
      <c r="I69">
        <v>0.39</v>
      </c>
      <c r="J69">
        <v>0.25</v>
      </c>
      <c r="K69">
        <v>3.2</v>
      </c>
      <c r="L69">
        <v>9.19</v>
      </c>
      <c r="M69" s="1"/>
      <c r="N69" s="1"/>
      <c r="O69" s="1"/>
      <c r="P69" s="1"/>
      <c r="Q69" s="1"/>
      <c r="R69" s="1"/>
      <c r="S69" s="1"/>
      <c r="T69" s="1"/>
      <c r="U69" s="1"/>
    </row>
    <row r="70" spans="1:21" x14ac:dyDescent="0.25">
      <c r="A70" s="5" t="s">
        <v>69</v>
      </c>
      <c r="B70">
        <v>6772600</v>
      </c>
      <c r="C70">
        <v>7432600</v>
      </c>
      <c r="D70">
        <v>7872600</v>
      </c>
      <c r="E70">
        <v>7872600</v>
      </c>
      <c r="F70">
        <v>8465000</v>
      </c>
      <c r="G70">
        <v>8972900</v>
      </c>
      <c r="H70">
        <v>9710000</v>
      </c>
      <c r="I70">
        <v>11115000</v>
      </c>
      <c r="J70">
        <v>11115000</v>
      </c>
      <c r="K70">
        <v>11115000</v>
      </c>
      <c r="L70">
        <v>11115000</v>
      </c>
      <c r="M70" s="1"/>
      <c r="N70" s="1"/>
      <c r="O70" s="1"/>
      <c r="P70" s="1"/>
      <c r="Q70" s="1"/>
      <c r="R70" s="1"/>
      <c r="S70" s="1"/>
      <c r="T70" s="1"/>
      <c r="U70" s="1"/>
    </row>
    <row r="71" spans="1:21" x14ac:dyDescent="0.25">
      <c r="A71" s="5" t="s">
        <v>70</v>
      </c>
      <c r="M71" s="1"/>
      <c r="N71" s="1"/>
      <c r="O71" s="1"/>
      <c r="P71" s="1"/>
      <c r="Q71" s="1"/>
      <c r="R71" s="1"/>
      <c r="S71" s="1"/>
      <c r="T71" s="1"/>
      <c r="U71" s="1"/>
    </row>
    <row r="72" spans="1:21" x14ac:dyDescent="0.25">
      <c r="A72" s="5" t="s">
        <v>83</v>
      </c>
      <c r="B72">
        <v>10</v>
      </c>
      <c r="C72">
        <v>10</v>
      </c>
      <c r="D72">
        <v>10</v>
      </c>
      <c r="E72">
        <v>10</v>
      </c>
      <c r="F72">
        <v>10</v>
      </c>
      <c r="G72">
        <v>10</v>
      </c>
      <c r="H72">
        <v>10</v>
      </c>
      <c r="I72">
        <v>10</v>
      </c>
      <c r="J72">
        <v>10</v>
      </c>
      <c r="K72">
        <v>10</v>
      </c>
      <c r="L72">
        <v>10</v>
      </c>
      <c r="M72" s="1"/>
      <c r="N72" s="1"/>
      <c r="O72" s="1"/>
      <c r="P72" s="1"/>
      <c r="Q72" s="1"/>
      <c r="R72" s="1"/>
      <c r="S72" s="1"/>
      <c r="T72" s="1"/>
      <c r="U72" s="1"/>
    </row>
    <row r="74" spans="1:21" x14ac:dyDescent="0.25">
      <c r="A74" s="9"/>
    </row>
    <row r="75" spans="1:21" x14ac:dyDescent="0.25">
      <c r="A75" s="9"/>
    </row>
    <row r="76" spans="1:21" x14ac:dyDescent="0.25">
      <c r="A76" s="9"/>
    </row>
    <row r="77" spans="1:21" x14ac:dyDescent="0.25">
      <c r="A77" s="9"/>
    </row>
    <row r="78" spans="1:21" x14ac:dyDescent="0.25">
      <c r="A78" s="9"/>
    </row>
    <row r="79" spans="1:21" x14ac:dyDescent="0.25">
      <c r="A79" s="9"/>
    </row>
    <row r="80" spans="1:21" x14ac:dyDescent="0.25">
      <c r="A80" s="1" t="s">
        <v>36</v>
      </c>
    </row>
    <row r="81" spans="1:12" s="24" customFormat="1" x14ac:dyDescent="0.25">
      <c r="A81" s="23" t="s">
        <v>33</v>
      </c>
      <c r="B81" s="16">
        <v>38807</v>
      </c>
      <c r="C81" s="16">
        <v>39172</v>
      </c>
      <c r="D81" s="16">
        <v>39538</v>
      </c>
      <c r="E81" s="16">
        <v>39903</v>
      </c>
      <c r="F81" s="16">
        <v>40268</v>
      </c>
      <c r="G81" s="16">
        <v>40633</v>
      </c>
      <c r="H81" s="16">
        <v>40999</v>
      </c>
      <c r="I81" s="16">
        <v>41364</v>
      </c>
      <c r="J81" s="16">
        <v>41729</v>
      </c>
      <c r="K81" s="16">
        <v>42094</v>
      </c>
      <c r="L81" s="16">
        <v>42460</v>
      </c>
    </row>
    <row r="82" spans="1:12" s="1" customFormat="1" x14ac:dyDescent="0.25">
      <c r="A82" s="9" t="s">
        <v>27</v>
      </c>
      <c r="B82">
        <v>2.48</v>
      </c>
      <c r="C82">
        <v>1.41</v>
      </c>
      <c r="D82">
        <v>3.89</v>
      </c>
      <c r="E82">
        <v>0.45</v>
      </c>
      <c r="F82">
        <v>0.64</v>
      </c>
      <c r="G82">
        <v>1.46</v>
      </c>
      <c r="H82">
        <v>1.91</v>
      </c>
      <c r="I82">
        <v>1.91</v>
      </c>
      <c r="J82">
        <v>-0.28999999999999998</v>
      </c>
      <c r="K82">
        <v>6.85</v>
      </c>
      <c r="L82" s="1">
        <v>14</v>
      </c>
    </row>
    <row r="83" spans="1:12" s="9" customFormat="1" x14ac:dyDescent="0.25">
      <c r="A83" s="9" t="s">
        <v>28</v>
      </c>
      <c r="B83">
        <v>-0.92</v>
      </c>
      <c r="C83">
        <v>-6.73</v>
      </c>
      <c r="D83">
        <v>-4.57</v>
      </c>
      <c r="E83">
        <v>-3.1</v>
      </c>
      <c r="F83">
        <v>0.08</v>
      </c>
      <c r="G83">
        <v>-0.35</v>
      </c>
      <c r="H83">
        <v>-0.49</v>
      </c>
      <c r="I83">
        <v>-0.48</v>
      </c>
      <c r="J83">
        <v>-0.11</v>
      </c>
      <c r="K83">
        <v>-1.25</v>
      </c>
      <c r="L83" s="9">
        <v>-2</v>
      </c>
    </row>
    <row r="84" spans="1:12" s="9" customFormat="1" x14ac:dyDescent="0.25">
      <c r="A84" s="9" t="s">
        <v>29</v>
      </c>
      <c r="B84">
        <v>-2.95</v>
      </c>
      <c r="C84">
        <v>4.74</v>
      </c>
      <c r="D84">
        <v>2.31</v>
      </c>
      <c r="E84">
        <v>1.26</v>
      </c>
      <c r="F84">
        <v>-0.85</v>
      </c>
      <c r="G84">
        <v>-1.0900000000000001</v>
      </c>
      <c r="H84">
        <v>-1.35</v>
      </c>
      <c r="I84">
        <v>-1.36</v>
      </c>
      <c r="J84">
        <v>0.69</v>
      </c>
      <c r="K84">
        <v>-2.65</v>
      </c>
      <c r="L84" s="9">
        <v>-3</v>
      </c>
    </row>
    <row r="85" spans="1:12" s="1" customFormat="1" x14ac:dyDescent="0.25">
      <c r="A85" s="9" t="s">
        <v>30</v>
      </c>
      <c r="B85">
        <v>-1.39</v>
      </c>
      <c r="C85">
        <v>-0.57999999999999996</v>
      </c>
      <c r="D85">
        <v>1.63</v>
      </c>
      <c r="E85">
        <v>-1.39</v>
      </c>
      <c r="F85">
        <v>-0.13</v>
      </c>
      <c r="G85">
        <v>0.02</v>
      </c>
      <c r="H85">
        <v>7.0000000000000007E-2</v>
      </c>
      <c r="I85">
        <v>7.0000000000000007E-2</v>
      </c>
      <c r="J85">
        <v>0.28999999999999998</v>
      </c>
      <c r="K85">
        <v>2.95</v>
      </c>
      <c r="L85" s="1">
        <v>9</v>
      </c>
    </row>
    <row r="86" spans="1:12" x14ac:dyDescent="0.25">
      <c r="A86" s="9"/>
    </row>
    <row r="87" spans="1:12" x14ac:dyDescent="0.25">
      <c r="A87" s="9"/>
    </row>
    <row r="88" spans="1:12" x14ac:dyDescent="0.25">
      <c r="A88" s="9"/>
    </row>
    <row r="89" spans="1:12" x14ac:dyDescent="0.25">
      <c r="A89" s="9"/>
    </row>
    <row r="90" spans="1:12" s="1" customFormat="1" x14ac:dyDescent="0.25">
      <c r="A90" s="1" t="s">
        <v>72</v>
      </c>
      <c r="B90">
        <v>23.48</v>
      </c>
      <c r="C90">
        <v>47.32</v>
      </c>
      <c r="D90">
        <v>17.940000000000001</v>
      </c>
      <c r="E90">
        <v>6.19</v>
      </c>
      <c r="F90">
        <v>10.24</v>
      </c>
      <c r="G90">
        <v>8.16</v>
      </c>
      <c r="H90">
        <v>6.75</v>
      </c>
      <c r="I90">
        <v>9.27</v>
      </c>
      <c r="J90">
        <v>9.89</v>
      </c>
      <c r="K90">
        <v>100.07</v>
      </c>
      <c r="L90" s="1">
        <v>273</v>
      </c>
    </row>
    <row r="92" spans="1:12" s="1" customFormat="1" x14ac:dyDescent="0.25">
      <c r="A92" s="1" t="s">
        <v>71</v>
      </c>
    </row>
    <row r="93" spans="1:12" x14ac:dyDescent="0.25">
      <c r="A93" s="5" t="s">
        <v>84</v>
      </c>
      <c r="B93" s="31">
        <f>IF($B7&gt;0,(B70*B72/$B7)+SUM(C71:$K71),0)/10000000</f>
        <v>0.67725999999999997</v>
      </c>
      <c r="C93" s="31">
        <f>IF($B7&gt;0,(C70*C72/$B7)+SUM(D71:$K71),0)/10000000</f>
        <v>0.74326000000000003</v>
      </c>
      <c r="D93" s="31">
        <f>IF($B7&gt;0,(D70*D72/$B7)+SUM(E71:$K71),0)/10000000</f>
        <v>0.78725999999999996</v>
      </c>
      <c r="E93" s="31">
        <f>IF($B7&gt;0,(E70*E72/$B7)+SUM(F71:$K71),0)/10000000</f>
        <v>0.78725999999999996</v>
      </c>
      <c r="F93" s="31">
        <f>IF($B7&gt;0,(F70*F72/$B7)+SUM(G71:$K71),0)/10000000</f>
        <v>0.84650000000000003</v>
      </c>
      <c r="G93" s="31">
        <f>IF($B7&gt;0,(G70*G72/$B7)+SUM(H71:$K71),0)/10000000</f>
        <v>0.89729000000000003</v>
      </c>
      <c r="H93" s="31">
        <f>IF($B7&gt;0,(H70*H72/$B7)+SUM(I71:$K71),0)/10000000</f>
        <v>0.97099999999999997</v>
      </c>
      <c r="I93" s="31">
        <f>IF($B7&gt;0,(I70*I72/$B7)+SUM(J71:$K71),0)/10000000</f>
        <v>1.1114999999999999</v>
      </c>
      <c r="J93" s="31">
        <f>IF($B7&gt;0,(J70*J72/$B7)+SUM(K71:$K71),0)/10000000</f>
        <v>1.1114999999999999</v>
      </c>
      <c r="K93" s="31">
        <f>IF($B7&gt;0,(K70*K72/$B7),0)/10000000</f>
        <v>1.1114999999999999</v>
      </c>
      <c r="L93" s="31">
        <f>IF($B7&gt;0,(L70*L72/$B7),0)/10000000</f>
        <v>1.1114999999999999</v>
      </c>
    </row>
  </sheetData>
  <mergeCells count="2">
    <mergeCell ref="E1:K1"/>
    <mergeCell ref="E2:K2"/>
  </mergeCells>
  <conditionalFormatting sqref="E1:K1">
    <cfRule type="cellIs" dxfId="1"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2"/>
  <sheetViews>
    <sheetView workbookViewId="0">
      <selection activeCell="A23" sqref="A23"/>
    </sheetView>
  </sheetViews>
  <sheetFormatPr defaultRowHeight="15" x14ac:dyDescent="0.25"/>
  <cols>
    <col min="1" max="1" width="194.140625" customWidth="1"/>
  </cols>
  <sheetData>
    <row r="1" spans="1:1" x14ac:dyDescent="0.25">
      <c r="A1" t="s">
        <v>832</v>
      </c>
    </row>
    <row r="2" spans="1:1" x14ac:dyDescent="0.25">
      <c r="A2" t="s">
        <v>833</v>
      </c>
    </row>
    <row r="3" spans="1:1" x14ac:dyDescent="0.25">
      <c r="A3" t="s">
        <v>834</v>
      </c>
    </row>
    <row r="4" spans="1:1" x14ac:dyDescent="0.25">
      <c r="A4" t="s">
        <v>835</v>
      </c>
    </row>
    <row r="5" spans="1:1" x14ac:dyDescent="0.25">
      <c r="A5" t="s">
        <v>836</v>
      </c>
    </row>
    <row r="6" spans="1:1" x14ac:dyDescent="0.25">
      <c r="A6" t="s">
        <v>837</v>
      </c>
    </row>
    <row r="8" spans="1:1" x14ac:dyDescent="0.25">
      <c r="A8" t="s">
        <v>838</v>
      </c>
    </row>
    <row r="9" spans="1:1" x14ac:dyDescent="0.25">
      <c r="A9" t="s">
        <v>839</v>
      </c>
    </row>
    <row r="11" spans="1:1" x14ac:dyDescent="0.25">
      <c r="A11" t="s">
        <v>840</v>
      </c>
    </row>
    <row r="14" spans="1:1" x14ac:dyDescent="0.25">
      <c r="A14" t="s">
        <v>841</v>
      </c>
    </row>
    <row r="16" spans="1:1" x14ac:dyDescent="0.25">
      <c r="A16" t="s">
        <v>842</v>
      </c>
    </row>
    <row r="17" spans="1:1" x14ac:dyDescent="0.25">
      <c r="A17" t="s">
        <v>843</v>
      </c>
    </row>
    <row r="18" spans="1:1" x14ac:dyDescent="0.25">
      <c r="A18" t="s">
        <v>844</v>
      </c>
    </row>
    <row r="21" spans="1:1" x14ac:dyDescent="0.25">
      <c r="A21" t="s">
        <v>845</v>
      </c>
    </row>
    <row r="22" spans="1:1" x14ac:dyDescent="0.25">
      <c r="A22" t="s">
        <v>846</v>
      </c>
    </row>
    <row r="23" spans="1:1" x14ac:dyDescent="0.25">
      <c r="A23" t="s">
        <v>847</v>
      </c>
    </row>
    <row r="24" spans="1:1" x14ac:dyDescent="0.25">
      <c r="A24" t="s">
        <v>848</v>
      </c>
    </row>
    <row r="25" spans="1:1" x14ac:dyDescent="0.25">
      <c r="A25" t="s">
        <v>849</v>
      </c>
    </row>
    <row r="26" spans="1:1" x14ac:dyDescent="0.25">
      <c r="A26" t="s">
        <v>850</v>
      </c>
    </row>
    <row r="29" spans="1:1" x14ac:dyDescent="0.25">
      <c r="A29" t="s">
        <v>851</v>
      </c>
    </row>
    <row r="31" spans="1:1" x14ac:dyDescent="0.25">
      <c r="A31" t="s">
        <v>852</v>
      </c>
    </row>
    <row r="32" spans="1:1" x14ac:dyDescent="0.25">
      <c r="A32" t="s">
        <v>853</v>
      </c>
    </row>
    <row r="33" spans="1:1" x14ac:dyDescent="0.25">
      <c r="A33" t="s">
        <v>854</v>
      </c>
    </row>
    <row r="34" spans="1:1" x14ac:dyDescent="0.25">
      <c r="A34" t="s">
        <v>855</v>
      </c>
    </row>
    <row r="35" spans="1:1" x14ac:dyDescent="0.25">
      <c r="A35" t="s">
        <v>856</v>
      </c>
    </row>
    <row r="36" spans="1:1" x14ac:dyDescent="0.25">
      <c r="A36" t="s">
        <v>857</v>
      </c>
    </row>
    <row r="37" spans="1:1" x14ac:dyDescent="0.25">
      <c r="A37" t="s">
        <v>858</v>
      </c>
    </row>
    <row r="40" spans="1:1" x14ac:dyDescent="0.25">
      <c r="A40" t="s">
        <v>859</v>
      </c>
    </row>
    <row r="41" spans="1:1" x14ac:dyDescent="0.25">
      <c r="A41" t="s">
        <v>860</v>
      </c>
    </row>
    <row r="42" spans="1:1" x14ac:dyDescent="0.25">
      <c r="A42" t="s">
        <v>861</v>
      </c>
    </row>
    <row r="44" spans="1:1" x14ac:dyDescent="0.25">
      <c r="A44" t="s">
        <v>862</v>
      </c>
    </row>
    <row r="45" spans="1:1" x14ac:dyDescent="0.25">
      <c r="A45" t="s">
        <v>863</v>
      </c>
    </row>
    <row r="46" spans="1:1" x14ac:dyDescent="0.25">
      <c r="A46" t="s">
        <v>864</v>
      </c>
    </row>
    <row r="47" spans="1:1" x14ac:dyDescent="0.25">
      <c r="A47" t="s">
        <v>865</v>
      </c>
    </row>
    <row r="48" spans="1:1" x14ac:dyDescent="0.25">
      <c r="A48" t="s">
        <v>866</v>
      </c>
    </row>
    <row r="49" spans="1:1" x14ac:dyDescent="0.25">
      <c r="A49" t="s">
        <v>867</v>
      </c>
    </row>
    <row r="51" spans="1:1" x14ac:dyDescent="0.25">
      <c r="A51" t="s">
        <v>868</v>
      </c>
    </row>
    <row r="52" spans="1:1" x14ac:dyDescent="0.25">
      <c r="A52" t="s">
        <v>869</v>
      </c>
    </row>
    <row r="53" spans="1:1" x14ac:dyDescent="0.25">
      <c r="A53" t="s">
        <v>870</v>
      </c>
    </row>
    <row r="54" spans="1:1" x14ac:dyDescent="0.25">
      <c r="A54" t="s">
        <v>871</v>
      </c>
    </row>
    <row r="55" spans="1:1" x14ac:dyDescent="0.25">
      <c r="A55" t="s">
        <v>872</v>
      </c>
    </row>
    <row r="58" spans="1:1" x14ac:dyDescent="0.25">
      <c r="A58" t="s">
        <v>873</v>
      </c>
    </row>
    <row r="59" spans="1:1" x14ac:dyDescent="0.25">
      <c r="A59" t="s">
        <v>874</v>
      </c>
    </row>
    <row r="61" spans="1:1" x14ac:dyDescent="0.25">
      <c r="A61" t="s">
        <v>875</v>
      </c>
    </row>
    <row r="62" spans="1:1" x14ac:dyDescent="0.25">
      <c r="A62" t="s">
        <v>876</v>
      </c>
    </row>
    <row r="63" spans="1:1" x14ac:dyDescent="0.25">
      <c r="A63" t="s">
        <v>877</v>
      </c>
    </row>
    <row r="64" spans="1:1" x14ac:dyDescent="0.25">
      <c r="A64" t="s">
        <v>878</v>
      </c>
    </row>
    <row r="65" spans="1:1" x14ac:dyDescent="0.25">
      <c r="A65" t="s">
        <v>879</v>
      </c>
    </row>
    <row r="66" spans="1:1" x14ac:dyDescent="0.25">
      <c r="A66" t="s">
        <v>880</v>
      </c>
    </row>
    <row r="67" spans="1:1" x14ac:dyDescent="0.25">
      <c r="A67" t="s">
        <v>881</v>
      </c>
    </row>
    <row r="71" spans="1:1" x14ac:dyDescent="0.25">
      <c r="A71" t="s">
        <v>882</v>
      </c>
    </row>
    <row r="72" spans="1:1" x14ac:dyDescent="0.25">
      <c r="A72" t="s">
        <v>883</v>
      </c>
    </row>
    <row r="73" spans="1:1" x14ac:dyDescent="0.25">
      <c r="A73" t="s">
        <v>884</v>
      </c>
    </row>
    <row r="74" spans="1:1" x14ac:dyDescent="0.25">
      <c r="A74" t="s">
        <v>885</v>
      </c>
    </row>
    <row r="75" spans="1:1" x14ac:dyDescent="0.25">
      <c r="A75" t="s">
        <v>886</v>
      </c>
    </row>
    <row r="76" spans="1:1" x14ac:dyDescent="0.25">
      <c r="A76" t="s">
        <v>887</v>
      </c>
    </row>
    <row r="77" spans="1:1" x14ac:dyDescent="0.25">
      <c r="A77" t="s">
        <v>888</v>
      </c>
    </row>
    <row r="80" spans="1:1" x14ac:dyDescent="0.25">
      <c r="A80" t="s">
        <v>889</v>
      </c>
    </row>
    <row r="81" spans="1:2" x14ac:dyDescent="0.25">
      <c r="A81" t="s">
        <v>890</v>
      </c>
    </row>
    <row r="82" spans="1:2" x14ac:dyDescent="0.25">
      <c r="A82" t="s">
        <v>891</v>
      </c>
    </row>
    <row r="83" spans="1:2" x14ac:dyDescent="0.25">
      <c r="A83" t="s">
        <v>892</v>
      </c>
    </row>
    <row r="85" spans="1:2" x14ac:dyDescent="0.25">
      <c r="A85" t="s">
        <v>893</v>
      </c>
    </row>
    <row r="86" spans="1:2" x14ac:dyDescent="0.25">
      <c r="A86" t="s">
        <v>894</v>
      </c>
    </row>
    <row r="87" spans="1:2" x14ac:dyDescent="0.25">
      <c r="A87" t="s">
        <v>895</v>
      </c>
    </row>
    <row r="88" spans="1:2" x14ac:dyDescent="0.25">
      <c r="A88" t="s">
        <v>896</v>
      </c>
    </row>
    <row r="91" spans="1:2" x14ac:dyDescent="0.25">
      <c r="A91" s="366" t="s">
        <v>897</v>
      </c>
    </row>
    <row r="94" spans="1:2" x14ac:dyDescent="0.25">
      <c r="A94" t="s">
        <v>898</v>
      </c>
      <c r="B94">
        <v>23</v>
      </c>
    </row>
    <row r="95" spans="1:2" x14ac:dyDescent="0.25">
      <c r="A95" t="s">
        <v>899</v>
      </c>
      <c r="B95">
        <v>50</v>
      </c>
    </row>
    <row r="98" spans="1:1" x14ac:dyDescent="0.25">
      <c r="A98" s="367" t="s">
        <v>900</v>
      </c>
    </row>
    <row r="102" spans="1:1" x14ac:dyDescent="0.25">
      <c r="A102" s="368" t="s">
        <v>901</v>
      </c>
    </row>
    <row r="103" spans="1:1" x14ac:dyDescent="0.25">
      <c r="A103" s="369"/>
    </row>
    <row r="104" spans="1:1" ht="29.25" x14ac:dyDescent="0.25">
      <c r="A104" s="370" t="s">
        <v>902</v>
      </c>
    </row>
    <row r="105" spans="1:1" ht="43.5" x14ac:dyDescent="0.25">
      <c r="A105" s="370" t="s">
        <v>903</v>
      </c>
    </row>
    <row r="106" spans="1:1" ht="29.25" x14ac:dyDescent="0.25">
      <c r="A106" s="370" t="s">
        <v>904</v>
      </c>
    </row>
    <row r="107" spans="1:1" x14ac:dyDescent="0.25">
      <c r="A107" s="370" t="s">
        <v>905</v>
      </c>
    </row>
    <row r="108" spans="1:1" ht="28.5" x14ac:dyDescent="0.25">
      <c r="A108" s="372" t="s">
        <v>906</v>
      </c>
    </row>
    <row r="109" spans="1:1" x14ac:dyDescent="0.25">
      <c r="A109" s="372"/>
    </row>
    <row r="110" spans="1:1" x14ac:dyDescent="0.25">
      <c r="A110" s="372"/>
    </row>
    <row r="111" spans="1:1" x14ac:dyDescent="0.25">
      <c r="A111" s="371"/>
    </row>
    <row r="112" spans="1:1" x14ac:dyDescent="0.25">
      <c r="A112" s="371"/>
    </row>
    <row r="113" spans="1:1" x14ac:dyDescent="0.25">
      <c r="A113" s="371"/>
    </row>
    <row r="114" spans="1:1" x14ac:dyDescent="0.25">
      <c r="A114" s="371"/>
    </row>
    <row r="115" spans="1:1" x14ac:dyDescent="0.25">
      <c r="A115" s="371"/>
    </row>
    <row r="116" spans="1:1" x14ac:dyDescent="0.25">
      <c r="A116" s="371"/>
    </row>
    <row r="117" spans="1:1" x14ac:dyDescent="0.25">
      <c r="A117" s="371"/>
    </row>
    <row r="118" spans="1:1" x14ac:dyDescent="0.25">
      <c r="A118" s="371"/>
    </row>
    <row r="119" spans="1:1" x14ac:dyDescent="0.25">
      <c r="A119" s="371"/>
    </row>
    <row r="120" spans="1:1" x14ac:dyDescent="0.25">
      <c r="A120" s="372" t="s">
        <v>907</v>
      </c>
    </row>
    <row r="121" spans="1:1" ht="28.5" x14ac:dyDescent="0.25">
      <c r="A121" s="372" t="s">
        <v>908</v>
      </c>
    </row>
    <row r="123" spans="1:1" x14ac:dyDescent="0.25">
      <c r="A123" s="368" t="s">
        <v>909</v>
      </c>
    </row>
    <row r="124" spans="1:1" x14ac:dyDescent="0.25">
      <c r="A124" s="369"/>
    </row>
    <row r="125" spans="1:1" x14ac:dyDescent="0.25">
      <c r="A125" s="373" t="s">
        <v>910</v>
      </c>
    </row>
    <row r="126" spans="1:1" x14ac:dyDescent="0.25">
      <c r="A126" s="373" t="s">
        <v>911</v>
      </c>
    </row>
    <row r="128" spans="1:1" x14ac:dyDescent="0.25">
      <c r="A128" s="372" t="s">
        <v>912</v>
      </c>
    </row>
    <row r="133" spans="1:1" x14ac:dyDescent="0.25">
      <c r="A133" s="366" t="s">
        <v>913</v>
      </c>
    </row>
    <row r="135" spans="1:1" x14ac:dyDescent="0.25">
      <c r="A135" s="373" t="s">
        <v>914</v>
      </c>
    </row>
    <row r="136" spans="1:1" x14ac:dyDescent="0.25">
      <c r="A136" s="369"/>
    </row>
    <row r="137" spans="1:1" x14ac:dyDescent="0.25">
      <c r="A137" s="373" t="s">
        <v>915</v>
      </c>
    </row>
    <row r="140" spans="1:1" ht="28.5" x14ac:dyDescent="0.25">
      <c r="A140" s="373" t="s">
        <v>916</v>
      </c>
    </row>
    <row r="141" spans="1:1" x14ac:dyDescent="0.25">
      <c r="A141" s="369"/>
    </row>
    <row r="142" spans="1:1" ht="59.25" x14ac:dyDescent="0.25">
      <c r="A142" s="373" t="s">
        <v>917</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8"/>
  <sheetViews>
    <sheetView topLeftCell="A20" workbookViewId="0">
      <selection activeCell="B23" sqref="B23"/>
    </sheetView>
  </sheetViews>
  <sheetFormatPr defaultRowHeight="15" x14ac:dyDescent="0.25"/>
  <cols>
    <col min="1" max="1" width="30" bestFit="1" customWidth="1"/>
  </cols>
  <sheetData>
    <row r="1" spans="1:12" x14ac:dyDescent="0.25">
      <c r="A1" s="123" t="str">
        <f>'Data Sheet'!B1</f>
        <v>CUPID LTD</v>
      </c>
      <c r="B1" s="124"/>
      <c r="C1" s="124"/>
      <c r="D1" s="124"/>
      <c r="E1" s="124"/>
      <c r="F1" s="124"/>
      <c r="G1" s="124"/>
      <c r="H1" s="124"/>
      <c r="I1" s="124"/>
      <c r="J1" s="124"/>
      <c r="K1" s="124"/>
      <c r="L1" s="124"/>
    </row>
    <row r="2" spans="1:12" x14ac:dyDescent="0.25">
      <c r="A2" s="123"/>
      <c r="B2" s="124"/>
      <c r="C2" s="124"/>
      <c r="D2" s="124"/>
      <c r="E2" s="124"/>
      <c r="F2" s="124"/>
      <c r="G2" s="124"/>
      <c r="H2" s="124"/>
      <c r="I2" s="124"/>
      <c r="J2" s="124"/>
      <c r="K2" s="124"/>
      <c r="L2" s="124"/>
    </row>
    <row r="3" spans="1:12" x14ac:dyDescent="0.25">
      <c r="A3" s="471" t="s">
        <v>334</v>
      </c>
      <c r="B3" s="471"/>
      <c r="C3" s="471"/>
      <c r="D3" s="471"/>
      <c r="E3" s="471"/>
      <c r="F3" s="471"/>
      <c r="G3" s="471"/>
      <c r="H3" s="471"/>
      <c r="I3" s="471"/>
      <c r="J3" s="471"/>
      <c r="K3" s="125"/>
      <c r="L3" s="126"/>
    </row>
    <row r="4" spans="1:12" x14ac:dyDescent="0.25">
      <c r="A4" s="127" t="str">
        <f>'Data Sheet'!A1</f>
        <v>COMPANY NAME</v>
      </c>
      <c r="B4" s="128">
        <f>'Data Sheet'!B$16</f>
        <v>38807</v>
      </c>
      <c r="C4" s="128">
        <f>'Data Sheet'!C$16</f>
        <v>39172</v>
      </c>
      <c r="D4" s="128">
        <f>'Data Sheet'!D$16</f>
        <v>39538</v>
      </c>
      <c r="E4" s="128">
        <f>'Data Sheet'!E$16</f>
        <v>39903</v>
      </c>
      <c r="F4" s="128">
        <f>'Data Sheet'!F$16</f>
        <v>40268</v>
      </c>
      <c r="G4" s="128">
        <f>'Data Sheet'!G$16</f>
        <v>40633</v>
      </c>
      <c r="H4" s="128">
        <f>'Data Sheet'!H$16</f>
        <v>40999</v>
      </c>
      <c r="I4" s="128">
        <f>'Data Sheet'!I$16</f>
        <v>41364</v>
      </c>
      <c r="J4" s="128">
        <f>'Data Sheet'!J$16</f>
        <v>41729</v>
      </c>
      <c r="K4" s="128">
        <f>'Data Sheet'!K$16</f>
        <v>42094</v>
      </c>
      <c r="L4" s="128">
        <f>'Data Sheet'!L$16</f>
        <v>42430</v>
      </c>
    </row>
    <row r="5" spans="1:12" x14ac:dyDescent="0.25">
      <c r="A5" s="129" t="s">
        <v>335</v>
      </c>
      <c r="B5" s="130"/>
      <c r="C5" s="130"/>
      <c r="D5" s="130"/>
      <c r="E5" s="130"/>
      <c r="F5" s="130"/>
      <c r="G5" s="130"/>
      <c r="H5" s="130"/>
      <c r="I5" s="130"/>
      <c r="J5" s="130"/>
      <c r="K5" s="130"/>
      <c r="L5" s="126"/>
    </row>
    <row r="6" spans="1:12" x14ac:dyDescent="0.25">
      <c r="A6" s="146" t="s">
        <v>40</v>
      </c>
      <c r="B6" s="147">
        <f>Other_input_data!B53</f>
        <v>1.23</v>
      </c>
      <c r="C6" s="147">
        <f>Other_input_data!C53</f>
        <v>2.97</v>
      </c>
      <c r="D6" s="147">
        <f>Other_input_data!D53</f>
        <v>2.3199999999999998</v>
      </c>
      <c r="E6" s="147">
        <f>Other_input_data!E53</f>
        <v>2.09</v>
      </c>
      <c r="F6" s="147">
        <f>Other_input_data!F53</f>
        <v>1.99</v>
      </c>
      <c r="G6" s="147">
        <f>Other_input_data!G53</f>
        <v>2.94</v>
      </c>
      <c r="H6" s="147">
        <f>Other_input_data!H53</f>
        <v>3.95</v>
      </c>
      <c r="I6" s="147">
        <f>Other_input_data!I53</f>
        <v>2.97</v>
      </c>
      <c r="J6" s="147">
        <f>Other_input_data!J53</f>
        <v>4.71</v>
      </c>
      <c r="K6" s="147">
        <f>Other_input_data!K53</f>
        <v>3.47</v>
      </c>
      <c r="L6" s="147">
        <f>Other_input_data!L53</f>
        <v>3.42</v>
      </c>
    </row>
    <row r="7" spans="1:12" x14ac:dyDescent="0.25">
      <c r="A7" s="146" t="s">
        <v>39</v>
      </c>
      <c r="B7" s="147">
        <f>B52</f>
        <v>2.69</v>
      </c>
      <c r="C7" s="147">
        <f t="shared" ref="C7:L7" si="0">C52</f>
        <v>3.25</v>
      </c>
      <c r="D7" s="147">
        <f t="shared" si="0"/>
        <v>0.75</v>
      </c>
      <c r="E7" s="147">
        <f t="shared" si="0"/>
        <v>3.09</v>
      </c>
      <c r="F7" s="147">
        <f t="shared" si="0"/>
        <v>1.69</v>
      </c>
      <c r="G7" s="147">
        <f t="shared" si="0"/>
        <v>1.87</v>
      </c>
      <c r="H7" s="147">
        <f t="shared" si="0"/>
        <v>2.7</v>
      </c>
      <c r="I7" s="147">
        <f t="shared" si="0"/>
        <v>1.28</v>
      </c>
      <c r="J7" s="147">
        <f t="shared" si="0"/>
        <v>3.17</v>
      </c>
      <c r="K7" s="147">
        <f t="shared" si="0"/>
        <v>8.18</v>
      </c>
      <c r="L7" s="147">
        <f t="shared" si="0"/>
        <v>13.27</v>
      </c>
    </row>
    <row r="8" spans="1:12" x14ac:dyDescent="0.25">
      <c r="A8" s="146" t="s">
        <v>336</v>
      </c>
      <c r="B8" s="147">
        <f>B54</f>
        <v>0.62</v>
      </c>
      <c r="C8" s="147">
        <f t="shared" ref="C8:L8" si="1">C54</f>
        <v>0.08</v>
      </c>
      <c r="D8" s="147">
        <f t="shared" si="1"/>
        <v>1.67</v>
      </c>
      <c r="E8" s="147">
        <f t="shared" si="1"/>
        <v>0.28000000000000003</v>
      </c>
      <c r="F8" s="147">
        <f t="shared" si="1"/>
        <v>0.15</v>
      </c>
      <c r="G8" s="147">
        <f t="shared" si="1"/>
        <v>0.18</v>
      </c>
      <c r="H8" s="147">
        <f t="shared" si="1"/>
        <v>0.24</v>
      </c>
      <c r="I8" s="147">
        <f t="shared" si="1"/>
        <v>0.39</v>
      </c>
      <c r="J8" s="147">
        <f t="shared" si="1"/>
        <v>0.25</v>
      </c>
      <c r="K8" s="147">
        <f t="shared" si="1"/>
        <v>3.2</v>
      </c>
      <c r="L8" s="147">
        <f t="shared" si="1"/>
        <v>9.19</v>
      </c>
    </row>
    <row r="9" spans="1:12" x14ac:dyDescent="0.25">
      <c r="A9" s="146" t="s">
        <v>337</v>
      </c>
      <c r="B9" s="147">
        <f>B46</f>
        <v>6.93</v>
      </c>
      <c r="C9" s="147">
        <f t="shared" ref="C9:L9" si="2">C46</f>
        <v>8.2899999999999991</v>
      </c>
      <c r="D9" s="147">
        <f t="shared" si="2"/>
        <v>8.41</v>
      </c>
      <c r="E9" s="147">
        <f t="shared" si="2"/>
        <v>8.6</v>
      </c>
      <c r="F9" s="147">
        <f t="shared" si="2"/>
        <v>7.92</v>
      </c>
      <c r="G9" s="147">
        <f t="shared" si="2"/>
        <v>8.64</v>
      </c>
      <c r="H9" s="147">
        <f t="shared" si="2"/>
        <v>10.72</v>
      </c>
      <c r="I9" s="147">
        <f t="shared" si="2"/>
        <v>8.49</v>
      </c>
      <c r="J9" s="147">
        <f t="shared" si="2"/>
        <v>11.21</v>
      </c>
      <c r="K9" s="147">
        <f t="shared" si="2"/>
        <v>19.309999999999999</v>
      </c>
      <c r="L9" s="147">
        <f t="shared" si="2"/>
        <v>35</v>
      </c>
    </row>
    <row r="10" spans="1:12" x14ac:dyDescent="0.25">
      <c r="A10" s="146" t="s">
        <v>338</v>
      </c>
      <c r="B10" s="147">
        <f>B47</f>
        <v>5.43</v>
      </c>
      <c r="C10" s="147">
        <f t="shared" ref="C10:L10" si="3">C47</f>
        <v>5.07</v>
      </c>
      <c r="D10" s="147">
        <f t="shared" si="3"/>
        <v>4.4400000000000004</v>
      </c>
      <c r="E10" s="147">
        <f t="shared" si="3"/>
        <v>6.48</v>
      </c>
      <c r="F10" s="147">
        <f t="shared" si="3"/>
        <v>5.85</v>
      </c>
      <c r="G10" s="147">
        <f t="shared" si="3"/>
        <v>5.84</v>
      </c>
      <c r="H10" s="147">
        <f t="shared" si="3"/>
        <v>6.86</v>
      </c>
      <c r="I10" s="147">
        <f t="shared" si="3"/>
        <v>4.78</v>
      </c>
      <c r="J10" s="147">
        <f t="shared" si="3"/>
        <v>5.7</v>
      </c>
      <c r="K10" s="147">
        <f t="shared" si="3"/>
        <v>8.59</v>
      </c>
      <c r="L10" s="147">
        <f t="shared" si="3"/>
        <v>14</v>
      </c>
    </row>
    <row r="11" spans="1:12" x14ac:dyDescent="0.25">
      <c r="A11" s="146" t="s">
        <v>339</v>
      </c>
      <c r="B11" s="147">
        <f>B9-B10</f>
        <v>1.5</v>
      </c>
      <c r="C11" s="147">
        <f t="shared" ref="C11:L11" si="4">C9-C10</f>
        <v>3.2199999999999989</v>
      </c>
      <c r="D11" s="147">
        <f t="shared" si="4"/>
        <v>3.9699999999999998</v>
      </c>
      <c r="E11" s="147">
        <f t="shared" si="4"/>
        <v>2.1199999999999992</v>
      </c>
      <c r="F11" s="147">
        <f t="shared" si="4"/>
        <v>2.0700000000000003</v>
      </c>
      <c r="G11" s="147">
        <f t="shared" si="4"/>
        <v>2.8000000000000007</v>
      </c>
      <c r="H11" s="147">
        <f t="shared" si="4"/>
        <v>3.8600000000000003</v>
      </c>
      <c r="I11" s="147">
        <f t="shared" si="4"/>
        <v>3.71</v>
      </c>
      <c r="J11" s="147">
        <f t="shared" si="4"/>
        <v>5.5100000000000007</v>
      </c>
      <c r="K11" s="147">
        <f t="shared" si="4"/>
        <v>10.719999999999999</v>
      </c>
      <c r="L11" s="147">
        <f t="shared" si="4"/>
        <v>21</v>
      </c>
    </row>
    <row r="12" spans="1:12" x14ac:dyDescent="0.25">
      <c r="A12" s="472"/>
      <c r="B12" s="472"/>
      <c r="C12" s="472"/>
      <c r="D12" s="472"/>
      <c r="E12" s="472"/>
      <c r="F12" s="472"/>
      <c r="G12" s="472"/>
      <c r="H12" s="472"/>
      <c r="I12" s="472"/>
      <c r="J12" s="472"/>
      <c r="K12" s="472"/>
      <c r="L12" s="126"/>
    </row>
    <row r="13" spans="1:12" x14ac:dyDescent="0.25">
      <c r="A13" s="471" t="s">
        <v>340</v>
      </c>
      <c r="B13" s="471"/>
      <c r="C13" s="471"/>
      <c r="D13" s="471"/>
      <c r="E13" s="471"/>
      <c r="F13" s="471"/>
      <c r="G13" s="471"/>
      <c r="H13" s="471"/>
      <c r="I13" s="471"/>
      <c r="J13" s="471"/>
      <c r="K13" s="131"/>
      <c r="L13" s="126"/>
    </row>
    <row r="14" spans="1:12" x14ac:dyDescent="0.25">
      <c r="A14" s="132" t="s">
        <v>341</v>
      </c>
      <c r="B14" s="133">
        <f>B4</f>
        <v>38807</v>
      </c>
      <c r="C14" s="133">
        <f t="shared" ref="C14:L14" si="5">C4</f>
        <v>39172</v>
      </c>
      <c r="D14" s="133">
        <f t="shared" si="5"/>
        <v>39538</v>
      </c>
      <c r="E14" s="133">
        <f t="shared" si="5"/>
        <v>39903</v>
      </c>
      <c r="F14" s="133">
        <f t="shared" si="5"/>
        <v>40268</v>
      </c>
      <c r="G14" s="133">
        <f t="shared" si="5"/>
        <v>40633</v>
      </c>
      <c r="H14" s="133">
        <f t="shared" si="5"/>
        <v>40999</v>
      </c>
      <c r="I14" s="133">
        <f t="shared" si="5"/>
        <v>41364</v>
      </c>
      <c r="J14" s="133">
        <f t="shared" si="5"/>
        <v>41729</v>
      </c>
      <c r="K14" s="133">
        <f t="shared" si="5"/>
        <v>42094</v>
      </c>
      <c r="L14" s="133">
        <f t="shared" si="5"/>
        <v>42430</v>
      </c>
    </row>
    <row r="15" spans="1:12" x14ac:dyDescent="0.25">
      <c r="A15" s="148" t="s">
        <v>342</v>
      </c>
      <c r="B15" s="149">
        <f>'Data Sheet'!B18</f>
        <v>2.97</v>
      </c>
      <c r="C15" s="149">
        <f>'Data Sheet'!C18</f>
        <v>8.73</v>
      </c>
      <c r="D15" s="149">
        <f>'Data Sheet'!D18</f>
        <v>7.97</v>
      </c>
      <c r="E15" s="149">
        <f>'Data Sheet'!E18</f>
        <v>4.8099999999999996</v>
      </c>
      <c r="F15" s="149">
        <f>'Data Sheet'!F18</f>
        <v>3.25</v>
      </c>
      <c r="G15" s="149">
        <f>'Data Sheet'!G18</f>
        <v>7.95</v>
      </c>
      <c r="H15" s="149">
        <f>'Data Sheet'!H18</f>
        <v>16.75</v>
      </c>
      <c r="I15" s="149">
        <f>'Data Sheet'!I18</f>
        <v>16.72</v>
      </c>
      <c r="J15" s="149">
        <f>'Data Sheet'!J18</f>
        <v>11.41</v>
      </c>
      <c r="K15" s="149">
        <f>'Data Sheet'!K18</f>
        <v>18.489999999999998</v>
      </c>
      <c r="L15" s="149">
        <f>'Data Sheet'!L18</f>
        <v>22.03</v>
      </c>
    </row>
    <row r="16" spans="1:12" x14ac:dyDescent="0.25">
      <c r="A16" s="148" t="s">
        <v>343</v>
      </c>
      <c r="B16" s="149">
        <f>'Data Sheet'!B22</f>
        <v>0.99</v>
      </c>
      <c r="C16" s="149">
        <f>'Data Sheet'!C22</f>
        <v>0.87</v>
      </c>
      <c r="D16" s="149">
        <f>'Data Sheet'!D22</f>
        <v>1.2</v>
      </c>
      <c r="E16" s="149">
        <f>'Data Sheet'!E22</f>
        <v>1.48</v>
      </c>
      <c r="F16" s="149">
        <f>'Data Sheet'!F22</f>
        <v>1.51</v>
      </c>
      <c r="G16" s="149">
        <f>'Data Sheet'!G22</f>
        <v>1.51</v>
      </c>
      <c r="H16" s="149">
        <f>'Data Sheet'!H22</f>
        <v>1.85</v>
      </c>
      <c r="I16" s="149">
        <f>'Data Sheet'!I22</f>
        <v>2.2999999999999998</v>
      </c>
      <c r="J16" s="149">
        <f>'Data Sheet'!J22</f>
        <v>2.2599999999999998</v>
      </c>
      <c r="K16" s="149">
        <f>'Data Sheet'!K22</f>
        <v>3.14</v>
      </c>
      <c r="L16" s="149">
        <f>'Data Sheet'!L22</f>
        <v>0</v>
      </c>
    </row>
    <row r="17" spans="1:12" x14ac:dyDescent="0.25">
      <c r="A17" s="148" t="s">
        <v>344</v>
      </c>
      <c r="B17" s="149">
        <f>'Data Sheet'!B23</f>
        <v>1.18</v>
      </c>
      <c r="C17" s="149">
        <f>'Data Sheet'!C23</f>
        <v>0.93</v>
      </c>
      <c r="D17" s="149">
        <f>'Data Sheet'!D23</f>
        <v>1.85</v>
      </c>
      <c r="E17" s="149">
        <f>'Data Sheet'!E23</f>
        <v>1.31</v>
      </c>
      <c r="F17" s="149">
        <f>'Data Sheet'!F23</f>
        <v>0.78</v>
      </c>
      <c r="G17" s="149">
        <f>'Data Sheet'!G23</f>
        <v>1.48</v>
      </c>
      <c r="H17" s="149">
        <f>'Data Sheet'!H23</f>
        <v>1.29</v>
      </c>
      <c r="I17" s="149">
        <f>'Data Sheet'!I23</f>
        <v>1.77</v>
      </c>
      <c r="J17" s="149">
        <f>'Data Sheet'!J23</f>
        <v>1.77</v>
      </c>
      <c r="K17" s="149">
        <f>'Data Sheet'!K23</f>
        <v>3.48</v>
      </c>
      <c r="L17" s="149">
        <f>'Data Sheet'!L23</f>
        <v>0</v>
      </c>
    </row>
    <row r="18" spans="1:12" x14ac:dyDescent="0.25">
      <c r="A18" s="148" t="s">
        <v>345</v>
      </c>
      <c r="B18" s="149"/>
      <c r="C18" s="149"/>
      <c r="D18" s="149"/>
      <c r="E18" s="149"/>
      <c r="F18" s="149"/>
      <c r="G18" s="149"/>
      <c r="H18" s="149"/>
      <c r="I18" s="149"/>
      <c r="J18" s="149"/>
      <c r="K18" s="149"/>
      <c r="L18" s="149"/>
    </row>
    <row r="19" spans="1:12" x14ac:dyDescent="0.25">
      <c r="A19" s="148" t="s">
        <v>346</v>
      </c>
      <c r="B19" s="149"/>
      <c r="C19" s="149"/>
      <c r="D19" s="149"/>
      <c r="E19" s="149"/>
      <c r="F19" s="149"/>
      <c r="G19" s="149"/>
      <c r="H19" s="149"/>
      <c r="I19" s="149"/>
      <c r="J19" s="149"/>
      <c r="K19" s="149"/>
      <c r="L19" s="149"/>
    </row>
    <row r="20" spans="1:12" x14ac:dyDescent="0.25">
      <c r="A20" s="148" t="s">
        <v>347</v>
      </c>
      <c r="B20" s="149">
        <f>'Data Sheet'!B20</f>
        <v>0.89</v>
      </c>
      <c r="C20" s="149">
        <f>'Data Sheet'!C20</f>
        <v>1.39</v>
      </c>
      <c r="D20" s="149">
        <f>'Data Sheet'!D20</f>
        <v>2.25</v>
      </c>
      <c r="E20" s="149">
        <f>'Data Sheet'!E20</f>
        <v>1.31</v>
      </c>
      <c r="F20" s="149">
        <f>'Data Sheet'!F20</f>
        <v>0.94</v>
      </c>
      <c r="G20" s="149">
        <f>'Data Sheet'!G20</f>
        <v>1.53</v>
      </c>
      <c r="H20" s="149">
        <f>'Data Sheet'!H20</f>
        <v>2.3199999999999998</v>
      </c>
      <c r="I20" s="149">
        <f>'Data Sheet'!I20</f>
        <v>2.36</v>
      </c>
      <c r="J20" s="149">
        <f>'Data Sheet'!J20</f>
        <v>1.83</v>
      </c>
      <c r="K20" s="149">
        <f>'Data Sheet'!K20</f>
        <v>2.73</v>
      </c>
      <c r="L20" s="149">
        <f>'Data Sheet'!L20</f>
        <v>0</v>
      </c>
    </row>
    <row r="21" spans="1:12" x14ac:dyDescent="0.25">
      <c r="A21" s="148" t="s">
        <v>348</v>
      </c>
      <c r="B21" s="149">
        <f>'Data Sheet'!B24</f>
        <v>0.24</v>
      </c>
      <c r="C21" s="149">
        <f>'Data Sheet'!C24</f>
        <v>0.1</v>
      </c>
      <c r="D21" s="149">
        <f>'Data Sheet'!D24</f>
        <v>0.15</v>
      </c>
      <c r="E21" s="149">
        <f>'Data Sheet'!E24</f>
        <v>0.64</v>
      </c>
      <c r="F21" s="149">
        <f>'Data Sheet'!F24</f>
        <v>0.39</v>
      </c>
      <c r="G21" s="149">
        <f>'Data Sheet'!G24</f>
        <v>0.28000000000000003</v>
      </c>
      <c r="H21" s="149">
        <f>'Data Sheet'!H24</f>
        <v>0.2</v>
      </c>
      <c r="I21" s="149">
        <f>'Data Sheet'!I24</f>
        <v>0.43</v>
      </c>
      <c r="J21" s="149">
        <f>'Data Sheet'!J24</f>
        <v>0.27</v>
      </c>
      <c r="K21" s="149">
        <f>'Data Sheet'!K24</f>
        <v>0.41</v>
      </c>
      <c r="L21" s="149">
        <f>'Data Sheet'!L24</f>
        <v>0</v>
      </c>
    </row>
    <row r="22" spans="1:12" x14ac:dyDescent="0.25">
      <c r="A22" s="148" t="s">
        <v>349</v>
      </c>
      <c r="B22" s="149"/>
      <c r="C22" s="149"/>
      <c r="D22" s="149"/>
      <c r="E22" s="149"/>
      <c r="F22" s="149"/>
      <c r="G22" s="150"/>
      <c r="H22" s="150"/>
      <c r="I22" s="150"/>
      <c r="J22" s="150"/>
      <c r="K22" s="148"/>
      <c r="L22" s="134"/>
    </row>
    <row r="23" spans="1:12" x14ac:dyDescent="0.25">
      <c r="A23" s="151" t="s">
        <v>350</v>
      </c>
      <c r="B23" s="149"/>
      <c r="C23" s="149">
        <f>(C49-B49)+(C50-B50)+C29</f>
        <v>5.1899999999999995</v>
      </c>
      <c r="D23" s="149">
        <f t="shared" ref="D23:L23" si="6">(D49-C49)+(D50-C50)+D29</f>
        <v>5.9499999999999993</v>
      </c>
      <c r="E23" s="149">
        <f t="shared" si="6"/>
        <v>3.2799999999999989</v>
      </c>
      <c r="F23" s="149">
        <f t="shared" si="6"/>
        <v>6.0000000000001608E-2</v>
      </c>
      <c r="G23" s="149">
        <f t="shared" si="6"/>
        <v>0.1800000000000006</v>
      </c>
      <c r="H23" s="149">
        <f t="shared" si="6"/>
        <v>0.36999999999999988</v>
      </c>
      <c r="I23" s="149">
        <f t="shared" si="6"/>
        <v>1.769999999999998</v>
      </c>
      <c r="J23" s="149">
        <f t="shared" si="6"/>
        <v>0.59000000000000186</v>
      </c>
      <c r="K23" s="149">
        <f t="shared" si="6"/>
        <v>1.1599999999999984</v>
      </c>
      <c r="L23" s="149">
        <f t="shared" si="6"/>
        <v>1.8700000000000012</v>
      </c>
    </row>
    <row r="24" spans="1:12" x14ac:dyDescent="0.25">
      <c r="A24" s="135" t="str">
        <f>'Data Sheet'!A1</f>
        <v>COMPANY NAME</v>
      </c>
      <c r="B24" s="136">
        <f>B14</f>
        <v>38807</v>
      </c>
      <c r="C24" s="136">
        <f t="shared" ref="C24:L24" si="7">C14</f>
        <v>39172</v>
      </c>
      <c r="D24" s="136">
        <f t="shared" si="7"/>
        <v>39538</v>
      </c>
      <c r="E24" s="136">
        <f t="shared" si="7"/>
        <v>39903</v>
      </c>
      <c r="F24" s="136">
        <f t="shared" si="7"/>
        <v>40268</v>
      </c>
      <c r="G24" s="136">
        <f t="shared" si="7"/>
        <v>40633</v>
      </c>
      <c r="H24" s="136">
        <f t="shared" si="7"/>
        <v>40999</v>
      </c>
      <c r="I24" s="136">
        <f t="shared" si="7"/>
        <v>41364</v>
      </c>
      <c r="J24" s="136">
        <f t="shared" si="7"/>
        <v>41729</v>
      </c>
      <c r="K24" s="136">
        <f t="shared" si="7"/>
        <v>42094</v>
      </c>
      <c r="L24" s="136">
        <f t="shared" si="7"/>
        <v>42430</v>
      </c>
    </row>
    <row r="25" spans="1:12" x14ac:dyDescent="0.25">
      <c r="A25" s="137" t="s">
        <v>3</v>
      </c>
      <c r="B25" s="137">
        <f>'Data Sheet'!B17</f>
        <v>12.85</v>
      </c>
      <c r="C25" s="137">
        <f>'Data Sheet'!C17</f>
        <v>18.77</v>
      </c>
      <c r="D25" s="137">
        <f>'Data Sheet'!D17</f>
        <v>24.38</v>
      </c>
      <c r="E25" s="137">
        <f>'Data Sheet'!E17</f>
        <v>12.36</v>
      </c>
      <c r="F25" s="137">
        <f>'Data Sheet'!F17</f>
        <v>8.5</v>
      </c>
      <c r="G25" s="137">
        <f>'Data Sheet'!G17</f>
        <v>19.11</v>
      </c>
      <c r="H25" s="137">
        <f>'Data Sheet'!H17</f>
        <v>25.98</v>
      </c>
      <c r="I25" s="137">
        <f>'Data Sheet'!I17</f>
        <v>28.4</v>
      </c>
      <c r="J25" s="137">
        <f>'Data Sheet'!J17</f>
        <v>19.53</v>
      </c>
      <c r="K25" s="137">
        <f>'Data Sheet'!K17</f>
        <v>44.44</v>
      </c>
      <c r="L25" s="137">
        <f>'Data Sheet'!L17</f>
        <v>61.14</v>
      </c>
    </row>
    <row r="26" spans="1:12" x14ac:dyDescent="0.25">
      <c r="A26" s="137" t="str">
        <f t="shared" ref="A26:L26" si="8">A15</f>
        <v>Raw Materials</v>
      </c>
      <c r="B26" s="137">
        <f t="shared" si="8"/>
        <v>2.97</v>
      </c>
      <c r="C26" s="137">
        <f t="shared" si="8"/>
        <v>8.73</v>
      </c>
      <c r="D26" s="137">
        <f t="shared" si="8"/>
        <v>7.97</v>
      </c>
      <c r="E26" s="137">
        <f t="shared" si="8"/>
        <v>4.8099999999999996</v>
      </c>
      <c r="F26" s="137">
        <f t="shared" si="8"/>
        <v>3.25</v>
      </c>
      <c r="G26" s="137">
        <f t="shared" si="8"/>
        <v>7.95</v>
      </c>
      <c r="H26" s="137">
        <f t="shared" si="8"/>
        <v>16.75</v>
      </c>
      <c r="I26" s="137">
        <f t="shared" si="8"/>
        <v>16.72</v>
      </c>
      <c r="J26" s="137">
        <f t="shared" si="8"/>
        <v>11.41</v>
      </c>
      <c r="K26" s="137">
        <f t="shared" si="8"/>
        <v>18.489999999999998</v>
      </c>
      <c r="L26" s="137">
        <f t="shared" si="8"/>
        <v>22.03</v>
      </c>
    </row>
    <row r="27" spans="1:12" x14ac:dyDescent="0.25">
      <c r="A27" s="137" t="s">
        <v>351</v>
      </c>
      <c r="B27" s="137">
        <f t="shared" ref="B27:L27" si="9">B25-B26</f>
        <v>9.879999999999999</v>
      </c>
      <c r="C27" s="137">
        <f t="shared" si="9"/>
        <v>10.039999999999999</v>
      </c>
      <c r="D27" s="137">
        <f t="shared" si="9"/>
        <v>16.41</v>
      </c>
      <c r="E27" s="137">
        <f t="shared" si="9"/>
        <v>7.55</v>
      </c>
      <c r="F27" s="137">
        <f t="shared" si="9"/>
        <v>5.25</v>
      </c>
      <c r="G27" s="137">
        <f t="shared" si="9"/>
        <v>11.16</v>
      </c>
      <c r="H27" s="137">
        <f t="shared" si="9"/>
        <v>9.23</v>
      </c>
      <c r="I27" s="137">
        <f t="shared" si="9"/>
        <v>11.68</v>
      </c>
      <c r="J27" s="137">
        <f t="shared" si="9"/>
        <v>8.120000000000001</v>
      </c>
      <c r="K27" s="137">
        <f t="shared" si="9"/>
        <v>25.95</v>
      </c>
      <c r="L27" s="137">
        <f t="shared" si="9"/>
        <v>39.11</v>
      </c>
    </row>
    <row r="28" spans="1:12" x14ac:dyDescent="0.25">
      <c r="A28" s="137" t="s">
        <v>352</v>
      </c>
      <c r="B28" s="137">
        <f>'Data Sheet'!B17-'Data Sheet'!B18-'Data Sheet'!B20-'Data Sheet'!B21-'Data Sheet'!B22-'Data Sheet'!B23-'Data Sheet'!B24+'Data Sheet'!B25+'Data Sheet'!B19</f>
        <v>5.5299999999999985</v>
      </c>
      <c r="C28" s="137">
        <f>'Data Sheet'!C17-'Data Sheet'!C18-'Data Sheet'!C20-'Data Sheet'!C21-'Data Sheet'!C22-'Data Sheet'!C23-'Data Sheet'!C24+'Data Sheet'!C25+'Data Sheet'!C19</f>
        <v>4.7099999999999982</v>
      </c>
      <c r="D28" s="137">
        <f>'Data Sheet'!D17-'Data Sheet'!D18-'Data Sheet'!D20-'Data Sheet'!D21-'Data Sheet'!D22-'Data Sheet'!D23-'Data Sheet'!D24+'Data Sheet'!D25+'Data Sheet'!D19</f>
        <v>4.2499999999999991</v>
      </c>
      <c r="E28" s="137">
        <f>'Data Sheet'!E17-'Data Sheet'!E18-'Data Sheet'!E20-'Data Sheet'!E21-'Data Sheet'!E22-'Data Sheet'!E23-'Data Sheet'!E24+'Data Sheet'!E25+'Data Sheet'!E19</f>
        <v>-1.42</v>
      </c>
      <c r="F28" s="137">
        <f>'Data Sheet'!F17-'Data Sheet'!F18-'Data Sheet'!F20-'Data Sheet'!F21-'Data Sheet'!F22-'Data Sheet'!F23-'Data Sheet'!F24+'Data Sheet'!F25+'Data Sheet'!F19</f>
        <v>-0.78999999999999948</v>
      </c>
      <c r="G28" s="137">
        <f>'Data Sheet'!G17-'Data Sheet'!G18-'Data Sheet'!G20-'Data Sheet'!G21-'Data Sheet'!G22-'Data Sheet'!G23-'Data Sheet'!G24+'Data Sheet'!G25+'Data Sheet'!G19</f>
        <v>2.8800000000000008</v>
      </c>
      <c r="H28" s="137">
        <f>'Data Sheet'!H17-'Data Sheet'!H18-'Data Sheet'!H20-'Data Sheet'!H21-'Data Sheet'!H22-'Data Sheet'!H23-'Data Sheet'!H24+'Data Sheet'!H25+'Data Sheet'!H19</f>
        <v>2.96</v>
      </c>
      <c r="I28" s="137">
        <f>'Data Sheet'!I17-'Data Sheet'!I18-'Data Sheet'!I20-'Data Sheet'!I21-'Data Sheet'!I22-'Data Sheet'!I23-'Data Sheet'!I24+'Data Sheet'!I25+'Data Sheet'!I19</f>
        <v>3.28</v>
      </c>
      <c r="J28" s="137">
        <f>'Data Sheet'!J17-'Data Sheet'!J18-'Data Sheet'!J20-'Data Sheet'!J21-'Data Sheet'!J22-'Data Sheet'!J23-'Data Sheet'!J24+'Data Sheet'!J25+'Data Sheet'!J19</f>
        <v>2.0700000000000016</v>
      </c>
      <c r="K28" s="137">
        <f>'Data Sheet'!K17-'Data Sheet'!K18-'Data Sheet'!K20-'Data Sheet'!K21-'Data Sheet'!K22-'Data Sheet'!K23-'Data Sheet'!K24+'Data Sheet'!K25+'Data Sheet'!K19</f>
        <v>13.529999999999996</v>
      </c>
      <c r="L28" s="137">
        <f>'Data Sheet'!L17-'Data Sheet'!L18-'Data Sheet'!L20-'Data Sheet'!L21-'Data Sheet'!L22-'Data Sheet'!L23-'Data Sheet'!L24+'Data Sheet'!L25+'Data Sheet'!L19</f>
        <v>39.11</v>
      </c>
    </row>
    <row r="29" spans="1:12" x14ac:dyDescent="0.25">
      <c r="A29" s="137" t="s">
        <v>353</v>
      </c>
      <c r="B29" s="137">
        <f>'Data Sheet'!B26</f>
        <v>0.68</v>
      </c>
      <c r="C29" s="137">
        <f>'Data Sheet'!C26</f>
        <v>0.72</v>
      </c>
      <c r="D29" s="137">
        <f>'Data Sheet'!D26</f>
        <v>1.08</v>
      </c>
      <c r="E29" s="137">
        <f>'Data Sheet'!E26</f>
        <v>1.38</v>
      </c>
      <c r="F29" s="137">
        <f>'Data Sheet'!F26</f>
        <v>1.39</v>
      </c>
      <c r="G29" s="137">
        <f>'Data Sheet'!G26</f>
        <v>1.38</v>
      </c>
      <c r="H29" s="137">
        <f>'Data Sheet'!H26</f>
        <v>1.37</v>
      </c>
      <c r="I29" s="137">
        <f>'Data Sheet'!I26</f>
        <v>1.42</v>
      </c>
      <c r="J29" s="137">
        <f>'Data Sheet'!J26</f>
        <v>1.51</v>
      </c>
      <c r="K29" s="137">
        <f>'Data Sheet'!K26</f>
        <v>1.83</v>
      </c>
      <c r="L29" s="137">
        <f>'Data Sheet'!L26</f>
        <v>1.93</v>
      </c>
    </row>
    <row r="30" spans="1:12" x14ac:dyDescent="0.25">
      <c r="A30" s="137" t="s">
        <v>229</v>
      </c>
      <c r="B30" s="137">
        <f>B28-B29</f>
        <v>4.8499999999999988</v>
      </c>
      <c r="C30" s="137">
        <f t="shared" ref="C30:L30" si="10">C28-C29</f>
        <v>3.9899999999999984</v>
      </c>
      <c r="D30" s="137">
        <f t="shared" si="10"/>
        <v>3.169999999999999</v>
      </c>
      <c r="E30" s="137">
        <f t="shared" si="10"/>
        <v>-2.8</v>
      </c>
      <c r="F30" s="137">
        <f t="shared" si="10"/>
        <v>-2.1799999999999993</v>
      </c>
      <c r="G30" s="137">
        <f t="shared" si="10"/>
        <v>1.5000000000000009</v>
      </c>
      <c r="H30" s="137">
        <f t="shared" si="10"/>
        <v>1.5899999999999999</v>
      </c>
      <c r="I30" s="137">
        <f t="shared" si="10"/>
        <v>1.8599999999999999</v>
      </c>
      <c r="J30" s="137">
        <f t="shared" si="10"/>
        <v>0.56000000000000161</v>
      </c>
      <c r="K30" s="137">
        <f t="shared" si="10"/>
        <v>11.699999999999996</v>
      </c>
      <c r="L30" s="137">
        <f t="shared" si="10"/>
        <v>37.18</v>
      </c>
    </row>
    <row r="31" spans="1:12" x14ac:dyDescent="0.25">
      <c r="A31" s="137" t="s">
        <v>8</v>
      </c>
      <c r="B31" s="137">
        <f>'Data Sheet'!B27</f>
        <v>0</v>
      </c>
      <c r="C31" s="137">
        <f>'Data Sheet'!C27</f>
        <v>0.1</v>
      </c>
      <c r="D31" s="137">
        <f>'Data Sheet'!D27</f>
        <v>0.65</v>
      </c>
      <c r="E31" s="137">
        <f>'Data Sheet'!E27</f>
        <v>1.05</v>
      </c>
      <c r="F31" s="137">
        <f>'Data Sheet'!F27</f>
        <v>0.98</v>
      </c>
      <c r="G31" s="137">
        <f>'Data Sheet'!G27</f>
        <v>0.94</v>
      </c>
      <c r="H31" s="137">
        <f>'Data Sheet'!H27</f>
        <v>0.86</v>
      </c>
      <c r="I31" s="137">
        <f>'Data Sheet'!I27</f>
        <v>0.49</v>
      </c>
      <c r="J31" s="137">
        <f>'Data Sheet'!J27</f>
        <v>0.47</v>
      </c>
      <c r="K31" s="137">
        <f>'Data Sheet'!K27</f>
        <v>0.26</v>
      </c>
      <c r="L31" s="137">
        <f>'Data Sheet'!L27</f>
        <v>0.21</v>
      </c>
    </row>
    <row r="32" spans="1:12" x14ac:dyDescent="0.25">
      <c r="A32" s="137" t="s">
        <v>354</v>
      </c>
      <c r="B32" s="137">
        <f>B30-B31</f>
        <v>4.8499999999999988</v>
      </c>
      <c r="C32" s="137">
        <f t="shared" ref="C32:L32" si="11">C30-C31</f>
        <v>3.8899999999999983</v>
      </c>
      <c r="D32" s="137">
        <f t="shared" si="11"/>
        <v>2.5199999999999991</v>
      </c>
      <c r="E32" s="137">
        <f t="shared" si="11"/>
        <v>-3.8499999999999996</v>
      </c>
      <c r="F32" s="137">
        <f t="shared" si="11"/>
        <v>-3.1599999999999993</v>
      </c>
      <c r="G32" s="137">
        <f t="shared" si="11"/>
        <v>0.56000000000000094</v>
      </c>
      <c r="H32" s="137">
        <f t="shared" si="11"/>
        <v>0.72999999999999987</v>
      </c>
      <c r="I32" s="137">
        <f t="shared" si="11"/>
        <v>1.3699999999999999</v>
      </c>
      <c r="J32" s="137">
        <f t="shared" si="11"/>
        <v>9.0000000000001634E-2</v>
      </c>
      <c r="K32" s="137">
        <f t="shared" si="11"/>
        <v>11.439999999999996</v>
      </c>
      <c r="L32" s="137">
        <f t="shared" si="11"/>
        <v>36.97</v>
      </c>
    </row>
    <row r="33" spans="1:13" x14ac:dyDescent="0.25">
      <c r="A33" s="137" t="s">
        <v>10</v>
      </c>
      <c r="B33" s="137">
        <f>'Data Sheet'!B29</f>
        <v>1.82</v>
      </c>
      <c r="C33" s="137">
        <f>'Data Sheet'!C29</f>
        <v>1.18</v>
      </c>
      <c r="D33" s="137">
        <f>'Data Sheet'!D29</f>
        <v>1.43</v>
      </c>
      <c r="E33" s="137">
        <f>'Data Sheet'!E29</f>
        <v>-1.1299999999999999</v>
      </c>
      <c r="F33" s="137">
        <f>'Data Sheet'!F29</f>
        <v>-1.22</v>
      </c>
      <c r="G33" s="137">
        <f>'Data Sheet'!G29</f>
        <v>0.17</v>
      </c>
      <c r="H33" s="137">
        <f>'Data Sheet'!H29</f>
        <v>0.13</v>
      </c>
      <c r="I33" s="137">
        <f>'Data Sheet'!I29</f>
        <v>0.51</v>
      </c>
      <c r="J33" s="137">
        <f>'Data Sheet'!J29</f>
        <v>0.06</v>
      </c>
      <c r="K33" s="137">
        <f>'Data Sheet'!K29</f>
        <v>3.73</v>
      </c>
      <c r="L33" s="137">
        <f>'Data Sheet'!L29</f>
        <v>9.09</v>
      </c>
    </row>
    <row r="34" spans="1:13" x14ac:dyDescent="0.25">
      <c r="A34" s="137" t="s">
        <v>355</v>
      </c>
      <c r="B34" s="137">
        <f>B32-B33</f>
        <v>3.0299999999999985</v>
      </c>
      <c r="C34" s="137">
        <f t="shared" ref="C34:L34" si="12">C32-C33</f>
        <v>2.7099999999999982</v>
      </c>
      <c r="D34" s="137">
        <f t="shared" si="12"/>
        <v>1.0899999999999992</v>
      </c>
      <c r="E34" s="137">
        <f t="shared" si="12"/>
        <v>-2.7199999999999998</v>
      </c>
      <c r="F34" s="137">
        <f t="shared" si="12"/>
        <v>-1.9399999999999993</v>
      </c>
      <c r="G34" s="137">
        <f t="shared" si="12"/>
        <v>0.3900000000000009</v>
      </c>
      <c r="H34" s="137">
        <f t="shared" si="12"/>
        <v>0.59999999999999987</v>
      </c>
      <c r="I34" s="137">
        <f t="shared" si="12"/>
        <v>0.85999999999999988</v>
      </c>
      <c r="J34" s="137">
        <f t="shared" si="12"/>
        <v>3.0000000000001636E-2</v>
      </c>
      <c r="K34" s="137">
        <f t="shared" si="12"/>
        <v>7.7099999999999955</v>
      </c>
      <c r="L34" s="137">
        <f t="shared" si="12"/>
        <v>27.88</v>
      </c>
    </row>
    <row r="35" spans="1:13" x14ac:dyDescent="0.25">
      <c r="A35" s="137" t="s">
        <v>356</v>
      </c>
      <c r="B35" s="137">
        <f>'Data Sheet'!B31</f>
        <v>0</v>
      </c>
      <c r="C35" s="137">
        <f>'Data Sheet'!C31</f>
        <v>0</v>
      </c>
      <c r="D35" s="137">
        <f>'Data Sheet'!D31</f>
        <v>0</v>
      </c>
      <c r="E35" s="137">
        <f>'Data Sheet'!E31</f>
        <v>0</v>
      </c>
      <c r="F35" s="137">
        <f>'Data Sheet'!F31</f>
        <v>0</v>
      </c>
      <c r="G35" s="137">
        <f>'Data Sheet'!G31</f>
        <v>0</v>
      </c>
      <c r="H35" s="137">
        <f>'Data Sheet'!H31</f>
        <v>0</v>
      </c>
      <c r="I35" s="137">
        <f>'Data Sheet'!I31</f>
        <v>0</v>
      </c>
      <c r="J35" s="137">
        <f>'Data Sheet'!J31</f>
        <v>0</v>
      </c>
      <c r="K35" s="137">
        <f>'Data Sheet'!K31</f>
        <v>0.26</v>
      </c>
      <c r="L35" s="137">
        <f>'Data Sheet'!L31</f>
        <v>0.26</v>
      </c>
    </row>
    <row r="36" spans="1:13" x14ac:dyDescent="0.25">
      <c r="A36" s="137" t="s">
        <v>143</v>
      </c>
      <c r="C36" s="145">
        <f>'Data Sheet'!C90*'Data Sheet'!C93</f>
        <v>35.171063199999999</v>
      </c>
      <c r="D36" s="145">
        <f>'Data Sheet'!D90*'Data Sheet'!D93</f>
        <v>14.1234444</v>
      </c>
      <c r="E36" s="145">
        <f>'Data Sheet'!E90*'Data Sheet'!E93</f>
        <v>4.8731394000000003</v>
      </c>
      <c r="F36" s="145">
        <f>'Data Sheet'!F90*'Data Sheet'!F93</f>
        <v>8.6681600000000003</v>
      </c>
      <c r="G36" s="145">
        <f>'Data Sheet'!G90*'Data Sheet'!G93</f>
        <v>7.3218864000000004</v>
      </c>
      <c r="H36" s="145">
        <f>'Data Sheet'!H90*'Data Sheet'!H93</f>
        <v>6.5542499999999997</v>
      </c>
      <c r="I36" s="145">
        <f>'Data Sheet'!I90*'Data Sheet'!I93</f>
        <v>10.303604999999999</v>
      </c>
      <c r="J36" s="145">
        <f>'Data Sheet'!J90*'Data Sheet'!J93</f>
        <v>10.992735</v>
      </c>
      <c r="K36" s="145">
        <f>'Data Sheet'!K90*'Data Sheet'!K93</f>
        <v>111.22780499999999</v>
      </c>
      <c r="L36" s="145">
        <f>'Data Sheet'!L90*'Data Sheet'!L93</f>
        <v>303.43950000000001</v>
      </c>
    </row>
    <row r="37" spans="1:13" x14ac:dyDescent="0.25">
      <c r="A37" s="138" t="s">
        <v>357</v>
      </c>
      <c r="B37" s="138">
        <f>'Data Sheet'!B9</f>
        <v>303.13</v>
      </c>
      <c r="C37" s="473"/>
      <c r="D37" s="474"/>
      <c r="E37" s="474"/>
      <c r="F37" s="474"/>
      <c r="G37" s="474"/>
      <c r="H37" s="474"/>
      <c r="I37" s="474"/>
      <c r="J37" s="474"/>
      <c r="K37" s="475"/>
      <c r="L37" s="126"/>
    </row>
    <row r="38" spans="1:13" x14ac:dyDescent="0.25">
      <c r="A38" s="470"/>
      <c r="B38" s="470"/>
      <c r="C38" s="470"/>
      <c r="D38" s="470"/>
      <c r="E38" s="470"/>
      <c r="F38" s="470"/>
      <c r="G38" s="470"/>
      <c r="H38" s="470"/>
      <c r="I38" s="470"/>
      <c r="J38" s="470"/>
      <c r="K38" s="470"/>
      <c r="L38" s="126"/>
    </row>
    <row r="39" spans="1:13" x14ac:dyDescent="0.25">
      <c r="A39" s="139" t="s">
        <v>358</v>
      </c>
      <c r="B39" s="137">
        <f>'Data Sheet'!B57</f>
        <v>6.77</v>
      </c>
      <c r="C39" s="137">
        <f>'Data Sheet'!C57</f>
        <v>7.43</v>
      </c>
      <c r="D39" s="137">
        <f>'Data Sheet'!D57</f>
        <v>7.87</v>
      </c>
      <c r="E39" s="137">
        <f>'Data Sheet'!E57</f>
        <v>7.87</v>
      </c>
      <c r="F39" s="137">
        <f>'Data Sheet'!F57</f>
        <v>8.4700000000000006</v>
      </c>
      <c r="G39" s="137">
        <f>'Data Sheet'!G57</f>
        <v>8.9700000000000006</v>
      </c>
      <c r="H39" s="137">
        <f>'Data Sheet'!H57</f>
        <v>9.7100000000000009</v>
      </c>
      <c r="I39" s="137">
        <f>'Data Sheet'!I57</f>
        <v>11.12</v>
      </c>
      <c r="J39" s="137">
        <f>'Data Sheet'!J57</f>
        <v>11.12</v>
      </c>
      <c r="K39" s="137">
        <f>'Data Sheet'!K57</f>
        <v>11.12</v>
      </c>
      <c r="L39" s="137">
        <f>'Data Sheet'!L57</f>
        <v>11.12</v>
      </c>
      <c r="M39" s="168">
        <f>(L39/C39)^(1/9)-1</f>
        <v>4.5820933075432668E-2</v>
      </c>
    </row>
    <row r="40" spans="1:13" x14ac:dyDescent="0.25">
      <c r="A40" s="139" t="s">
        <v>359</v>
      </c>
      <c r="B40" s="139">
        <f>'Data Sheet'!B58</f>
        <v>3.45</v>
      </c>
      <c r="C40" s="139">
        <f>'Data Sheet'!C58</f>
        <v>7.71</v>
      </c>
      <c r="D40" s="139">
        <f>'Data Sheet'!D58</f>
        <v>9.83</v>
      </c>
      <c r="E40" s="139">
        <f>'Data Sheet'!E58</f>
        <v>7.11</v>
      </c>
      <c r="F40" s="139">
        <f>'Data Sheet'!F58</f>
        <v>5.55</v>
      </c>
      <c r="G40" s="139">
        <f>'Data Sheet'!G58</f>
        <v>5.96</v>
      </c>
      <c r="H40" s="139">
        <f>'Data Sheet'!H58</f>
        <v>6.58</v>
      </c>
      <c r="I40" s="139">
        <f>'Data Sheet'!I58</f>
        <v>7.44</v>
      </c>
      <c r="J40" s="139">
        <f>'Data Sheet'!J58</f>
        <v>7.49</v>
      </c>
      <c r="K40" s="139">
        <f>'Data Sheet'!K58</f>
        <v>13.08</v>
      </c>
      <c r="L40" s="139">
        <f>'Data Sheet'!L58</f>
        <v>25.01</v>
      </c>
    </row>
    <row r="41" spans="1:13" x14ac:dyDescent="0.25">
      <c r="A41" s="139" t="s">
        <v>360</v>
      </c>
      <c r="B41" s="137">
        <f t="shared" ref="B41:C41" si="13">B40+B39</f>
        <v>10.219999999999999</v>
      </c>
      <c r="C41" s="137">
        <f t="shared" si="13"/>
        <v>15.14</v>
      </c>
      <c r="D41" s="137">
        <f t="shared" ref="D41:L41" si="14">D40+D39</f>
        <v>17.7</v>
      </c>
      <c r="E41" s="137">
        <f t="shared" si="14"/>
        <v>14.98</v>
      </c>
      <c r="F41" s="137">
        <f t="shared" si="14"/>
        <v>14.02</v>
      </c>
      <c r="G41" s="137">
        <f t="shared" si="14"/>
        <v>14.93</v>
      </c>
      <c r="H41" s="137">
        <f t="shared" si="14"/>
        <v>16.29</v>
      </c>
      <c r="I41" s="137">
        <f t="shared" si="14"/>
        <v>18.559999999999999</v>
      </c>
      <c r="J41" s="137">
        <f t="shared" si="14"/>
        <v>18.61</v>
      </c>
      <c r="K41" s="137">
        <f t="shared" si="14"/>
        <v>24.2</v>
      </c>
      <c r="L41" s="137">
        <f t="shared" si="14"/>
        <v>36.130000000000003</v>
      </c>
    </row>
    <row r="42" spans="1:13" x14ac:dyDescent="0.25">
      <c r="A42" s="152" t="s">
        <v>361</v>
      </c>
      <c r="B42" s="140"/>
      <c r="C42" s="137"/>
      <c r="D42" s="137"/>
      <c r="E42" s="137"/>
      <c r="F42" s="137"/>
      <c r="G42" s="137"/>
      <c r="H42" s="137"/>
      <c r="I42" s="137"/>
      <c r="J42" s="137"/>
      <c r="K42" s="137"/>
      <c r="L42" s="126"/>
    </row>
    <row r="43" spans="1:13" x14ac:dyDescent="0.25">
      <c r="A43" s="152" t="s">
        <v>362</v>
      </c>
      <c r="B43" s="140"/>
      <c r="C43" s="137"/>
      <c r="D43" s="137"/>
      <c r="E43" s="137"/>
      <c r="F43" s="137"/>
      <c r="G43" s="137"/>
      <c r="H43" s="137"/>
      <c r="I43" s="137"/>
      <c r="J43" s="137"/>
      <c r="K43" s="137"/>
      <c r="L43" s="126"/>
    </row>
    <row r="44" spans="1:13" x14ac:dyDescent="0.25">
      <c r="A44" s="152" t="s">
        <v>66</v>
      </c>
      <c r="B44" s="139">
        <f>'Data Sheet'!B59</f>
        <v>1.24</v>
      </c>
      <c r="C44" s="139">
        <f>'Data Sheet'!C59</f>
        <v>4.09</v>
      </c>
      <c r="D44" s="139">
        <f>'Data Sheet'!D59</f>
        <v>5.72</v>
      </c>
      <c r="E44" s="139">
        <f>'Data Sheet'!E59</f>
        <v>7.93</v>
      </c>
      <c r="F44" s="139">
        <f>'Data Sheet'!F59</f>
        <v>7.18</v>
      </c>
      <c r="G44" s="139">
        <f>'Data Sheet'!G59</f>
        <v>6.03</v>
      </c>
      <c r="H44" s="139">
        <f>'Data Sheet'!H59</f>
        <v>4.8899999999999997</v>
      </c>
      <c r="I44" s="139">
        <f>'Data Sheet'!I59</f>
        <v>2.5</v>
      </c>
      <c r="J44" s="139">
        <f>'Data Sheet'!J59</f>
        <v>3.25</v>
      </c>
      <c r="K44" s="139">
        <f>'Data Sheet'!K59</f>
        <v>2.19</v>
      </c>
      <c r="L44" s="139">
        <f>'Data Sheet'!L59</f>
        <v>0</v>
      </c>
    </row>
    <row r="45" spans="1:13" x14ac:dyDescent="0.25">
      <c r="A45" s="152" t="s">
        <v>67</v>
      </c>
      <c r="B45" s="139">
        <f>'Data Sheet'!B60</f>
        <v>5.43</v>
      </c>
      <c r="C45" s="139">
        <f>'Data Sheet'!C60</f>
        <v>5.07</v>
      </c>
      <c r="D45" s="139">
        <f>'Data Sheet'!D60</f>
        <v>4.4400000000000004</v>
      </c>
      <c r="E45" s="139">
        <f>'Data Sheet'!E60</f>
        <v>6.48</v>
      </c>
      <c r="F45" s="139">
        <f>'Data Sheet'!F60</f>
        <v>5.85</v>
      </c>
      <c r="G45" s="139">
        <f>'Data Sheet'!G60</f>
        <v>5.84</v>
      </c>
      <c r="H45" s="139">
        <f>'Data Sheet'!H60</f>
        <v>6.86</v>
      </c>
      <c r="I45" s="139">
        <f>'Data Sheet'!I60</f>
        <v>4.78</v>
      </c>
      <c r="J45" s="139">
        <f>'Data Sheet'!J60</f>
        <v>5.7</v>
      </c>
      <c r="K45" s="139">
        <f>'Data Sheet'!K60</f>
        <v>8.59</v>
      </c>
      <c r="L45" s="139">
        <f>'Data Sheet'!L60</f>
        <v>14</v>
      </c>
    </row>
    <row r="46" spans="1:13" x14ac:dyDescent="0.25">
      <c r="A46" s="152" t="s">
        <v>384</v>
      </c>
      <c r="B46" s="139">
        <f>'Data Sheet'!B65</f>
        <v>6.93</v>
      </c>
      <c r="C46" s="139">
        <f>'Data Sheet'!C65</f>
        <v>8.2899999999999991</v>
      </c>
      <c r="D46" s="139">
        <f>'Data Sheet'!D65</f>
        <v>8.41</v>
      </c>
      <c r="E46" s="139">
        <f>'Data Sheet'!E65</f>
        <v>8.6</v>
      </c>
      <c r="F46" s="139">
        <f>'Data Sheet'!F65</f>
        <v>7.92</v>
      </c>
      <c r="G46" s="139">
        <f>'Data Sheet'!G65</f>
        <v>8.64</v>
      </c>
      <c r="H46" s="139">
        <f>'Data Sheet'!H65</f>
        <v>10.72</v>
      </c>
      <c r="I46" s="139">
        <f>'Data Sheet'!I65</f>
        <v>8.49</v>
      </c>
      <c r="J46" s="139">
        <f>'Data Sheet'!J65</f>
        <v>11.21</v>
      </c>
      <c r="K46" s="139">
        <f>'Data Sheet'!K65</f>
        <v>19.309999999999999</v>
      </c>
      <c r="L46" s="139">
        <f>'Data Sheet'!L65</f>
        <v>35</v>
      </c>
    </row>
    <row r="47" spans="1:13" x14ac:dyDescent="0.25">
      <c r="A47" s="152" t="s">
        <v>338</v>
      </c>
      <c r="B47" s="139">
        <f>'Data Sheet'!B60</f>
        <v>5.43</v>
      </c>
      <c r="C47" s="139">
        <f>'Data Sheet'!C60</f>
        <v>5.07</v>
      </c>
      <c r="D47" s="139">
        <f>'Data Sheet'!D60</f>
        <v>4.4400000000000004</v>
      </c>
      <c r="E47" s="139">
        <f>'Data Sheet'!E60</f>
        <v>6.48</v>
      </c>
      <c r="F47" s="139">
        <f>'Data Sheet'!F60</f>
        <v>5.85</v>
      </c>
      <c r="G47" s="139">
        <f>'Data Sheet'!G60</f>
        <v>5.84</v>
      </c>
      <c r="H47" s="139">
        <f>'Data Sheet'!H60</f>
        <v>6.86</v>
      </c>
      <c r="I47" s="139">
        <f>'Data Sheet'!I60</f>
        <v>4.78</v>
      </c>
      <c r="J47" s="139">
        <f>'Data Sheet'!J60</f>
        <v>5.7</v>
      </c>
      <c r="K47" s="139">
        <f>'Data Sheet'!K60</f>
        <v>8.59</v>
      </c>
      <c r="L47" s="139">
        <f>'Data Sheet'!L60</f>
        <v>14</v>
      </c>
    </row>
    <row r="48" spans="1:13" x14ac:dyDescent="0.25">
      <c r="A48" s="152" t="s">
        <v>366</v>
      </c>
      <c r="B48" s="139">
        <f>'Data Sheet'!B66</f>
        <v>16.89</v>
      </c>
      <c r="C48" s="139">
        <f>'Data Sheet'!C66</f>
        <v>24.3</v>
      </c>
      <c r="D48" s="139">
        <f>'Data Sheet'!D66</f>
        <v>27.86</v>
      </c>
      <c r="E48" s="139">
        <f>'Data Sheet'!E66</f>
        <v>29.39</v>
      </c>
      <c r="F48" s="139">
        <f>'Data Sheet'!F66</f>
        <v>27.05</v>
      </c>
      <c r="G48" s="139">
        <f>'Data Sheet'!G66</f>
        <v>26.8</v>
      </c>
      <c r="H48" s="139">
        <f>'Data Sheet'!H66</f>
        <v>28.04</v>
      </c>
      <c r="I48" s="139">
        <f>'Data Sheet'!I66</f>
        <v>25.84</v>
      </c>
      <c r="J48" s="139">
        <f>'Data Sheet'!J66</f>
        <v>27.56</v>
      </c>
      <c r="K48" s="139">
        <f>'Data Sheet'!K66</f>
        <v>34.979999999999997</v>
      </c>
      <c r="L48" s="139">
        <f>'Data Sheet'!L66</f>
        <v>50.58</v>
      </c>
    </row>
    <row r="49" spans="1:12" x14ac:dyDescent="0.25">
      <c r="A49" s="137" t="s">
        <v>363</v>
      </c>
      <c r="B49" s="137">
        <f>'Data Sheet'!B62</f>
        <v>9.14</v>
      </c>
      <c r="C49" s="137">
        <f>'Data Sheet'!C62</f>
        <v>13.4</v>
      </c>
      <c r="D49" s="137">
        <f>'Data Sheet'!D62</f>
        <v>17.75</v>
      </c>
      <c r="E49" s="137">
        <f>'Data Sheet'!E62</f>
        <v>20.38</v>
      </c>
      <c r="F49" s="137">
        <f>'Data Sheet'!F62</f>
        <v>19.05</v>
      </c>
      <c r="G49" s="137">
        <f>'Data Sheet'!G62</f>
        <v>17.850000000000001</v>
      </c>
      <c r="H49" s="137">
        <f>'Data Sheet'!H62</f>
        <v>16.78</v>
      </c>
      <c r="I49" s="137">
        <f>'Data Sheet'!I62</f>
        <v>17.2</v>
      </c>
      <c r="J49" s="137">
        <f>'Data Sheet'!J62</f>
        <v>16.28</v>
      </c>
      <c r="K49" s="137">
        <f>'Data Sheet'!K62</f>
        <v>15.61</v>
      </c>
      <c r="L49" s="137">
        <f>'Data Sheet'!L62</f>
        <v>15.55</v>
      </c>
    </row>
    <row r="50" spans="1:12" x14ac:dyDescent="0.25">
      <c r="A50" s="137" t="s">
        <v>23</v>
      </c>
      <c r="B50" s="137">
        <f>'Data Sheet'!B63</f>
        <v>0</v>
      </c>
      <c r="C50" s="137">
        <f>'Data Sheet'!C63</f>
        <v>0.21</v>
      </c>
      <c r="D50" s="137">
        <f>'Data Sheet'!D63</f>
        <v>0.73</v>
      </c>
      <c r="E50" s="137">
        <f>'Data Sheet'!E63</f>
        <v>0</v>
      </c>
      <c r="F50" s="137">
        <f>'Data Sheet'!F63</f>
        <v>0</v>
      </c>
      <c r="G50" s="137">
        <f>'Data Sheet'!G63</f>
        <v>0</v>
      </c>
      <c r="H50" s="137">
        <f>'Data Sheet'!H63</f>
        <v>7.0000000000000007E-2</v>
      </c>
      <c r="I50" s="137">
        <f>'Data Sheet'!I63</f>
        <v>0</v>
      </c>
      <c r="J50" s="137">
        <f>'Data Sheet'!J63</f>
        <v>0</v>
      </c>
      <c r="K50" s="137">
        <f>'Data Sheet'!K63</f>
        <v>0</v>
      </c>
      <c r="L50" s="137">
        <f>'Data Sheet'!L63</f>
        <v>0</v>
      </c>
    </row>
    <row r="51" spans="1:12" x14ac:dyDescent="0.25">
      <c r="A51" s="152" t="s">
        <v>25</v>
      </c>
      <c r="B51" s="139">
        <f>'Data Sheet'!B65-'Data Sheet'!B60</f>
        <v>1.5</v>
      </c>
      <c r="C51" s="139">
        <f>'Data Sheet'!C65-'Data Sheet'!C60</f>
        <v>3.2199999999999989</v>
      </c>
      <c r="D51" s="139">
        <f>'Data Sheet'!D65-'Data Sheet'!D60</f>
        <v>3.9699999999999998</v>
      </c>
      <c r="E51" s="139">
        <f>'Data Sheet'!E65-'Data Sheet'!E60</f>
        <v>2.1199999999999992</v>
      </c>
      <c r="F51" s="139">
        <f>'Data Sheet'!F65-'Data Sheet'!F60</f>
        <v>2.0700000000000003</v>
      </c>
      <c r="G51" s="139">
        <f>'Data Sheet'!G65-'Data Sheet'!G60</f>
        <v>2.8000000000000007</v>
      </c>
      <c r="H51" s="139">
        <f>'Data Sheet'!H65-'Data Sheet'!H60</f>
        <v>3.8600000000000003</v>
      </c>
      <c r="I51" s="139">
        <f>'Data Sheet'!I65-'Data Sheet'!I60</f>
        <v>3.71</v>
      </c>
      <c r="J51" s="139">
        <f>'Data Sheet'!J65-'Data Sheet'!J60</f>
        <v>5.5100000000000007</v>
      </c>
      <c r="K51" s="139">
        <f>'Data Sheet'!K65-'Data Sheet'!K60</f>
        <v>10.719999999999999</v>
      </c>
      <c r="L51" s="139">
        <f>'Data Sheet'!L65-'Data Sheet'!L60</f>
        <v>21</v>
      </c>
    </row>
    <row r="52" spans="1:12" x14ac:dyDescent="0.25">
      <c r="A52" s="139" t="s">
        <v>39</v>
      </c>
      <c r="B52" s="139">
        <f>'Data Sheet'!B67</f>
        <v>2.69</v>
      </c>
      <c r="C52" s="139">
        <f>'Data Sheet'!C67</f>
        <v>3.25</v>
      </c>
      <c r="D52" s="139">
        <f>'Data Sheet'!D67</f>
        <v>0.75</v>
      </c>
      <c r="E52" s="139">
        <f>'Data Sheet'!E67</f>
        <v>3.09</v>
      </c>
      <c r="F52" s="139">
        <f>'Data Sheet'!F67</f>
        <v>1.69</v>
      </c>
      <c r="G52" s="139">
        <f>'Data Sheet'!G67</f>
        <v>1.87</v>
      </c>
      <c r="H52" s="139">
        <f>'Data Sheet'!H67</f>
        <v>2.7</v>
      </c>
      <c r="I52" s="139">
        <f>'Data Sheet'!I67</f>
        <v>1.28</v>
      </c>
      <c r="J52" s="139">
        <f>'Data Sheet'!J67</f>
        <v>3.17</v>
      </c>
      <c r="K52" s="139">
        <f>'Data Sheet'!K67</f>
        <v>8.18</v>
      </c>
      <c r="L52" s="139">
        <f>'Data Sheet'!L67</f>
        <v>13.27</v>
      </c>
    </row>
    <row r="53" spans="1:12" x14ac:dyDescent="0.25">
      <c r="A53" s="139" t="s">
        <v>40</v>
      </c>
      <c r="B53" s="139">
        <f>'Data Sheet'!B68</f>
        <v>1.23</v>
      </c>
      <c r="C53" s="139">
        <f>'Data Sheet'!C68</f>
        <v>2.97</v>
      </c>
      <c r="D53" s="139">
        <f>'Data Sheet'!D68</f>
        <v>2.3199999999999998</v>
      </c>
      <c r="E53" s="139">
        <f>'Data Sheet'!E68</f>
        <v>2.09</v>
      </c>
      <c r="F53" s="139">
        <f>'Data Sheet'!F68</f>
        <v>1.99</v>
      </c>
      <c r="G53" s="139">
        <f>'Data Sheet'!G68</f>
        <v>2.94</v>
      </c>
      <c r="H53" s="139">
        <f>'Data Sheet'!H68</f>
        <v>3.95</v>
      </c>
      <c r="I53" s="139">
        <f>'Data Sheet'!I68</f>
        <v>2.97</v>
      </c>
      <c r="J53" s="139">
        <f>'Data Sheet'!J68</f>
        <v>4.71</v>
      </c>
      <c r="K53" s="139">
        <f>'Data Sheet'!K68</f>
        <v>3.47</v>
      </c>
      <c r="L53" s="139">
        <f>'Data Sheet'!L68</f>
        <v>3.42</v>
      </c>
    </row>
    <row r="54" spans="1:12" x14ac:dyDescent="0.25">
      <c r="A54" s="139" t="s">
        <v>383</v>
      </c>
      <c r="B54" s="139">
        <f>'Data Sheet'!B69</f>
        <v>0.62</v>
      </c>
      <c r="C54" s="139">
        <f>'Data Sheet'!C69</f>
        <v>0.08</v>
      </c>
      <c r="D54" s="139">
        <f>'Data Sheet'!D69</f>
        <v>1.67</v>
      </c>
      <c r="E54" s="139">
        <f>'Data Sheet'!E69</f>
        <v>0.28000000000000003</v>
      </c>
      <c r="F54" s="139">
        <f>'Data Sheet'!F69</f>
        <v>0.15</v>
      </c>
      <c r="G54" s="139">
        <f>'Data Sheet'!G69</f>
        <v>0.18</v>
      </c>
      <c r="H54" s="139">
        <f>'Data Sheet'!H69</f>
        <v>0.24</v>
      </c>
      <c r="I54" s="139">
        <f>'Data Sheet'!I69</f>
        <v>0.39</v>
      </c>
      <c r="J54" s="139">
        <f>'Data Sheet'!J69</f>
        <v>0.25</v>
      </c>
      <c r="K54" s="139">
        <f>'Data Sheet'!K69</f>
        <v>3.2</v>
      </c>
      <c r="L54" s="139">
        <f>'Data Sheet'!L69</f>
        <v>9.19</v>
      </c>
    </row>
    <row r="55" spans="1:12" x14ac:dyDescent="0.25">
      <c r="A55" s="137" t="s">
        <v>364</v>
      </c>
      <c r="B55" s="140"/>
      <c r="C55" s="137"/>
      <c r="D55" s="137"/>
      <c r="E55" s="137"/>
      <c r="F55" s="137"/>
      <c r="G55" s="137"/>
      <c r="H55" s="137"/>
      <c r="I55" s="137"/>
      <c r="J55" s="137"/>
      <c r="K55" s="137"/>
      <c r="L55" s="126"/>
    </row>
    <row r="56" spans="1:12" x14ac:dyDescent="0.25">
      <c r="A56" s="152" t="s">
        <v>365</v>
      </c>
      <c r="B56" s="137">
        <f>B41+B44</f>
        <v>11.459999999999999</v>
      </c>
      <c r="C56" s="137">
        <f t="shared" ref="C56:L56" si="15">C41+C44</f>
        <v>19.23</v>
      </c>
      <c r="D56" s="137">
        <f t="shared" si="15"/>
        <v>23.419999999999998</v>
      </c>
      <c r="E56" s="137">
        <f t="shared" si="15"/>
        <v>22.91</v>
      </c>
      <c r="F56" s="137">
        <f t="shared" si="15"/>
        <v>21.2</v>
      </c>
      <c r="G56" s="137">
        <f t="shared" si="15"/>
        <v>20.96</v>
      </c>
      <c r="H56" s="137">
        <f t="shared" si="15"/>
        <v>21.18</v>
      </c>
      <c r="I56" s="137">
        <f t="shared" si="15"/>
        <v>21.06</v>
      </c>
      <c r="J56" s="137">
        <f t="shared" si="15"/>
        <v>21.86</v>
      </c>
      <c r="K56" s="137">
        <f t="shared" si="15"/>
        <v>26.39</v>
      </c>
      <c r="L56" s="137">
        <f t="shared" si="15"/>
        <v>36.130000000000003</v>
      </c>
    </row>
    <row r="57" spans="1:12" x14ac:dyDescent="0.25">
      <c r="A57" s="152" t="s">
        <v>168</v>
      </c>
      <c r="B57" s="137">
        <f>B48-B47</f>
        <v>11.46</v>
      </c>
      <c r="C57" s="137">
        <f t="shared" ref="C57:L57" si="16">C48-C47</f>
        <v>19.23</v>
      </c>
      <c r="D57" s="137">
        <f t="shared" si="16"/>
        <v>23.419999999999998</v>
      </c>
      <c r="E57" s="137">
        <f t="shared" si="16"/>
        <v>22.91</v>
      </c>
      <c r="F57" s="137">
        <f t="shared" si="16"/>
        <v>21.200000000000003</v>
      </c>
      <c r="G57" s="137">
        <f t="shared" si="16"/>
        <v>20.96</v>
      </c>
      <c r="H57" s="137">
        <f t="shared" si="16"/>
        <v>21.18</v>
      </c>
      <c r="I57" s="137">
        <f t="shared" si="16"/>
        <v>21.06</v>
      </c>
      <c r="J57" s="137">
        <f t="shared" si="16"/>
        <v>21.86</v>
      </c>
      <c r="K57" s="137">
        <f t="shared" si="16"/>
        <v>26.389999999999997</v>
      </c>
      <c r="L57" s="137">
        <f t="shared" si="16"/>
        <v>36.58</v>
      </c>
    </row>
    <row r="58" spans="1:12" x14ac:dyDescent="0.25">
      <c r="A58" s="152" t="s">
        <v>388</v>
      </c>
      <c r="B58" s="137">
        <f>'Data Sheet'!B59+'Data Sheet'!B60</f>
        <v>6.67</v>
      </c>
      <c r="C58" s="137">
        <f>'Data Sheet'!C59+'Data Sheet'!C60</f>
        <v>9.16</v>
      </c>
      <c r="D58" s="137">
        <f>'Data Sheet'!D59+'Data Sheet'!D60</f>
        <v>10.16</v>
      </c>
      <c r="E58" s="137">
        <f>'Data Sheet'!E59+'Data Sheet'!E60</f>
        <v>14.41</v>
      </c>
      <c r="F58" s="137">
        <f>'Data Sheet'!F59+'Data Sheet'!F60</f>
        <v>13.03</v>
      </c>
      <c r="G58" s="137">
        <f>'Data Sheet'!G59+'Data Sheet'!G60</f>
        <v>11.870000000000001</v>
      </c>
      <c r="H58" s="137">
        <f>'Data Sheet'!H59+'Data Sheet'!H60</f>
        <v>11.75</v>
      </c>
      <c r="I58" s="137">
        <f>'Data Sheet'!I59+'Data Sheet'!I60</f>
        <v>7.28</v>
      </c>
      <c r="J58" s="137">
        <f>'Data Sheet'!J59+'Data Sheet'!J60</f>
        <v>8.9499999999999993</v>
      </c>
      <c r="K58" s="137">
        <f>'Data Sheet'!K59+'Data Sheet'!K60</f>
        <v>10.78</v>
      </c>
      <c r="L58" s="137">
        <f>'Data Sheet'!L59+'Data Sheet'!L60</f>
        <v>14</v>
      </c>
    </row>
    <row r="59" spans="1:12" x14ac:dyDescent="0.25">
      <c r="A59" s="140" t="s">
        <v>366</v>
      </c>
      <c r="B59" s="141">
        <f>'Data Sheet'!B66</f>
        <v>16.89</v>
      </c>
      <c r="C59" s="141">
        <f>'Data Sheet'!C66</f>
        <v>24.3</v>
      </c>
      <c r="D59" s="141">
        <f>'Data Sheet'!D66</f>
        <v>27.86</v>
      </c>
      <c r="E59" s="141">
        <f>'Data Sheet'!E66</f>
        <v>29.39</v>
      </c>
      <c r="F59" s="141">
        <f>'Data Sheet'!F66</f>
        <v>27.05</v>
      </c>
      <c r="G59" s="141">
        <f>'Data Sheet'!G66</f>
        <v>26.8</v>
      </c>
      <c r="H59" s="141">
        <f>'Data Sheet'!H66</f>
        <v>28.04</v>
      </c>
      <c r="I59" s="141">
        <f>'Data Sheet'!I66</f>
        <v>25.84</v>
      </c>
      <c r="J59" s="141">
        <f>'Data Sheet'!J66</f>
        <v>27.56</v>
      </c>
      <c r="K59" s="141">
        <f>'Data Sheet'!K66</f>
        <v>34.979999999999997</v>
      </c>
      <c r="L59" s="141">
        <f>'Data Sheet'!L66</f>
        <v>50.58</v>
      </c>
    </row>
    <row r="60" spans="1:12" x14ac:dyDescent="0.25">
      <c r="A60" s="476"/>
      <c r="B60" s="476"/>
      <c r="C60" s="476"/>
      <c r="D60" s="476"/>
      <c r="E60" s="476"/>
      <c r="F60" s="476"/>
      <c r="G60" s="476"/>
      <c r="H60" s="476"/>
      <c r="I60" s="476"/>
      <c r="J60" s="476"/>
      <c r="K60" s="476"/>
      <c r="L60" s="126"/>
    </row>
    <row r="61" spans="1:12" x14ac:dyDescent="0.25">
      <c r="A61" s="139" t="s">
        <v>367</v>
      </c>
      <c r="B61" s="137">
        <f>'Data Sheet'!B82</f>
        <v>2.48</v>
      </c>
      <c r="C61" s="137">
        <f>'Data Sheet'!C82</f>
        <v>1.41</v>
      </c>
      <c r="D61" s="137">
        <f>'Data Sheet'!D82</f>
        <v>3.89</v>
      </c>
      <c r="E61" s="137">
        <f>'Data Sheet'!E82</f>
        <v>0.45</v>
      </c>
      <c r="F61" s="137">
        <f>'Data Sheet'!F82</f>
        <v>0.64</v>
      </c>
      <c r="G61" s="137">
        <f>'Data Sheet'!G82</f>
        <v>1.46</v>
      </c>
      <c r="H61" s="137">
        <f>'Data Sheet'!H82</f>
        <v>1.91</v>
      </c>
      <c r="I61" s="137">
        <f>'Data Sheet'!I82</f>
        <v>1.91</v>
      </c>
      <c r="J61" s="137">
        <f>'Data Sheet'!J82</f>
        <v>-0.28999999999999998</v>
      </c>
      <c r="K61" s="137">
        <f>'Data Sheet'!K82</f>
        <v>6.85</v>
      </c>
      <c r="L61" s="137">
        <f>'Data Sheet'!L82</f>
        <v>14</v>
      </c>
    </row>
    <row r="62" spans="1:12" x14ac:dyDescent="0.25">
      <c r="A62" s="139" t="s">
        <v>219</v>
      </c>
      <c r="B62" s="142"/>
      <c r="C62" s="142">
        <f t="shared" ref="C62:L62" si="17">C61-C23</f>
        <v>-3.7799999999999994</v>
      </c>
      <c r="D62" s="142">
        <f t="shared" si="17"/>
        <v>-2.0599999999999992</v>
      </c>
      <c r="E62" s="142">
        <f t="shared" si="17"/>
        <v>-2.8299999999999987</v>
      </c>
      <c r="F62" s="142">
        <f t="shared" si="17"/>
        <v>0.57999999999999841</v>
      </c>
      <c r="G62" s="142">
        <f t="shared" si="17"/>
        <v>1.2799999999999994</v>
      </c>
      <c r="H62" s="142">
        <f t="shared" si="17"/>
        <v>1.54</v>
      </c>
      <c r="I62" s="142">
        <f t="shared" si="17"/>
        <v>0.1400000000000019</v>
      </c>
      <c r="J62" s="142">
        <f t="shared" si="17"/>
        <v>-0.88000000000000189</v>
      </c>
      <c r="K62" s="142">
        <f t="shared" si="17"/>
        <v>5.6900000000000013</v>
      </c>
      <c r="L62" s="142">
        <f t="shared" si="17"/>
        <v>12.129999999999999</v>
      </c>
    </row>
    <row r="63" spans="1:12" x14ac:dyDescent="0.25">
      <c r="A63" s="139" t="s">
        <v>368</v>
      </c>
      <c r="B63" s="143">
        <f>B33/B32</f>
        <v>0.375257731958763</v>
      </c>
      <c r="C63" s="143">
        <f t="shared" ref="C63:L63" si="18">C33/C32</f>
        <v>0.30334190231362479</v>
      </c>
      <c r="D63" s="143">
        <f t="shared" si="18"/>
        <v>0.56746031746031766</v>
      </c>
      <c r="E63" s="143">
        <f t="shared" si="18"/>
        <v>0.29350649350649349</v>
      </c>
      <c r="F63" s="143">
        <f t="shared" si="18"/>
        <v>0.38607594936708867</v>
      </c>
      <c r="G63" s="143">
        <f t="shared" si="18"/>
        <v>0.3035714285714281</v>
      </c>
      <c r="H63" s="143">
        <f t="shared" si="18"/>
        <v>0.17808219178082196</v>
      </c>
      <c r="I63" s="143">
        <f t="shared" si="18"/>
        <v>0.37226277372262778</v>
      </c>
      <c r="J63" s="143">
        <f t="shared" si="18"/>
        <v>0.66666666666665453</v>
      </c>
      <c r="K63" s="143">
        <f t="shared" si="18"/>
        <v>0.32604895104895115</v>
      </c>
      <c r="L63" s="143">
        <f t="shared" si="18"/>
        <v>0.24587503381119827</v>
      </c>
    </row>
    <row r="64" spans="1:12" x14ac:dyDescent="0.25">
      <c r="A64" s="139" t="s">
        <v>385</v>
      </c>
      <c r="B64" s="142">
        <f t="shared" ref="B64:L64" si="19">B30*(1-B63)</f>
        <v>3.0299999999999985</v>
      </c>
      <c r="C64" s="142">
        <f t="shared" si="19"/>
        <v>2.7796658097686362</v>
      </c>
      <c r="D64" s="142">
        <f t="shared" si="19"/>
        <v>1.3711507936507925</v>
      </c>
      <c r="E64" s="142">
        <f t="shared" si="19"/>
        <v>-1.978181818181818</v>
      </c>
      <c r="F64" s="142">
        <f t="shared" si="19"/>
        <v>-1.3383544303797463</v>
      </c>
      <c r="G64" s="142">
        <f t="shared" si="19"/>
        <v>1.0446428571428583</v>
      </c>
      <c r="H64" s="142">
        <f t="shared" si="19"/>
        <v>1.306849315068493</v>
      </c>
      <c r="I64" s="142">
        <f t="shared" si="19"/>
        <v>1.1675912408759122</v>
      </c>
      <c r="J64" s="142">
        <f t="shared" si="19"/>
        <v>0.186666666666674</v>
      </c>
      <c r="K64" s="142">
        <f t="shared" si="19"/>
        <v>7.8852272727272688</v>
      </c>
      <c r="L64" s="142">
        <f t="shared" si="19"/>
        <v>28.038366242899649</v>
      </c>
    </row>
    <row r="65" spans="1:12" x14ac:dyDescent="0.25">
      <c r="A65" s="469"/>
      <c r="B65" s="469"/>
      <c r="C65" s="469"/>
      <c r="D65" s="469"/>
      <c r="E65" s="469"/>
      <c r="F65" s="469"/>
      <c r="G65" s="469"/>
      <c r="H65" s="469"/>
      <c r="I65" s="469"/>
      <c r="J65" s="469"/>
      <c r="K65" s="469"/>
      <c r="L65" s="126"/>
    </row>
    <row r="66" spans="1:12" x14ac:dyDescent="0.25">
      <c r="A66" s="153" t="s">
        <v>369</v>
      </c>
      <c r="C66" s="144">
        <f t="shared" ref="C66:L66" si="20">C36+B35</f>
        <v>35.171063199999999</v>
      </c>
      <c r="D66" s="144">
        <f t="shared" si="20"/>
        <v>14.1234444</v>
      </c>
      <c r="E66" s="144">
        <f t="shared" si="20"/>
        <v>4.8731394000000003</v>
      </c>
      <c r="F66" s="144">
        <f t="shared" si="20"/>
        <v>8.6681600000000003</v>
      </c>
      <c r="G66" s="144">
        <f t="shared" si="20"/>
        <v>7.3218864000000004</v>
      </c>
      <c r="H66" s="144">
        <f t="shared" si="20"/>
        <v>6.5542499999999997</v>
      </c>
      <c r="I66" s="144">
        <f t="shared" si="20"/>
        <v>10.303604999999999</v>
      </c>
      <c r="J66" s="144">
        <f t="shared" si="20"/>
        <v>10.992735</v>
      </c>
      <c r="K66" s="144">
        <f t="shared" si="20"/>
        <v>111.22780499999999</v>
      </c>
      <c r="L66" s="144">
        <f t="shared" si="20"/>
        <v>303.6995</v>
      </c>
    </row>
    <row r="67" spans="1:12" x14ac:dyDescent="0.25">
      <c r="A67" s="148" t="s">
        <v>370</v>
      </c>
      <c r="B67" s="144">
        <f t="shared" ref="B67:L67" si="21">B34-B35</f>
        <v>3.0299999999999985</v>
      </c>
      <c r="C67" s="144">
        <f t="shared" si="21"/>
        <v>2.7099999999999982</v>
      </c>
      <c r="D67" s="144">
        <f t="shared" si="21"/>
        <v>1.0899999999999992</v>
      </c>
      <c r="E67" s="144">
        <f t="shared" si="21"/>
        <v>-2.7199999999999998</v>
      </c>
      <c r="F67" s="144">
        <f t="shared" si="21"/>
        <v>-1.9399999999999993</v>
      </c>
      <c r="G67" s="144">
        <f t="shared" si="21"/>
        <v>0.3900000000000009</v>
      </c>
      <c r="H67" s="144">
        <f t="shared" si="21"/>
        <v>0.59999999999999987</v>
      </c>
      <c r="I67" s="144">
        <f t="shared" si="21"/>
        <v>0.85999999999999988</v>
      </c>
      <c r="J67" s="144">
        <f t="shared" si="21"/>
        <v>3.0000000000001636E-2</v>
      </c>
      <c r="K67" s="144">
        <f t="shared" si="21"/>
        <v>7.4499999999999957</v>
      </c>
      <c r="L67" s="144">
        <f t="shared" si="21"/>
        <v>27.619999999999997</v>
      </c>
    </row>
    <row r="68" spans="1:12" x14ac:dyDescent="0.25">
      <c r="A68" s="470"/>
      <c r="B68" s="470"/>
      <c r="C68" s="470"/>
      <c r="D68" s="470"/>
      <c r="E68" s="470"/>
      <c r="F68" s="470"/>
      <c r="G68" s="470"/>
      <c r="H68" s="470"/>
      <c r="I68" s="470"/>
      <c r="J68" s="470"/>
      <c r="K68" s="470"/>
      <c r="L68" s="126"/>
    </row>
    <row r="69" spans="1:12" x14ac:dyDescent="0.25">
      <c r="A69" s="155" t="s">
        <v>395</v>
      </c>
      <c r="B69" s="156"/>
      <c r="C69" s="156">
        <f>'Profit &amp; Loss'!C15/'Profit &amp; Loss'!C13</f>
        <v>4.9203263468634697</v>
      </c>
      <c r="D69" s="156">
        <f>'Profit &amp; Loss'!D15/'Profit &amp; Loss'!D13</f>
        <v>4.4707700917431197</v>
      </c>
      <c r="E69" s="156">
        <f>'Profit &amp; Loss'!E15/'Profit &amp; Loss'!E13</f>
        <v>-2.9638023529411761</v>
      </c>
      <c r="F69" s="156">
        <f>'Profit &amp; Loss'!F15/'Profit &amp; Loss'!F13</f>
        <v>-3.5605360824742274</v>
      </c>
      <c r="G69" s="156">
        <f>'Profit &amp; Loss'!G15/'Profit &amp; Loss'!G13</f>
        <v>15.530019230769231</v>
      </c>
      <c r="H69" s="156">
        <f>'Profit &amp; Loss'!H15/'Profit &amp; Loss'!H13</f>
        <v>15.25622033898305</v>
      </c>
      <c r="I69" s="156">
        <f>'Profit &amp; Loss'!I15/'Profit &amp; Loss'!I13</f>
        <v>12.782249999999999</v>
      </c>
      <c r="J69" s="156">
        <f>'Profit &amp; Loss'!J15/'Profit &amp; Loss'!J13</f>
        <v>2224.5560999999993</v>
      </c>
      <c r="K69" s="156">
        <f>'Profit &amp; Loss'!K15/'Profit &amp; Loss'!K13</f>
        <v>39.356614785992214</v>
      </c>
      <c r="L69" s="156">
        <f>'Profit &amp; Loss'!L15/'Profit &amp; Loss'!L13</f>
        <v>18.097313432835822</v>
      </c>
    </row>
    <row r="70" spans="1:12" x14ac:dyDescent="0.25">
      <c r="A70" s="155" t="s">
        <v>467</v>
      </c>
      <c r="B70" s="155"/>
      <c r="C70" s="156"/>
      <c r="D70" s="156">
        <f>D69/((('Profit &amp; Loss'!D13-'Profit &amp; Loss'!C13)/'Profit &amp; Loss'!C13)*100)</f>
        <v>-7.2078301422010146E-2</v>
      </c>
      <c r="E70" s="156">
        <f>E69/((('Profit &amp; Loss'!E13-'Profit &amp; Loss'!D13)/'Profit &amp; Loss'!D13)*100)</f>
        <v>8.4791195924038883E-3</v>
      </c>
      <c r="F70" s="156">
        <f>F69/((('Profit &amp; Loss'!F13-'Profit &amp; Loss'!E13)/'Profit &amp; Loss'!E13)*100)</f>
        <v>0.10575476846327886</v>
      </c>
      <c r="G70" s="156">
        <f>G69/((('Profit &amp; Loss'!G13-'Profit &amp; Loss'!F13)/'Profit &amp; Loss'!F13)*100)</f>
        <v>-0.13054255864189768</v>
      </c>
      <c r="H70" s="156">
        <f>H69/((('Profit &amp; Loss'!H13-'Profit &amp; Loss'!G13)/'Profit &amp; Loss'!G13)*100)</f>
        <v>0.38334124561293048</v>
      </c>
      <c r="I70" s="156">
        <f>I69/((('Profit &amp; Loss'!I13-'Profit &amp; Loss'!H13)/'Profit &amp; Loss'!H13)*100)</f>
        <v>0.46757260165946135</v>
      </c>
      <c r="J70" s="156">
        <f>J69/((('Profit &amp; Loss'!J13-'Profit &amp; Loss'!I13)/'Profit &amp; Loss'!I13)*100)</f>
        <v>-23.61874377777777</v>
      </c>
      <c r="K70" s="156">
        <f>K69/((('Profit &amp; Loss'!K13-'Profit &amp; Loss'!J13)/'Profit &amp; Loss'!J13)*100)</f>
        <v>2.5689696335504061E-3</v>
      </c>
      <c r="L70" s="156">
        <f>L69/((('Profit &amp; Loss'!L13-'Profit &amp; Loss'!K13)/'Profit &amp; Loss'!K13)*100)</f>
        <v>0.15447522716694229</v>
      </c>
    </row>
    <row r="71" spans="1:12" x14ac:dyDescent="0.25">
      <c r="A71" s="139" t="s">
        <v>371</v>
      </c>
      <c r="C71" s="179">
        <f>C36/C41</f>
        <v>2.3230556935270803</v>
      </c>
      <c r="D71" s="179">
        <f t="shared" ref="D71:L71" si="22">D36/D41</f>
        <v>0.79793471186440679</v>
      </c>
      <c r="E71" s="179">
        <f t="shared" si="22"/>
        <v>0.32530970627503342</v>
      </c>
      <c r="F71" s="179">
        <f t="shared" si="22"/>
        <v>0.6182710413694722</v>
      </c>
      <c r="G71" s="179">
        <f t="shared" si="22"/>
        <v>0.49041436034829206</v>
      </c>
      <c r="H71" s="179">
        <f t="shared" si="22"/>
        <v>0.40234806629834252</v>
      </c>
      <c r="I71" s="179">
        <f t="shared" si="22"/>
        <v>0.5551511314655172</v>
      </c>
      <c r="J71" s="179">
        <f t="shared" si="22"/>
        <v>0.59068968296614721</v>
      </c>
      <c r="K71" s="179">
        <f t="shared" si="22"/>
        <v>4.5961902892561977</v>
      </c>
      <c r="L71" s="179">
        <f t="shared" si="22"/>
        <v>8.3985469139219475</v>
      </c>
    </row>
    <row r="72" spans="1:12" x14ac:dyDescent="0.25">
      <c r="A72" s="140" t="s">
        <v>386</v>
      </c>
      <c r="B72" s="142"/>
      <c r="C72" s="142">
        <f>C36/C61</f>
        <v>24.944016453900709</v>
      </c>
      <c r="D72" s="142">
        <f t="shared" ref="D72:L72" si="23">D36/D61</f>
        <v>3.6307055012853469</v>
      </c>
      <c r="E72" s="142">
        <f t="shared" si="23"/>
        <v>10.829198666666667</v>
      </c>
      <c r="F72" s="142">
        <f t="shared" si="23"/>
        <v>13.544</v>
      </c>
      <c r="G72" s="142">
        <f t="shared" si="23"/>
        <v>5.0149906849315071</v>
      </c>
      <c r="H72" s="142">
        <f t="shared" si="23"/>
        <v>3.4315445026178009</v>
      </c>
      <c r="I72" s="142">
        <f t="shared" si="23"/>
        <v>5.3945575916230366</v>
      </c>
      <c r="J72" s="142">
        <f t="shared" si="23"/>
        <v>-37.905982758620688</v>
      </c>
      <c r="K72" s="142">
        <f t="shared" si="23"/>
        <v>16.237635766423356</v>
      </c>
      <c r="L72" s="142">
        <f t="shared" si="23"/>
        <v>21.674250000000001</v>
      </c>
    </row>
    <row r="73" spans="1:12" x14ac:dyDescent="0.25">
      <c r="A73" s="140" t="s">
        <v>387</v>
      </c>
      <c r="B73" s="142"/>
      <c r="C73" s="142">
        <f>C36/C62</f>
        <v>-9.3045140740740759</v>
      </c>
      <c r="D73" s="142">
        <f t="shared" ref="D73:L73" si="24">D36/D62</f>
        <v>-6.8560409708737895</v>
      </c>
      <c r="E73" s="142">
        <f t="shared" si="24"/>
        <v>-1.7219573851590115</v>
      </c>
      <c r="F73" s="142">
        <f t="shared" si="24"/>
        <v>14.945103448275903</v>
      </c>
      <c r="G73" s="142">
        <f t="shared" si="24"/>
        <v>5.7202237500000033</v>
      </c>
      <c r="H73" s="142">
        <f t="shared" si="24"/>
        <v>4.2560064935064936</v>
      </c>
      <c r="I73" s="142">
        <f t="shared" si="24"/>
        <v>73.597178571427563</v>
      </c>
      <c r="J73" s="142">
        <f t="shared" si="24"/>
        <v>-12.491744318181791</v>
      </c>
      <c r="K73" s="142">
        <f t="shared" si="24"/>
        <v>19.5479446397188</v>
      </c>
      <c r="L73" s="142">
        <f t="shared" si="24"/>
        <v>25.015622423742791</v>
      </c>
    </row>
    <row r="74" spans="1:12" x14ac:dyDescent="0.25">
      <c r="A74" s="140" t="s">
        <v>372</v>
      </c>
      <c r="B74" s="142"/>
      <c r="C74" s="142">
        <f>C36/C25</f>
        <v>1.8737913265849759</v>
      </c>
      <c r="D74" s="142">
        <f t="shared" ref="D74:L74" si="25">D36/D25</f>
        <v>0.57930452830188683</v>
      </c>
      <c r="E74" s="142">
        <f t="shared" si="25"/>
        <v>0.39426694174757287</v>
      </c>
      <c r="F74" s="142">
        <f t="shared" si="25"/>
        <v>1.0197835294117648</v>
      </c>
      <c r="G74" s="142">
        <f t="shared" si="25"/>
        <v>0.38314423861852437</v>
      </c>
      <c r="H74" s="142">
        <f t="shared" si="25"/>
        <v>0.25228060046189377</v>
      </c>
      <c r="I74" s="142">
        <f t="shared" si="25"/>
        <v>0.36280299295774648</v>
      </c>
      <c r="J74" s="142">
        <f t="shared" si="25"/>
        <v>0.56286405529953909</v>
      </c>
      <c r="K74" s="142">
        <f t="shared" si="25"/>
        <v>2.5028759000900087</v>
      </c>
      <c r="L74" s="142">
        <f t="shared" si="25"/>
        <v>4.9630274779195291</v>
      </c>
    </row>
    <row r="75" spans="1:12" x14ac:dyDescent="0.25">
      <c r="A75" s="140" t="s">
        <v>121</v>
      </c>
      <c r="B75" s="142"/>
      <c r="C75" s="142">
        <f>(C36-C44+C8)/C28</f>
        <v>6.6159369851380063</v>
      </c>
      <c r="D75" s="142">
        <f t="shared" ref="D75:L75" si="26">(D36-D44+D8)/D28</f>
        <v>2.3702222117647067</v>
      </c>
      <c r="E75" s="142">
        <f t="shared" si="26"/>
        <v>1.9555356338028165</v>
      </c>
      <c r="F75" s="142">
        <f t="shared" si="26"/>
        <v>-2.0736202531645591</v>
      </c>
      <c r="G75" s="142">
        <f t="shared" si="26"/>
        <v>0.51107166666666659</v>
      </c>
      <c r="H75" s="142">
        <f t="shared" si="26"/>
        <v>0.64332770270270268</v>
      </c>
      <c r="I75" s="142">
        <f t="shared" si="26"/>
        <v>2.4980503048780487</v>
      </c>
      <c r="J75" s="142">
        <f t="shared" si="26"/>
        <v>3.8612246376811563</v>
      </c>
      <c r="K75" s="142">
        <f t="shared" si="26"/>
        <v>8.2954770879526993</v>
      </c>
      <c r="L75" s="142">
        <f t="shared" si="26"/>
        <v>7.9935949884939914</v>
      </c>
    </row>
    <row r="76" spans="1:12" x14ac:dyDescent="0.25">
      <c r="A76" s="137" t="s">
        <v>103</v>
      </c>
      <c r="B76" s="154"/>
      <c r="C76" s="154">
        <f>C35/C36</f>
        <v>0</v>
      </c>
      <c r="D76" s="154">
        <f t="shared" ref="D76:L76" si="27">D35/D36</f>
        <v>0</v>
      </c>
      <c r="E76" s="154">
        <f t="shared" si="27"/>
        <v>0</v>
      </c>
      <c r="F76" s="154">
        <f t="shared" si="27"/>
        <v>0</v>
      </c>
      <c r="G76" s="154">
        <f t="shared" si="27"/>
        <v>0</v>
      </c>
      <c r="H76" s="154">
        <f t="shared" si="27"/>
        <v>0</v>
      </c>
      <c r="I76" s="154">
        <f t="shared" si="27"/>
        <v>0</v>
      </c>
      <c r="J76" s="154">
        <f t="shared" si="27"/>
        <v>0</v>
      </c>
      <c r="K76" s="154">
        <f t="shared" si="27"/>
        <v>2.3375450050461756E-3</v>
      </c>
      <c r="L76" s="154">
        <f t="shared" si="27"/>
        <v>8.5684296210612005E-4</v>
      </c>
    </row>
    <row r="77" spans="1:12" x14ac:dyDescent="0.25">
      <c r="A77" s="181" t="s">
        <v>124</v>
      </c>
      <c r="B77" s="182"/>
      <c r="C77" s="183">
        <f>C36+C8-C44</f>
        <v>31.161063199999997</v>
      </c>
      <c r="D77" s="183">
        <f t="shared" ref="D77:L77" si="28">D36+D8-D44</f>
        <v>10.0734444</v>
      </c>
      <c r="E77" s="183">
        <f t="shared" si="28"/>
        <v>-2.7768605999999991</v>
      </c>
      <c r="F77" s="183">
        <f t="shared" si="28"/>
        <v>1.6381600000000009</v>
      </c>
      <c r="G77" s="183">
        <f t="shared" si="28"/>
        <v>1.4718863999999998</v>
      </c>
      <c r="H77" s="183">
        <f t="shared" si="28"/>
        <v>1.9042500000000002</v>
      </c>
      <c r="I77" s="183">
        <f t="shared" si="28"/>
        <v>8.1936049999999998</v>
      </c>
      <c r="J77" s="183">
        <f t="shared" si="28"/>
        <v>7.9927349999999997</v>
      </c>
      <c r="K77" s="183">
        <f t="shared" si="28"/>
        <v>112.23780499999999</v>
      </c>
      <c r="L77" s="183">
        <f t="shared" si="28"/>
        <v>312.62950000000001</v>
      </c>
    </row>
    <row r="78" spans="1:12" x14ac:dyDescent="0.25">
      <c r="A78" s="469"/>
      <c r="B78" s="469"/>
      <c r="C78" s="469"/>
      <c r="D78" s="469"/>
      <c r="E78" s="469"/>
      <c r="F78" s="469"/>
      <c r="G78" s="469"/>
      <c r="H78" s="469"/>
      <c r="I78" s="469"/>
      <c r="J78" s="469"/>
      <c r="K78" s="469"/>
      <c r="L78" s="126" t="s">
        <v>373</v>
      </c>
    </row>
    <row r="79" spans="1:12" x14ac:dyDescent="0.25">
      <c r="A79" s="137" t="s">
        <v>374</v>
      </c>
      <c r="B79" s="142"/>
      <c r="C79" s="142">
        <f t="shared" ref="C79:K79" si="29">C51/C59</f>
        <v>0.13251028806584358</v>
      </c>
      <c r="D79" s="142">
        <f t="shared" si="29"/>
        <v>0.14249820531227567</v>
      </c>
      <c r="E79" s="142">
        <f t="shared" si="29"/>
        <v>7.2133378700238143E-2</v>
      </c>
      <c r="F79" s="142">
        <f t="shared" si="29"/>
        <v>7.6524953789279121E-2</v>
      </c>
      <c r="G79" s="142">
        <f t="shared" si="29"/>
        <v>0.10447761194029853</v>
      </c>
      <c r="H79" s="142">
        <f t="shared" si="29"/>
        <v>0.13766048502139802</v>
      </c>
      <c r="I79" s="142">
        <f t="shared" si="29"/>
        <v>0.14357585139318885</v>
      </c>
      <c r="J79" s="142">
        <f t="shared" si="29"/>
        <v>0.19992743105950656</v>
      </c>
      <c r="K79" s="142">
        <f t="shared" si="29"/>
        <v>0.30646083476272157</v>
      </c>
      <c r="L79" s="137">
        <v>1.2</v>
      </c>
    </row>
    <row r="80" spans="1:12" x14ac:dyDescent="0.25">
      <c r="A80" s="137" t="s">
        <v>375</v>
      </c>
      <c r="B80" s="142"/>
      <c r="C80" s="142">
        <f t="shared" ref="C80:K80" si="30">C67/C59</f>
        <v>0.1115226337448559</v>
      </c>
      <c r="D80" s="142">
        <f t="shared" si="30"/>
        <v>3.9124192390524018E-2</v>
      </c>
      <c r="E80" s="142">
        <f t="shared" si="30"/>
        <v>-9.2548485879550862E-2</v>
      </c>
      <c r="F80" s="142">
        <f t="shared" si="30"/>
        <v>-7.1719038817005518E-2</v>
      </c>
      <c r="G80" s="142">
        <f t="shared" si="30"/>
        <v>1.4552238805970183E-2</v>
      </c>
      <c r="H80" s="142">
        <f t="shared" si="30"/>
        <v>2.1398002853067043E-2</v>
      </c>
      <c r="I80" s="142">
        <f t="shared" si="30"/>
        <v>3.3281733746130027E-2</v>
      </c>
      <c r="J80" s="142">
        <f t="shared" si="30"/>
        <v>1.0885341074020913E-3</v>
      </c>
      <c r="K80" s="142">
        <f t="shared" si="30"/>
        <v>0.21297884505431666</v>
      </c>
      <c r="L80" s="137">
        <v>1.4</v>
      </c>
    </row>
    <row r="81" spans="1:12" x14ac:dyDescent="0.25">
      <c r="A81" s="137" t="s">
        <v>376</v>
      </c>
      <c r="B81" s="142"/>
      <c r="C81" s="142">
        <f t="shared" ref="C81:K81" si="31">C30/C59</f>
        <v>0.16419753086419747</v>
      </c>
      <c r="D81" s="142">
        <f t="shared" si="31"/>
        <v>0.11378320172290018</v>
      </c>
      <c r="E81" s="142">
        <f t="shared" si="31"/>
        <v>-9.527050017012588E-2</v>
      </c>
      <c r="F81" s="142">
        <f t="shared" si="31"/>
        <v>-8.0591497227356715E-2</v>
      </c>
      <c r="G81" s="142">
        <f t="shared" si="31"/>
        <v>5.5970149253731373E-2</v>
      </c>
      <c r="H81" s="142">
        <f t="shared" si="31"/>
        <v>5.6704707560627669E-2</v>
      </c>
      <c r="I81" s="142">
        <f t="shared" si="31"/>
        <v>7.198142414860681E-2</v>
      </c>
      <c r="J81" s="142">
        <f t="shared" si="31"/>
        <v>2.0319303338171321E-2</v>
      </c>
      <c r="K81" s="142">
        <f t="shared" si="31"/>
        <v>0.33447684391080607</v>
      </c>
      <c r="L81" s="137">
        <v>3.3</v>
      </c>
    </row>
    <row r="82" spans="1:12" x14ac:dyDescent="0.25">
      <c r="A82" s="137" t="s">
        <v>377</v>
      </c>
      <c r="B82" s="142"/>
      <c r="C82" s="142">
        <f>C36/C58</f>
        <v>3.8396357205240172</v>
      </c>
      <c r="D82" s="142">
        <f t="shared" ref="D82:L82" si="32">D36/D58</f>
        <v>1.3901027952755907</v>
      </c>
      <c r="E82" s="142">
        <f t="shared" si="32"/>
        <v>0.33817761276891051</v>
      </c>
      <c r="F82" s="142">
        <f t="shared" si="32"/>
        <v>0.66524635456638537</v>
      </c>
      <c r="G82" s="142">
        <f t="shared" si="32"/>
        <v>0.61683962931760739</v>
      </c>
      <c r="H82" s="142">
        <f t="shared" si="32"/>
        <v>0.55780851063829784</v>
      </c>
      <c r="I82" s="142">
        <f t="shared" si="32"/>
        <v>1.415330357142857</v>
      </c>
      <c r="J82" s="142">
        <f t="shared" si="32"/>
        <v>1.2282385474860336</v>
      </c>
      <c r="K82" s="142">
        <f t="shared" si="32"/>
        <v>10.317978200371057</v>
      </c>
      <c r="L82" s="142">
        <f t="shared" si="32"/>
        <v>21.674250000000001</v>
      </c>
    </row>
    <row r="83" spans="1:12" x14ac:dyDescent="0.25">
      <c r="A83" s="137" t="s">
        <v>378</v>
      </c>
      <c r="B83" s="142"/>
      <c r="C83" s="142">
        <f t="shared" ref="C83:K83" si="33">C25/C59</f>
        <v>0.77242798353909459</v>
      </c>
      <c r="D83" s="142">
        <f t="shared" si="33"/>
        <v>0.87508973438621673</v>
      </c>
      <c r="E83" s="142">
        <f t="shared" si="33"/>
        <v>0.42055120789384143</v>
      </c>
      <c r="F83" s="142">
        <f t="shared" si="33"/>
        <v>0.3142329020332717</v>
      </c>
      <c r="G83" s="142">
        <f t="shared" si="33"/>
        <v>0.71305970149253728</v>
      </c>
      <c r="H83" s="142">
        <f t="shared" si="33"/>
        <v>0.92653352353780316</v>
      </c>
      <c r="I83" s="142">
        <f t="shared" si="33"/>
        <v>1.0990712074303406</v>
      </c>
      <c r="J83" s="142">
        <f t="shared" si="33"/>
        <v>0.70863570391872288</v>
      </c>
      <c r="K83" s="142">
        <f t="shared" si="33"/>
        <v>1.270440251572327</v>
      </c>
      <c r="L83" s="137">
        <v>1</v>
      </c>
    </row>
    <row r="84" spans="1:12" x14ac:dyDescent="0.25">
      <c r="A84" s="152" t="s">
        <v>379</v>
      </c>
      <c r="B84" s="142"/>
      <c r="C84" s="142">
        <f t="shared" ref="C84:L84" si="34">$L$79*C79+$L$80*C80+$L$81*C81+$L$82*C82+$L$83*C83</f>
        <v>84.85064838388044</v>
      </c>
      <c r="D84" s="142">
        <f t="shared" si="34"/>
        <v>31.605781526295225</v>
      </c>
      <c r="E84" s="142">
        <f t="shared" si="34"/>
        <v>7.3928968550978995</v>
      </c>
      <c r="F84" s="142">
        <f t="shared" si="34"/>
        <v>14.458420051846801</v>
      </c>
      <c r="G84" s="142">
        <f t="shared" si="34"/>
        <v>14.413043798423718</v>
      </c>
      <c r="H84" s="142">
        <f t="shared" si="34"/>
        <v>13.398889956209974</v>
      </c>
      <c r="I84" s="142">
        <f t="shared" si="34"/>
        <v>32.231719349340722</v>
      </c>
      <c r="J84" s="142">
        <f t="shared" si="34"/>
        <v>27.638275607805625</v>
      </c>
      <c r="K84" s="142">
        <f t="shared" si="34"/>
        <v>226.6745762306617</v>
      </c>
      <c r="L84" s="142">
        <f t="shared" si="34"/>
        <v>485.06311306250007</v>
      </c>
    </row>
    <row r="85" spans="1:12" x14ac:dyDescent="0.25">
      <c r="A85" s="126" t="s">
        <v>380</v>
      </c>
      <c r="B85" s="126"/>
      <c r="C85" s="126"/>
      <c r="D85" s="126"/>
      <c r="E85" s="126"/>
      <c r="F85" s="126"/>
      <c r="G85" s="126"/>
      <c r="H85" s="126"/>
      <c r="I85" s="126"/>
      <c r="J85" s="126"/>
      <c r="K85" s="126"/>
      <c r="L85" s="126"/>
    </row>
    <row r="86" spans="1:12" x14ac:dyDescent="0.25">
      <c r="A86" s="126" t="s">
        <v>381</v>
      </c>
      <c r="B86" s="126"/>
      <c r="C86" s="126"/>
      <c r="D86" s="126"/>
      <c r="E86" s="126"/>
      <c r="F86" s="126"/>
      <c r="G86" s="126"/>
      <c r="H86" s="126"/>
      <c r="I86" s="126"/>
      <c r="J86" s="126"/>
      <c r="K86" s="126"/>
      <c r="L86" s="126"/>
    </row>
    <row r="87" spans="1:12" x14ac:dyDescent="0.25">
      <c r="A87" s="126" t="s">
        <v>382</v>
      </c>
      <c r="B87" s="126"/>
      <c r="C87" s="126"/>
      <c r="D87" s="126"/>
      <c r="E87" s="126"/>
      <c r="F87" s="126"/>
      <c r="G87" s="126"/>
      <c r="H87" s="126"/>
      <c r="I87" s="126"/>
      <c r="J87" s="126"/>
      <c r="K87" s="126"/>
      <c r="L87" s="126"/>
    </row>
    <row r="88" spans="1:12" x14ac:dyDescent="0.25">
      <c r="A88" s="126"/>
      <c r="B88" s="126"/>
      <c r="C88" s="126"/>
      <c r="D88" s="126"/>
      <c r="E88" s="126"/>
      <c r="F88" s="126"/>
      <c r="G88" s="126"/>
      <c r="H88" s="126"/>
      <c r="I88" s="126"/>
      <c r="J88" s="126"/>
      <c r="K88" s="126"/>
      <c r="L88" s="126"/>
    </row>
    <row r="89" spans="1:12" x14ac:dyDescent="0.25">
      <c r="A89" s="126"/>
      <c r="B89" s="126"/>
      <c r="C89" s="126"/>
      <c r="D89" s="126"/>
      <c r="E89" s="126"/>
      <c r="F89" s="126"/>
      <c r="G89" s="126"/>
      <c r="H89" s="126"/>
      <c r="I89" s="126"/>
      <c r="J89" s="126"/>
      <c r="K89" s="126"/>
      <c r="L89" s="126"/>
    </row>
    <row r="90" spans="1:12" x14ac:dyDescent="0.25">
      <c r="A90" s="126"/>
      <c r="B90" s="126"/>
      <c r="C90" s="126"/>
      <c r="D90" s="126"/>
      <c r="E90" s="126"/>
      <c r="F90" s="126"/>
      <c r="G90" s="126"/>
      <c r="H90" s="126"/>
      <c r="I90" s="126"/>
      <c r="J90" s="126"/>
      <c r="K90" s="126"/>
      <c r="L90" s="126"/>
    </row>
    <row r="91" spans="1:12" x14ac:dyDescent="0.25">
      <c r="A91" s="126"/>
      <c r="B91" s="126"/>
      <c r="C91" s="126"/>
      <c r="D91" s="126"/>
      <c r="E91" s="126"/>
      <c r="F91" s="126"/>
      <c r="G91" s="126"/>
      <c r="H91" s="126"/>
      <c r="I91" s="126"/>
      <c r="J91" s="126"/>
      <c r="K91" s="126"/>
      <c r="L91" s="126"/>
    </row>
    <row r="92" spans="1:12" x14ac:dyDescent="0.25">
      <c r="A92" s="126"/>
      <c r="B92" s="126"/>
      <c r="C92" s="126"/>
      <c r="D92" s="126"/>
      <c r="E92" s="126"/>
      <c r="F92" s="126"/>
      <c r="G92" s="126"/>
      <c r="H92" s="126"/>
      <c r="I92" s="126"/>
      <c r="J92" s="126"/>
      <c r="K92" s="126"/>
      <c r="L92" s="126"/>
    </row>
    <row r="93" spans="1:12" x14ac:dyDescent="0.25">
      <c r="A93" s="126"/>
      <c r="B93" s="126"/>
      <c r="C93" s="126"/>
      <c r="D93" s="126"/>
      <c r="E93" s="126"/>
      <c r="F93" s="126"/>
      <c r="G93" s="126"/>
      <c r="H93" s="126"/>
      <c r="I93" s="126"/>
      <c r="J93" s="126"/>
      <c r="K93" s="126"/>
      <c r="L93" s="126"/>
    </row>
    <row r="94" spans="1:12" x14ac:dyDescent="0.25">
      <c r="A94" s="126"/>
      <c r="B94" s="126"/>
      <c r="C94" s="126"/>
      <c r="D94" s="126"/>
      <c r="E94" s="126"/>
      <c r="F94" s="126"/>
      <c r="G94" s="126"/>
      <c r="H94" s="126"/>
      <c r="I94" s="126"/>
      <c r="J94" s="126"/>
      <c r="K94" s="126"/>
      <c r="L94" s="126"/>
    </row>
    <row r="95" spans="1:12" x14ac:dyDescent="0.25">
      <c r="A95" s="126"/>
      <c r="B95" s="126"/>
      <c r="C95" s="126"/>
      <c r="D95" s="126"/>
      <c r="E95" s="126"/>
      <c r="F95" s="126"/>
      <c r="G95" s="126"/>
      <c r="H95" s="126"/>
      <c r="I95" s="126"/>
      <c r="J95" s="126"/>
      <c r="K95" s="126"/>
      <c r="L95" s="126"/>
    </row>
    <row r="96" spans="1:12" x14ac:dyDescent="0.25">
      <c r="A96" s="126"/>
      <c r="B96" s="126"/>
      <c r="C96" s="126"/>
      <c r="D96" s="126"/>
      <c r="E96" s="126"/>
      <c r="F96" s="126"/>
      <c r="G96" s="126"/>
      <c r="H96" s="126"/>
      <c r="I96" s="126"/>
      <c r="J96" s="126"/>
      <c r="K96" s="126"/>
      <c r="L96" s="126"/>
    </row>
    <row r="97" spans="1:12" x14ac:dyDescent="0.25">
      <c r="A97" s="126"/>
      <c r="B97" s="126"/>
      <c r="C97" s="126"/>
      <c r="D97" s="126"/>
      <c r="E97" s="126"/>
      <c r="F97" s="126"/>
      <c r="G97" s="126"/>
      <c r="H97" s="126"/>
      <c r="I97" s="126"/>
      <c r="J97" s="126"/>
      <c r="K97" s="126"/>
      <c r="L97" s="126"/>
    </row>
    <row r="98" spans="1:12" x14ac:dyDescent="0.25">
      <c r="A98" s="126"/>
      <c r="B98" s="126"/>
      <c r="C98" s="126"/>
      <c r="D98" s="126"/>
      <c r="E98" s="126"/>
      <c r="F98" s="126"/>
      <c r="G98" s="126"/>
      <c r="H98" s="126"/>
      <c r="I98" s="126"/>
      <c r="J98" s="126"/>
      <c r="K98" s="126"/>
      <c r="L98" s="126"/>
    </row>
    <row r="99" spans="1:12" x14ac:dyDescent="0.25">
      <c r="A99" s="126"/>
      <c r="B99" s="126"/>
      <c r="C99" s="126"/>
      <c r="D99" s="126"/>
      <c r="E99" s="126"/>
      <c r="F99" s="126"/>
      <c r="G99" s="126"/>
      <c r="H99" s="126"/>
      <c r="I99" s="126"/>
      <c r="J99" s="126"/>
      <c r="K99" s="126"/>
      <c r="L99" s="126"/>
    </row>
    <row r="100" spans="1:12" x14ac:dyDescent="0.25">
      <c r="A100" s="126"/>
      <c r="B100" s="126"/>
      <c r="C100" s="126"/>
      <c r="D100" s="126"/>
      <c r="E100" s="126"/>
      <c r="F100" s="126"/>
      <c r="G100" s="126"/>
      <c r="H100" s="126"/>
      <c r="I100" s="126"/>
      <c r="J100" s="126"/>
      <c r="K100" s="126"/>
      <c r="L100" s="126"/>
    </row>
    <row r="101" spans="1:12" x14ac:dyDescent="0.25">
      <c r="A101" s="126"/>
      <c r="B101" s="126"/>
      <c r="C101" s="126"/>
      <c r="D101" s="126"/>
      <c r="E101" s="126"/>
      <c r="F101" s="126"/>
      <c r="G101" s="126"/>
      <c r="H101" s="126"/>
      <c r="I101" s="126"/>
      <c r="J101" s="126"/>
      <c r="K101" s="126"/>
      <c r="L101" s="126"/>
    </row>
    <row r="102" spans="1:12" x14ac:dyDescent="0.25">
      <c r="A102" s="126"/>
      <c r="B102" s="126"/>
      <c r="C102" s="126"/>
      <c r="D102" s="126"/>
      <c r="E102" s="126"/>
      <c r="F102" s="126"/>
      <c r="G102" s="126"/>
      <c r="H102" s="126"/>
      <c r="I102" s="126"/>
      <c r="J102" s="126"/>
      <c r="K102" s="126"/>
      <c r="L102" s="126"/>
    </row>
    <row r="103" spans="1:12" x14ac:dyDescent="0.25">
      <c r="A103" s="126"/>
      <c r="B103" s="126"/>
      <c r="C103" s="126"/>
      <c r="D103" s="126"/>
      <c r="E103" s="126"/>
      <c r="F103" s="126"/>
      <c r="G103" s="126"/>
      <c r="H103" s="126"/>
      <c r="I103" s="126"/>
      <c r="J103" s="126"/>
      <c r="K103" s="126"/>
      <c r="L103" s="126"/>
    </row>
    <row r="104" spans="1:12" x14ac:dyDescent="0.25">
      <c r="A104" s="126"/>
      <c r="B104" s="126"/>
      <c r="C104" s="126"/>
      <c r="D104" s="126"/>
      <c r="E104" s="126"/>
      <c r="F104" s="126"/>
      <c r="G104" s="126"/>
      <c r="H104" s="126"/>
      <c r="I104" s="126"/>
      <c r="J104" s="126"/>
      <c r="K104" s="126"/>
      <c r="L104" s="126"/>
    </row>
    <row r="105" spans="1:12" x14ac:dyDescent="0.25">
      <c r="A105" s="126"/>
      <c r="B105" s="126"/>
      <c r="C105" s="126"/>
      <c r="D105" s="126"/>
      <c r="E105" s="126"/>
      <c r="F105" s="126"/>
      <c r="G105" s="126"/>
      <c r="H105" s="126"/>
      <c r="I105" s="126"/>
      <c r="J105" s="126"/>
      <c r="K105" s="126"/>
      <c r="L105" s="126"/>
    </row>
    <row r="106" spans="1:12" x14ac:dyDescent="0.25">
      <c r="A106" s="126"/>
      <c r="B106" s="126"/>
      <c r="C106" s="126"/>
      <c r="D106" s="126"/>
      <c r="E106" s="126"/>
      <c r="F106" s="126"/>
      <c r="G106" s="126"/>
      <c r="H106" s="126"/>
      <c r="I106" s="126"/>
      <c r="J106" s="126"/>
      <c r="K106" s="126"/>
      <c r="L106" s="126"/>
    </row>
    <row r="107" spans="1:12" x14ac:dyDescent="0.25">
      <c r="A107" s="126"/>
      <c r="B107" s="126"/>
      <c r="C107" s="126"/>
      <c r="D107" s="126"/>
      <c r="E107" s="126"/>
      <c r="F107" s="126"/>
      <c r="G107" s="126"/>
      <c r="H107" s="126"/>
      <c r="I107" s="126"/>
      <c r="J107" s="126"/>
      <c r="K107" s="126"/>
      <c r="L107" s="126"/>
    </row>
    <row r="108" spans="1:12" x14ac:dyDescent="0.25">
      <c r="A108" s="126"/>
      <c r="B108" s="126"/>
      <c r="C108" s="126"/>
      <c r="D108" s="126"/>
      <c r="E108" s="126"/>
      <c r="F108" s="126"/>
      <c r="G108" s="126"/>
      <c r="H108" s="126"/>
      <c r="I108" s="126"/>
      <c r="J108" s="126"/>
      <c r="K108" s="126"/>
      <c r="L108" s="126"/>
    </row>
    <row r="109" spans="1:12" x14ac:dyDescent="0.25">
      <c r="A109" s="126"/>
      <c r="B109" s="126"/>
      <c r="C109" s="126"/>
      <c r="D109" s="126"/>
      <c r="E109" s="126"/>
      <c r="F109" s="126"/>
      <c r="G109" s="126"/>
      <c r="H109" s="126"/>
      <c r="I109" s="126"/>
      <c r="J109" s="126"/>
      <c r="K109" s="126"/>
      <c r="L109" s="126"/>
    </row>
    <row r="110" spans="1:12" x14ac:dyDescent="0.25">
      <c r="A110" s="126"/>
      <c r="B110" s="126"/>
      <c r="C110" s="126"/>
      <c r="D110" s="126"/>
      <c r="E110" s="126"/>
      <c r="F110" s="126"/>
      <c r="G110" s="126"/>
      <c r="H110" s="126"/>
      <c r="I110" s="126"/>
      <c r="J110" s="126"/>
      <c r="K110" s="126"/>
      <c r="L110" s="126"/>
    </row>
    <row r="111" spans="1:12" x14ac:dyDescent="0.25">
      <c r="A111" s="126"/>
      <c r="B111" s="126"/>
      <c r="C111" s="126"/>
      <c r="D111" s="126"/>
      <c r="E111" s="126"/>
      <c r="F111" s="126"/>
      <c r="G111" s="126"/>
      <c r="H111" s="126"/>
      <c r="I111" s="126"/>
      <c r="J111" s="126"/>
      <c r="K111" s="126"/>
      <c r="L111" s="126"/>
    </row>
    <row r="112" spans="1:12" x14ac:dyDescent="0.25">
      <c r="A112" s="126"/>
      <c r="B112" s="126"/>
      <c r="C112" s="126"/>
      <c r="D112" s="126"/>
      <c r="E112" s="126"/>
      <c r="F112" s="126"/>
      <c r="G112" s="126"/>
      <c r="H112" s="126"/>
      <c r="I112" s="126"/>
      <c r="J112" s="126"/>
      <c r="K112" s="126"/>
      <c r="L112" s="126"/>
    </row>
    <row r="113" spans="1:12" x14ac:dyDescent="0.25">
      <c r="A113" s="126"/>
      <c r="B113" s="126"/>
      <c r="C113" s="126"/>
      <c r="D113" s="126"/>
      <c r="E113" s="126"/>
      <c r="F113" s="126"/>
      <c r="G113" s="126"/>
      <c r="H113" s="126"/>
      <c r="I113" s="126"/>
      <c r="J113" s="126"/>
      <c r="K113" s="126"/>
      <c r="L113" s="126"/>
    </row>
    <row r="114" spans="1:12" x14ac:dyDescent="0.25">
      <c r="A114" s="126"/>
      <c r="B114" s="126"/>
      <c r="C114" s="126"/>
      <c r="D114" s="126"/>
      <c r="E114" s="126"/>
      <c r="F114" s="126"/>
      <c r="G114" s="126"/>
      <c r="H114" s="126"/>
      <c r="I114" s="126"/>
      <c r="J114" s="126"/>
      <c r="K114" s="126"/>
      <c r="L114" s="126"/>
    </row>
    <row r="115" spans="1:12" x14ac:dyDescent="0.25">
      <c r="A115" s="126"/>
      <c r="B115" s="126"/>
      <c r="C115" s="126"/>
      <c r="D115" s="126"/>
      <c r="E115" s="126"/>
      <c r="F115" s="126"/>
      <c r="G115" s="126"/>
      <c r="H115" s="126"/>
      <c r="I115" s="126"/>
      <c r="J115" s="126"/>
      <c r="K115" s="126"/>
      <c r="L115" s="126"/>
    </row>
    <row r="116" spans="1:12" x14ac:dyDescent="0.25">
      <c r="A116" s="126"/>
      <c r="B116" s="126"/>
      <c r="C116" s="126"/>
      <c r="D116" s="126"/>
      <c r="E116" s="126"/>
      <c r="F116" s="126"/>
      <c r="G116" s="126"/>
      <c r="H116" s="126"/>
      <c r="I116" s="126"/>
      <c r="J116" s="126"/>
      <c r="K116" s="126"/>
      <c r="L116" s="126"/>
    </row>
    <row r="117" spans="1:12" x14ac:dyDescent="0.25">
      <c r="A117" s="126"/>
      <c r="B117" s="126"/>
      <c r="C117" s="126"/>
      <c r="D117" s="126"/>
      <c r="E117" s="126"/>
      <c r="F117" s="126"/>
      <c r="G117" s="126"/>
      <c r="H117" s="126"/>
      <c r="I117" s="126"/>
      <c r="J117" s="126"/>
      <c r="K117" s="126"/>
      <c r="L117" s="126"/>
    </row>
    <row r="118" spans="1:12" x14ac:dyDescent="0.25">
      <c r="A118" s="126"/>
      <c r="B118" s="126"/>
      <c r="C118" s="126"/>
      <c r="D118" s="126"/>
      <c r="E118" s="126"/>
      <c r="F118" s="126"/>
      <c r="G118" s="126"/>
      <c r="H118" s="126"/>
      <c r="I118" s="126"/>
      <c r="J118" s="126"/>
      <c r="K118" s="126"/>
      <c r="L118" s="126"/>
    </row>
  </sheetData>
  <mergeCells count="9">
    <mergeCell ref="A65:K65"/>
    <mergeCell ref="A68:K68"/>
    <mergeCell ref="A78:K78"/>
    <mergeCell ref="A3:J3"/>
    <mergeCell ref="A12:K12"/>
    <mergeCell ref="A13:J13"/>
    <mergeCell ref="C37:K37"/>
    <mergeCell ref="A38:K38"/>
    <mergeCell ref="A60:K60"/>
  </mergeCells>
  <pageMargins left="0.7" right="0.7" top="0.75" bottom="0.75" header="0.3" footer="0.3"/>
  <pageSetup orientation="portrait" r:id="rId1"/>
  <ignoredErrors>
    <ignoredError sqref="B31:L31 B33:L33 B46:C47" formula="1"/>
  </ignoredError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workbookViewId="0">
      <selection activeCell="A5" sqref="A5"/>
    </sheetView>
  </sheetViews>
  <sheetFormatPr defaultRowHeight="15" x14ac:dyDescent="0.25"/>
  <cols>
    <col min="1" max="3" width="33.85546875" customWidth="1"/>
    <col min="4" max="4" width="16.85546875" customWidth="1"/>
    <col min="5" max="5" width="11.140625" customWidth="1"/>
  </cols>
  <sheetData>
    <row r="1" spans="1:11" x14ac:dyDescent="0.25">
      <c r="A1" s="477" t="s">
        <v>275</v>
      </c>
      <c r="B1" s="478"/>
      <c r="C1" s="479"/>
    </row>
    <row r="2" spans="1:11" ht="15.75" thickBot="1" x14ac:dyDescent="0.3">
      <c r="A2" s="480"/>
      <c r="B2" s="481"/>
      <c r="C2" s="482"/>
    </row>
    <row r="3" spans="1:11" ht="15.75" x14ac:dyDescent="0.25">
      <c r="A3" s="483" t="s">
        <v>276</v>
      </c>
      <c r="B3" s="483"/>
      <c r="C3" s="483"/>
    </row>
    <row r="5" spans="1:11" ht="15.75" x14ac:dyDescent="0.25">
      <c r="A5" s="62" t="s">
        <v>277</v>
      </c>
      <c r="B5">
        <f>AVERAGE('Financial Analysis'!J47:K47)</f>
        <v>2.2749999999999999</v>
      </c>
    </row>
    <row r="6" spans="1:11" ht="16.5" thickBot="1" x14ac:dyDescent="0.3">
      <c r="A6" s="62"/>
    </row>
    <row r="7" spans="1:11" ht="16.5" thickBot="1" x14ac:dyDescent="0.3">
      <c r="A7" s="63" t="s">
        <v>278</v>
      </c>
      <c r="B7" s="70" t="s">
        <v>289</v>
      </c>
      <c r="C7" s="71" t="s">
        <v>290</v>
      </c>
    </row>
    <row r="8" spans="1:11" ht="15.75" x14ac:dyDescent="0.25">
      <c r="A8" s="62" t="s">
        <v>279</v>
      </c>
      <c r="B8" s="72">
        <v>0.25</v>
      </c>
      <c r="C8" s="72">
        <v>0.17</v>
      </c>
      <c r="H8" s="484" t="s">
        <v>284</v>
      </c>
      <c r="I8" s="485"/>
      <c r="J8" s="485"/>
      <c r="K8" s="486"/>
    </row>
    <row r="9" spans="1:11" ht="15.75" x14ac:dyDescent="0.25">
      <c r="A9" s="62" t="s">
        <v>280</v>
      </c>
      <c r="B9" s="72">
        <v>0.1</v>
      </c>
      <c r="H9" s="487"/>
      <c r="I9" s="488"/>
      <c r="J9" s="488"/>
      <c r="K9" s="489"/>
    </row>
    <row r="10" spans="1:11" ht="15.75" x14ac:dyDescent="0.25">
      <c r="A10" s="62" t="s">
        <v>281</v>
      </c>
      <c r="B10" s="72">
        <v>0.03</v>
      </c>
      <c r="H10" s="487"/>
      <c r="I10" s="488"/>
      <c r="J10" s="488"/>
      <c r="K10" s="489"/>
    </row>
    <row r="11" spans="1:11" ht="15.75" x14ac:dyDescent="0.25">
      <c r="A11" s="62"/>
      <c r="H11" s="487"/>
      <c r="I11" s="488"/>
      <c r="J11" s="488"/>
      <c r="K11" s="489"/>
    </row>
    <row r="12" spans="1:11" ht="15.75" x14ac:dyDescent="0.25">
      <c r="A12" s="62" t="s">
        <v>282</v>
      </c>
      <c r="B12">
        <f>'Financial Analysis'!K41</f>
        <v>1.1114999999999999</v>
      </c>
      <c r="H12" s="487"/>
      <c r="I12" s="488"/>
      <c r="J12" s="488"/>
      <c r="K12" s="489"/>
    </row>
    <row r="13" spans="1:11" ht="16.5" thickBot="1" x14ac:dyDescent="0.3">
      <c r="A13" s="64" t="s">
        <v>283</v>
      </c>
      <c r="B13" s="88">
        <f>'Balance Sheet'!K6-'Balance Sheet'!K31</f>
        <v>-2.329999999999997</v>
      </c>
      <c r="H13" s="490"/>
      <c r="I13" s="491"/>
      <c r="J13" s="491"/>
      <c r="K13" s="492"/>
    </row>
    <row r="14" spans="1:11" ht="15.75" thickBot="1" x14ac:dyDescent="0.3"/>
    <row r="15" spans="1:11" ht="15.75" x14ac:dyDescent="0.25">
      <c r="A15" s="65" t="s">
        <v>285</v>
      </c>
      <c r="B15" s="66" t="s">
        <v>286</v>
      </c>
      <c r="C15" s="66" t="s">
        <v>287</v>
      </c>
      <c r="D15" s="67" t="s">
        <v>288</v>
      </c>
    </row>
    <row r="16" spans="1:11" ht="15.75" x14ac:dyDescent="0.25">
      <c r="A16" s="68">
        <v>1</v>
      </c>
      <c r="B16" s="73">
        <f>(B5*C16)+B5</f>
        <v>2.84375</v>
      </c>
      <c r="C16" s="74">
        <f>$B$8</f>
        <v>0.25</v>
      </c>
      <c r="D16" s="78">
        <f>B16/((1+$B$9)^A16)</f>
        <v>2.5852272727272725</v>
      </c>
    </row>
    <row r="17" spans="1:4" ht="15.75" x14ac:dyDescent="0.25">
      <c r="A17" s="68">
        <v>2</v>
      </c>
      <c r="B17" s="73">
        <f t="shared" ref="B17:B25" si="0">(B16*C17)+B16</f>
        <v>3.5546875</v>
      </c>
      <c r="C17" s="74">
        <f>$B$8</f>
        <v>0.25</v>
      </c>
      <c r="D17" s="78">
        <f t="shared" ref="D17:D25" si="1">B17/((1+$B$9)^A17)</f>
        <v>2.9377582644628095</v>
      </c>
    </row>
    <row r="18" spans="1:4" ht="15.75" x14ac:dyDescent="0.25">
      <c r="A18" s="68">
        <v>3</v>
      </c>
      <c r="B18" s="73">
        <f t="shared" si="0"/>
        <v>4.443359375</v>
      </c>
      <c r="C18" s="74">
        <f>$B$8</f>
        <v>0.25</v>
      </c>
      <c r="D18" s="78">
        <f t="shared" si="1"/>
        <v>3.3383616641622829</v>
      </c>
    </row>
    <row r="19" spans="1:4" ht="15.75" x14ac:dyDescent="0.25">
      <c r="A19" s="68">
        <v>4</v>
      </c>
      <c r="B19" s="73">
        <f t="shared" si="0"/>
        <v>5.55419921875</v>
      </c>
      <c r="C19" s="74">
        <f>$B$8</f>
        <v>0.25</v>
      </c>
      <c r="D19" s="78">
        <f t="shared" si="1"/>
        <v>3.7935928001844128</v>
      </c>
    </row>
    <row r="20" spans="1:4" ht="15.75" x14ac:dyDescent="0.25">
      <c r="A20" s="68">
        <v>5</v>
      </c>
      <c r="B20" s="73">
        <f t="shared" si="0"/>
        <v>6.9427490234375</v>
      </c>
      <c r="C20" s="74">
        <f>$B$8</f>
        <v>0.25</v>
      </c>
      <c r="D20" s="78">
        <f t="shared" si="1"/>
        <v>4.3109009093004689</v>
      </c>
    </row>
    <row r="21" spans="1:4" ht="15.75" x14ac:dyDescent="0.25">
      <c r="A21" s="68">
        <v>6</v>
      </c>
      <c r="B21" s="73">
        <f t="shared" si="0"/>
        <v>8.123016357421875</v>
      </c>
      <c r="C21" s="74">
        <f>$C$8</f>
        <v>0.17</v>
      </c>
      <c r="D21" s="78">
        <f t="shared" si="1"/>
        <v>4.5852309671650433</v>
      </c>
    </row>
    <row r="22" spans="1:4" ht="15.75" x14ac:dyDescent="0.25">
      <c r="A22" s="68">
        <v>7</v>
      </c>
      <c r="B22" s="73">
        <f t="shared" si="0"/>
        <v>9.5039291381835937</v>
      </c>
      <c r="C22" s="74">
        <f>$C$8</f>
        <v>0.17</v>
      </c>
      <c r="D22" s="78">
        <f t="shared" si="1"/>
        <v>4.8770183923482726</v>
      </c>
    </row>
    <row r="23" spans="1:4" ht="15.75" x14ac:dyDescent="0.25">
      <c r="A23" s="68">
        <v>8</v>
      </c>
      <c r="B23" s="73">
        <f t="shared" si="0"/>
        <v>11.119597091674805</v>
      </c>
      <c r="C23" s="74">
        <f>$C$8</f>
        <v>0.17</v>
      </c>
      <c r="D23" s="78">
        <f t="shared" si="1"/>
        <v>5.1873741082249811</v>
      </c>
    </row>
    <row r="24" spans="1:4" ht="15.75" x14ac:dyDescent="0.25">
      <c r="A24" s="68">
        <v>9</v>
      </c>
      <c r="B24" s="73">
        <f t="shared" si="0"/>
        <v>13.009928597259522</v>
      </c>
      <c r="C24" s="74">
        <f>$C$8</f>
        <v>0.17</v>
      </c>
      <c r="D24" s="78">
        <f t="shared" si="1"/>
        <v>5.5174797332938432</v>
      </c>
    </row>
    <row r="25" spans="1:4" ht="16.5" thickBot="1" x14ac:dyDescent="0.3">
      <c r="A25" s="69">
        <v>10</v>
      </c>
      <c r="B25" s="76">
        <f t="shared" si="0"/>
        <v>15.22161645879364</v>
      </c>
      <c r="C25" s="77">
        <f>$C$8</f>
        <v>0.17</v>
      </c>
      <c r="D25" s="79">
        <f t="shared" si="1"/>
        <v>5.8685920799579963</v>
      </c>
    </row>
    <row r="26" spans="1:4" ht="16.5" thickBot="1" x14ac:dyDescent="0.3">
      <c r="B26" s="73"/>
      <c r="C26" s="74"/>
      <c r="D26" s="75"/>
    </row>
    <row r="27" spans="1:4" ht="15.75" x14ac:dyDescent="0.25">
      <c r="A27" s="493" t="s">
        <v>291</v>
      </c>
      <c r="B27" s="494"/>
    </row>
    <row r="28" spans="1:4" ht="15.75" x14ac:dyDescent="0.25">
      <c r="A28" s="80" t="s">
        <v>292</v>
      </c>
      <c r="B28" s="75">
        <f>(B25*B10)+B25</f>
        <v>15.67826495255745</v>
      </c>
    </row>
    <row r="29" spans="1:4" ht="15.75" x14ac:dyDescent="0.25">
      <c r="A29" s="81" t="s">
        <v>293</v>
      </c>
      <c r="B29" s="75">
        <f>SUM(D16:D25)</f>
        <v>43.001536191827391</v>
      </c>
    </row>
    <row r="30" spans="1:4" ht="15.75" x14ac:dyDescent="0.25">
      <c r="A30" s="80" t="s">
        <v>294</v>
      </c>
      <c r="B30" s="75">
        <f>((B28)/($B$9-$B$10))/(1+$B$9)^A25</f>
        <v>86.352140605096224</v>
      </c>
    </row>
    <row r="31" spans="1:4" ht="15.75" x14ac:dyDescent="0.25">
      <c r="A31" s="80" t="s">
        <v>295</v>
      </c>
      <c r="B31" s="75">
        <f>B29+B30</f>
        <v>129.35367679692362</v>
      </c>
    </row>
    <row r="32" spans="1:4" ht="15.75" x14ac:dyDescent="0.25">
      <c r="A32" s="80" t="s">
        <v>296</v>
      </c>
      <c r="B32" s="75">
        <f>B12</f>
        <v>1.1114999999999999</v>
      </c>
    </row>
    <row r="33" spans="1:2" ht="16.5" thickBot="1" x14ac:dyDescent="0.3">
      <c r="A33" s="82" t="s">
        <v>297</v>
      </c>
      <c r="B33" s="83">
        <f>(B31-B13)/B32</f>
        <v>118.47384327208603</v>
      </c>
    </row>
  </sheetData>
  <mergeCells count="4">
    <mergeCell ref="A1:C2"/>
    <mergeCell ref="A3:C3"/>
    <mergeCell ref="H8:K13"/>
    <mergeCell ref="A27:B27"/>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
  <sheetViews>
    <sheetView workbookViewId="0">
      <selection activeCell="B19" sqref="B19"/>
    </sheetView>
  </sheetViews>
  <sheetFormatPr defaultRowHeight="15" x14ac:dyDescent="0.25"/>
  <cols>
    <col min="1" max="1" width="32.28515625" customWidth="1"/>
  </cols>
  <sheetData>
    <row r="1" spans="1:13" ht="20.25" thickBot="1" x14ac:dyDescent="0.35">
      <c r="A1" s="495" t="s">
        <v>301</v>
      </c>
      <c r="B1" s="496"/>
      <c r="C1" s="496"/>
      <c r="D1" s="496"/>
      <c r="E1" s="496"/>
      <c r="F1" s="496"/>
      <c r="G1" s="496"/>
      <c r="H1" s="496"/>
      <c r="I1" s="496"/>
      <c r="J1" s="496"/>
      <c r="K1" s="497"/>
    </row>
    <row r="2" spans="1:13" ht="16.5" thickBot="1" x14ac:dyDescent="0.3">
      <c r="A2" s="498" t="s">
        <v>302</v>
      </c>
      <c r="B2" s="498"/>
      <c r="C2" s="498"/>
      <c r="D2" s="498"/>
      <c r="E2" s="498"/>
      <c r="F2" s="498"/>
      <c r="G2" s="498"/>
      <c r="H2" s="498"/>
      <c r="I2" s="498"/>
      <c r="J2" s="498"/>
      <c r="K2" s="498"/>
    </row>
    <row r="3" spans="1:13" ht="15.75" x14ac:dyDescent="0.25">
      <c r="A3" s="89" t="s">
        <v>285</v>
      </c>
      <c r="B3" s="90">
        <f>Annual[[#This Row],[Column2]]</f>
        <v>38807</v>
      </c>
      <c r="C3" s="90">
        <f>Annual[[#This Row],[Column3]]</f>
        <v>39172</v>
      </c>
      <c r="D3" s="90">
        <f>Annual[[#This Row],[Column4]]</f>
        <v>39538</v>
      </c>
      <c r="E3" s="90">
        <f>Annual[[#This Row],[Column5]]</f>
        <v>39903</v>
      </c>
      <c r="F3" s="90">
        <f>Annual[[#This Row],[Column6]]</f>
        <v>40268</v>
      </c>
      <c r="G3" s="90">
        <f>Annual[[#This Row],[Column7]]</f>
        <v>40633</v>
      </c>
      <c r="H3" s="90">
        <f>Annual[[#This Row],[Column8]]</f>
        <v>40999</v>
      </c>
      <c r="I3" s="90">
        <f>Annual[[#This Row],[Column9]]</f>
        <v>41364</v>
      </c>
      <c r="J3" s="90">
        <f>Annual[[#This Row],[Column10]]</f>
        <v>41729</v>
      </c>
      <c r="K3" s="90">
        <f>Annual[[#This Row],[Column11]]</f>
        <v>42094</v>
      </c>
    </row>
    <row r="4" spans="1:13" ht="15.75" x14ac:dyDescent="0.25">
      <c r="A4" s="91" t="s">
        <v>303</v>
      </c>
      <c r="B4" s="105">
        <f>'Profit &amp; Loss'!B13</f>
        <v>4.473909576824262</v>
      </c>
      <c r="C4" s="37">
        <f>'Profit &amp; Loss'!C13</f>
        <v>3.6460996152086751</v>
      </c>
      <c r="D4" s="37">
        <f>'Profit &amp; Loss'!D13</f>
        <v>1.3845489418997536</v>
      </c>
      <c r="E4" s="37">
        <f>'Profit &amp; Loss'!E13</f>
        <v>-3.4550212128140645</v>
      </c>
      <c r="F4" s="37">
        <f>'Profit &amp; Loss'!F13</f>
        <v>-2.2917897223862962</v>
      </c>
      <c r="G4" s="37">
        <f>'Profit &amp; Loss'!G13</f>
        <v>0.43464208895674755</v>
      </c>
      <c r="H4" s="37">
        <f>'Profit &amp; Loss'!H13</f>
        <v>0.60762100926879503</v>
      </c>
      <c r="I4" s="37">
        <f>'Profit &amp; Loss'!I13</f>
        <v>0.77372919478182645</v>
      </c>
      <c r="J4" s="37">
        <f>'Profit &amp; Loss'!J13</f>
        <v>4.4984255510571308E-2</v>
      </c>
      <c r="K4" s="37">
        <f>'Profit &amp; Loss'!K13</f>
        <v>6.9365721997300946</v>
      </c>
    </row>
    <row r="5" spans="1:13" ht="15.75" x14ac:dyDescent="0.25">
      <c r="A5" s="91" t="s">
        <v>304</v>
      </c>
      <c r="B5" s="107"/>
      <c r="C5" s="37">
        <f>'Financial Analysis'!C37/'Fair Value'!C4</f>
        <v>0</v>
      </c>
      <c r="D5" s="37">
        <f>'Financial Analysis'!D37/'Fair Value'!D4</f>
        <v>0</v>
      </c>
      <c r="E5" s="37">
        <f>'Financial Analysis'!E37/'Fair Value'!E4</f>
        <v>0</v>
      </c>
      <c r="F5" s="37">
        <f>'Financial Analysis'!F37/'Fair Value'!F4</f>
        <v>0</v>
      </c>
      <c r="G5" s="37">
        <f>'Financial Analysis'!G37/'Fair Value'!G4</f>
        <v>0</v>
      </c>
      <c r="H5" s="37">
        <f>'Financial Analysis'!H37/'Fair Value'!H4</f>
        <v>0</v>
      </c>
      <c r="I5" s="37">
        <f>'Financial Analysis'!I37/'Fair Value'!I4</f>
        <v>0</v>
      </c>
      <c r="J5" s="37">
        <f>'Financial Analysis'!J37/'Fair Value'!J4</f>
        <v>0</v>
      </c>
      <c r="K5" s="37">
        <f>'Financial Analysis'!K37/'Fair Value'!K4</f>
        <v>0</v>
      </c>
    </row>
    <row r="6" spans="1:13" ht="15.75" x14ac:dyDescent="0.25">
      <c r="A6" s="91" t="s">
        <v>305</v>
      </c>
      <c r="C6" s="37">
        <f>'Financial Analysis'!C38/'Fair Value'!C4</f>
        <v>0</v>
      </c>
      <c r="D6" s="37">
        <f>'Financial Analysis'!D38/'Fair Value'!D4</f>
        <v>0</v>
      </c>
      <c r="E6" s="37">
        <f>'Financial Analysis'!E38/'Fair Value'!E4</f>
        <v>0</v>
      </c>
      <c r="F6" s="37">
        <f>'Financial Analysis'!F38/'Fair Value'!F4</f>
        <v>0</v>
      </c>
      <c r="G6" s="37">
        <f>'Financial Analysis'!G38/'Fair Value'!G4</f>
        <v>0</v>
      </c>
      <c r="H6" s="37">
        <f>'Financial Analysis'!H38/'Fair Value'!H4</f>
        <v>0</v>
      </c>
      <c r="I6" s="37">
        <f>'Financial Analysis'!I38/'Fair Value'!I4</f>
        <v>0</v>
      </c>
      <c r="J6" s="37">
        <f>'Financial Analysis'!J38/'Fair Value'!J4</f>
        <v>0</v>
      </c>
      <c r="K6" s="37">
        <f>'Financial Analysis'!K38/'Fair Value'!K4</f>
        <v>0</v>
      </c>
    </row>
    <row r="7" spans="1:13" ht="16.5" thickBot="1" x14ac:dyDescent="0.3">
      <c r="A7" s="92" t="s">
        <v>306</v>
      </c>
      <c r="C7" s="40">
        <f>(C5+C6)/2</f>
        <v>0</v>
      </c>
      <c r="D7" s="40">
        <f t="shared" ref="D7:K7" si="0">(D5+D6)/2</f>
        <v>0</v>
      </c>
      <c r="E7" s="40">
        <f t="shared" si="0"/>
        <v>0</v>
      </c>
      <c r="F7" s="40">
        <f t="shared" si="0"/>
        <v>0</v>
      </c>
      <c r="G7" s="40">
        <f t="shared" si="0"/>
        <v>0</v>
      </c>
      <c r="H7" s="40">
        <f t="shared" si="0"/>
        <v>0</v>
      </c>
      <c r="I7" s="40">
        <f t="shared" si="0"/>
        <v>0</v>
      </c>
      <c r="J7" s="40">
        <f t="shared" si="0"/>
        <v>0</v>
      </c>
      <c r="K7" s="40">
        <f t="shared" si="0"/>
        <v>0</v>
      </c>
    </row>
    <row r="8" spans="1:13" ht="15.75" thickBot="1" x14ac:dyDescent="0.3"/>
    <row r="9" spans="1:13" ht="15.75" x14ac:dyDescent="0.25">
      <c r="A9" s="499" t="s">
        <v>307</v>
      </c>
      <c r="B9" s="500"/>
      <c r="F9" s="484" t="s">
        <v>317</v>
      </c>
      <c r="G9" s="485"/>
      <c r="H9" s="485"/>
      <c r="I9" s="485"/>
      <c r="J9" s="485"/>
      <c r="K9" s="485"/>
      <c r="L9" s="485"/>
      <c r="M9" s="486"/>
    </row>
    <row r="10" spans="1:13" ht="15.75" x14ac:dyDescent="0.25">
      <c r="A10" s="93" t="s">
        <v>308</v>
      </c>
      <c r="B10" s="94">
        <f>AVERAGE(I7:K7)*AVERAGE(I4:K4)</f>
        <v>0</v>
      </c>
      <c r="F10" s="487"/>
      <c r="G10" s="488"/>
      <c r="H10" s="488"/>
      <c r="I10" s="488"/>
      <c r="J10" s="488"/>
      <c r="K10" s="488"/>
      <c r="L10" s="488"/>
      <c r="M10" s="489"/>
    </row>
    <row r="11" spans="1:13" ht="15.75" x14ac:dyDescent="0.25">
      <c r="A11" s="93" t="s">
        <v>309</v>
      </c>
      <c r="B11" s="94">
        <f>DCF!B33</f>
        <v>118.47384327208603</v>
      </c>
      <c r="F11" s="487"/>
      <c r="G11" s="488"/>
      <c r="H11" s="488"/>
      <c r="I11" s="488"/>
      <c r="J11" s="488"/>
      <c r="K11" s="488"/>
      <c r="L11" s="488"/>
      <c r="M11" s="489"/>
    </row>
    <row r="12" spans="1:13" ht="16.5" thickBot="1" x14ac:dyDescent="0.3">
      <c r="A12" s="95"/>
      <c r="B12" s="95"/>
      <c r="F12" s="487"/>
      <c r="G12" s="488"/>
      <c r="H12" s="488"/>
      <c r="I12" s="488"/>
      <c r="J12" s="488"/>
      <c r="K12" s="488"/>
      <c r="L12" s="488"/>
      <c r="M12" s="489"/>
    </row>
    <row r="13" spans="1:13" ht="15.75" x14ac:dyDescent="0.25">
      <c r="A13" s="499" t="s">
        <v>310</v>
      </c>
      <c r="B13" s="500"/>
      <c r="F13" s="487"/>
      <c r="G13" s="488"/>
      <c r="H13" s="488"/>
      <c r="I13" s="488"/>
      <c r="J13" s="488"/>
      <c r="K13" s="488"/>
      <c r="L13" s="488"/>
      <c r="M13" s="489"/>
    </row>
    <row r="14" spans="1:13" ht="15.75" x14ac:dyDescent="0.25">
      <c r="A14" s="96" t="s">
        <v>311</v>
      </c>
      <c r="B14" s="94">
        <f>AVERAGE(B10:B11)</f>
        <v>59.236921636043014</v>
      </c>
      <c r="F14" s="487"/>
      <c r="G14" s="488"/>
      <c r="H14" s="488"/>
      <c r="I14" s="488"/>
      <c r="J14" s="488"/>
      <c r="K14" s="488"/>
      <c r="L14" s="488"/>
      <c r="M14" s="489"/>
    </row>
    <row r="15" spans="1:13" ht="15.75" x14ac:dyDescent="0.25">
      <c r="A15" s="96" t="s">
        <v>312</v>
      </c>
      <c r="B15" s="94">
        <f>AVERAGE(B10:B11)-(0.5)*(STDEV(B10,B11))</f>
        <v>17.350092650580883</v>
      </c>
      <c r="F15" s="487"/>
      <c r="G15" s="488"/>
      <c r="H15" s="488"/>
      <c r="I15" s="488"/>
      <c r="J15" s="488"/>
      <c r="K15" s="488"/>
      <c r="L15" s="488"/>
      <c r="M15" s="489"/>
    </row>
    <row r="16" spans="1:13" ht="15.75" x14ac:dyDescent="0.25">
      <c r="A16" s="97" t="s">
        <v>313</v>
      </c>
      <c r="B16" s="98">
        <v>0.2</v>
      </c>
      <c r="F16" s="487"/>
      <c r="G16" s="488"/>
      <c r="H16" s="488"/>
      <c r="I16" s="488"/>
      <c r="J16" s="488"/>
      <c r="K16" s="488"/>
      <c r="L16" s="488"/>
      <c r="M16" s="489"/>
    </row>
    <row r="17" spans="1:13" ht="15.75" x14ac:dyDescent="0.25">
      <c r="A17" s="99" t="s">
        <v>314</v>
      </c>
      <c r="B17" s="100">
        <f>((B14+B15)/2)*(1-B16)</f>
        <v>30.634805714649559</v>
      </c>
      <c r="F17" s="487"/>
      <c r="G17" s="488"/>
      <c r="H17" s="488"/>
      <c r="I17" s="488"/>
      <c r="J17" s="488"/>
      <c r="K17" s="488"/>
      <c r="L17" s="488"/>
      <c r="M17" s="489"/>
    </row>
    <row r="18" spans="1:13" ht="15.75" x14ac:dyDescent="0.25">
      <c r="A18" s="101" t="s">
        <v>315</v>
      </c>
      <c r="B18" s="102">
        <f>'Financial Analysis'!L40</f>
        <v>273</v>
      </c>
      <c r="F18" s="487"/>
      <c r="G18" s="488"/>
      <c r="H18" s="488"/>
      <c r="I18" s="488"/>
      <c r="J18" s="488"/>
      <c r="K18" s="488"/>
      <c r="L18" s="488"/>
      <c r="M18" s="489"/>
    </row>
    <row r="19" spans="1:13" ht="16.5" thickBot="1" x14ac:dyDescent="0.3">
      <c r="A19" s="103" t="s">
        <v>316</v>
      </c>
      <c r="B19" s="104">
        <f>B18/B17-1</f>
        <v>7.9114323930395116</v>
      </c>
      <c r="F19" s="487"/>
      <c r="G19" s="488"/>
      <c r="H19" s="488"/>
      <c r="I19" s="488"/>
      <c r="J19" s="488"/>
      <c r="K19" s="488"/>
      <c r="L19" s="488"/>
      <c r="M19" s="489"/>
    </row>
    <row r="20" spans="1:13" x14ac:dyDescent="0.25">
      <c r="F20" s="487"/>
      <c r="G20" s="488"/>
      <c r="H20" s="488"/>
      <c r="I20" s="488"/>
      <c r="J20" s="488"/>
      <c r="K20" s="488"/>
      <c r="L20" s="488"/>
      <c r="M20" s="489"/>
    </row>
    <row r="21" spans="1:13" x14ac:dyDescent="0.25">
      <c r="F21" s="487"/>
      <c r="G21" s="488"/>
      <c r="H21" s="488"/>
      <c r="I21" s="488"/>
      <c r="J21" s="488"/>
      <c r="K21" s="488"/>
      <c r="L21" s="488"/>
      <c r="M21" s="489"/>
    </row>
    <row r="22" spans="1:13" x14ac:dyDescent="0.25">
      <c r="F22" s="487"/>
      <c r="G22" s="488"/>
      <c r="H22" s="488"/>
      <c r="I22" s="488"/>
      <c r="J22" s="488"/>
      <c r="K22" s="488"/>
      <c r="L22" s="488"/>
      <c r="M22" s="489"/>
    </row>
    <row r="23" spans="1:13" ht="15.75" thickBot="1" x14ac:dyDescent="0.3">
      <c r="F23" s="490"/>
      <c r="G23" s="491"/>
      <c r="H23" s="491"/>
      <c r="I23" s="491"/>
      <c r="J23" s="491"/>
      <c r="K23" s="491"/>
      <c r="L23" s="491"/>
      <c r="M23" s="492"/>
    </row>
  </sheetData>
  <mergeCells count="5">
    <mergeCell ref="A1:K1"/>
    <mergeCell ref="A2:K2"/>
    <mergeCell ref="A9:B9"/>
    <mergeCell ref="A13:B13"/>
    <mergeCell ref="F9:M2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A2" sqref="A2"/>
    </sheetView>
  </sheetViews>
  <sheetFormatPr defaultColWidth="22.140625" defaultRowHeight="12" x14ac:dyDescent="0.2"/>
  <cols>
    <col min="1" max="1" width="4" style="388" customWidth="1"/>
    <col min="2" max="2" width="22.140625" style="389" customWidth="1"/>
    <col min="3" max="3" width="13.42578125" style="388" customWidth="1"/>
    <col min="4" max="4" width="11.42578125" style="388" customWidth="1"/>
    <col min="5" max="5" width="24.5703125" style="389" customWidth="1"/>
    <col min="6" max="6" width="21.28515625" style="389" customWidth="1"/>
    <col min="7" max="7" width="12" style="388" customWidth="1"/>
    <col min="8" max="8" width="7" style="388" customWidth="1"/>
    <col min="9" max="9" width="26.5703125" style="388" customWidth="1"/>
    <col min="10" max="10" width="19.140625" style="388" customWidth="1"/>
    <col min="11" max="11" width="8.140625" style="388" customWidth="1"/>
    <col min="12" max="12" width="23.28515625" style="389" customWidth="1"/>
    <col min="13" max="13" width="26.42578125" style="389" customWidth="1"/>
    <col min="14" max="16384" width="22.140625" style="389"/>
  </cols>
  <sheetData>
    <row r="1" spans="1:11" ht="6" customHeight="1" x14ac:dyDescent="0.2"/>
    <row r="2" spans="1:11" ht="24" x14ac:dyDescent="0.2">
      <c r="A2" s="396" t="s">
        <v>596</v>
      </c>
      <c r="B2" s="397" t="s">
        <v>597</v>
      </c>
      <c r="C2" s="398" t="s">
        <v>735</v>
      </c>
      <c r="D2" s="398" t="s">
        <v>736</v>
      </c>
      <c r="E2" s="398" t="s">
        <v>943</v>
      </c>
      <c r="F2" s="398" t="s">
        <v>944</v>
      </c>
      <c r="G2" s="398" t="s">
        <v>737</v>
      </c>
      <c r="H2" s="398" t="s">
        <v>498</v>
      </c>
      <c r="I2" s="398" t="s">
        <v>740</v>
      </c>
      <c r="J2" s="398" t="s">
        <v>741</v>
      </c>
      <c r="K2" s="398" t="s">
        <v>598</v>
      </c>
    </row>
    <row r="3" spans="1:11" x14ac:dyDescent="0.2">
      <c r="A3" s="399"/>
      <c r="B3" s="447" t="s">
        <v>599</v>
      </c>
      <c r="C3" s="448"/>
      <c r="D3" s="448"/>
      <c r="E3" s="448"/>
      <c r="F3" s="449"/>
      <c r="G3" s="400">
        <f>SUM(G4:G11)</f>
        <v>0.2</v>
      </c>
      <c r="H3" s="399">
        <f>SUM(H4:H11)</f>
        <v>27</v>
      </c>
      <c r="I3" s="399">
        <f>SUM(I4:I11)</f>
        <v>0.8</v>
      </c>
      <c r="J3" s="399">
        <f>SUM(J4:J11)</f>
        <v>0.74</v>
      </c>
      <c r="K3" s="401"/>
    </row>
    <row r="4" spans="1:11" ht="96" x14ac:dyDescent="0.2">
      <c r="A4" s="402">
        <v>1</v>
      </c>
      <c r="B4" s="403" t="s">
        <v>600</v>
      </c>
      <c r="C4" s="402" t="s">
        <v>601</v>
      </c>
      <c r="D4" s="404">
        <f>Analysis2!A27</f>
        <v>0.26186515937828236</v>
      </c>
      <c r="E4" s="405" t="s">
        <v>602</v>
      </c>
      <c r="F4" s="403" t="s">
        <v>603</v>
      </c>
      <c r="G4" s="406">
        <v>0.04</v>
      </c>
      <c r="H4" s="402">
        <f>IF(D4&gt;0.2,4,IF(AND(D4&gt;0.1,D4&lt;0.2),3,IF(AND(D4&gt;0.05,D4&lt;0.1),2,IF(AND(D4&gt;0,D4&lt;0.05),1,0))))</f>
        <v>4</v>
      </c>
      <c r="I4" s="402">
        <f>G4*4</f>
        <v>0.16</v>
      </c>
      <c r="J4" s="402">
        <f>G4*H4</f>
        <v>0.16</v>
      </c>
      <c r="K4" s="402" t="s">
        <v>604</v>
      </c>
    </row>
    <row r="5" spans="1:11" ht="288" x14ac:dyDescent="0.2">
      <c r="A5" s="402">
        <v>2</v>
      </c>
      <c r="B5" s="403" t="s">
        <v>605</v>
      </c>
      <c r="C5" s="402" t="s">
        <v>606</v>
      </c>
      <c r="D5" s="404">
        <f>Analysis2!B24</f>
        <v>0.2543659832953683</v>
      </c>
      <c r="E5" s="407" t="s">
        <v>607</v>
      </c>
      <c r="F5" s="407" t="s">
        <v>608</v>
      </c>
      <c r="G5" s="406">
        <v>0.04</v>
      </c>
      <c r="H5" s="402">
        <f>IF(D5&gt;0.15,4,IF(AND(D5&gt;0.08,D5&lt;0.15),3,IF(AND(D5&gt;0.05,D5&lt;0.08),2,IF(AND(D5&gt;0.03,D5&lt;0.05),1,0))))</f>
        <v>4</v>
      </c>
      <c r="I5" s="402">
        <f t="shared" ref="I5:I43" si="0">G5*4</f>
        <v>0.16</v>
      </c>
      <c r="J5" s="402">
        <f t="shared" ref="J5:J11" si="1">G5*H5</f>
        <v>0.16</v>
      </c>
      <c r="K5" s="402" t="s">
        <v>604</v>
      </c>
    </row>
    <row r="6" spans="1:11" ht="84" x14ac:dyDescent="0.2">
      <c r="A6" s="402">
        <v>3</v>
      </c>
      <c r="B6" s="403" t="s">
        <v>609</v>
      </c>
      <c r="C6" s="402" t="s">
        <v>610</v>
      </c>
      <c r="D6" s="404">
        <f>Analysis2!C24</f>
        <v>0.36623690572119255</v>
      </c>
      <c r="E6" s="403" t="s">
        <v>611</v>
      </c>
      <c r="F6" s="407" t="s">
        <v>612</v>
      </c>
      <c r="G6" s="406">
        <v>0.02</v>
      </c>
      <c r="H6" s="402">
        <f>IF(D6&gt;0.3,4,IF(AND(D6&gt;0.25,D6&lt;0.3),3,IF(AND(D6&gt;0.2,D6&lt;0.25),2,IF(AND(D6&gt;0.15,D6&lt;0.2),1,0))))</f>
        <v>4</v>
      </c>
      <c r="I6" s="402">
        <f t="shared" si="0"/>
        <v>0.08</v>
      </c>
      <c r="J6" s="402">
        <f t="shared" si="1"/>
        <v>0.08</v>
      </c>
      <c r="K6" s="402" t="s">
        <v>604</v>
      </c>
    </row>
    <row r="7" spans="1:11" ht="89.25" customHeight="1" x14ac:dyDescent="0.2">
      <c r="A7" s="402">
        <v>4</v>
      </c>
      <c r="B7" s="403" t="s">
        <v>613</v>
      </c>
      <c r="C7" s="402" t="s">
        <v>614</v>
      </c>
      <c r="D7" s="408">
        <f>Analysis2!F24</f>
        <v>177.04761904761907</v>
      </c>
      <c r="E7" s="409"/>
      <c r="F7" s="407" t="s">
        <v>615</v>
      </c>
      <c r="G7" s="406">
        <v>0.01</v>
      </c>
      <c r="H7" s="402">
        <f>IF(D7&gt;0.03,4,IF(AND(D7&gt;0.02,D7&lt;0.03),3,IF(AND(D7&gt;0.015,D7&lt;0.02),2,IF(AND(D7&gt;0.01,D7&lt;0.015),1,0))))</f>
        <v>4</v>
      </c>
      <c r="I7" s="402">
        <f t="shared" si="0"/>
        <v>0.04</v>
      </c>
      <c r="J7" s="402">
        <f t="shared" si="1"/>
        <v>0.04</v>
      </c>
      <c r="K7" s="402" t="s">
        <v>604</v>
      </c>
    </row>
    <row r="8" spans="1:11" ht="409.5" x14ac:dyDescent="0.2">
      <c r="A8" s="402">
        <v>5</v>
      </c>
      <c r="B8" s="403" t="s">
        <v>616</v>
      </c>
      <c r="C8" s="402" t="s">
        <v>617</v>
      </c>
      <c r="D8" s="410">
        <f>Analysis2!G24</f>
        <v>0</v>
      </c>
      <c r="E8" s="407" t="s">
        <v>618</v>
      </c>
      <c r="F8" s="407" t="s">
        <v>619</v>
      </c>
      <c r="G8" s="406">
        <v>0.02</v>
      </c>
      <c r="H8" s="402">
        <f>IF(D8&gt;1,0,IF(AND(D8&gt;0.75,D8&lt;1),1,IF(AND(D8&gt;0.5,D8&lt;0.75),2,IF(AND(D8&gt;0.25,D8&lt;0.5),3,4))))</f>
        <v>4</v>
      </c>
      <c r="I8" s="402">
        <f t="shared" si="0"/>
        <v>0.08</v>
      </c>
      <c r="J8" s="402">
        <f t="shared" si="1"/>
        <v>0.08</v>
      </c>
      <c r="K8" s="402" t="s">
        <v>604</v>
      </c>
    </row>
    <row r="9" spans="1:11" x14ac:dyDescent="0.2">
      <c r="A9" s="402">
        <v>6</v>
      </c>
      <c r="B9" s="403" t="s">
        <v>620</v>
      </c>
      <c r="C9" s="402" t="s">
        <v>621</v>
      </c>
      <c r="D9" s="410">
        <f>Analysis2!H24</f>
        <v>2.5</v>
      </c>
      <c r="E9" s="409"/>
      <c r="F9" s="403">
        <v>2.08</v>
      </c>
      <c r="G9" s="406">
        <v>0.01</v>
      </c>
      <c r="H9" s="402">
        <f>IF(D9&gt;1.5,4,IF(AND(D9&gt;1.25,D9&lt;1.5),3,IF(AND(D9&gt;1,D9&lt;1.25),2,IF(AND(D9&gt;0.9,D9&lt;1),1,0))))</f>
        <v>4</v>
      </c>
      <c r="I9" s="402">
        <f t="shared" si="0"/>
        <v>0.04</v>
      </c>
      <c r="J9" s="402">
        <f t="shared" si="1"/>
        <v>0.04</v>
      </c>
      <c r="K9" s="402" t="s">
        <v>604</v>
      </c>
    </row>
    <row r="10" spans="1:11" ht="88.5" customHeight="1" x14ac:dyDescent="0.2">
      <c r="A10" s="402">
        <v>7</v>
      </c>
      <c r="B10" s="403" t="s">
        <v>622</v>
      </c>
      <c r="C10" s="402" t="s">
        <v>623</v>
      </c>
      <c r="D10" s="402">
        <f>Analysis2!I24</f>
        <v>6.8533333333333326</v>
      </c>
      <c r="E10" s="407" t="s">
        <v>624</v>
      </c>
      <c r="F10" s="403" t="s">
        <v>625</v>
      </c>
      <c r="G10" s="406">
        <v>0</v>
      </c>
      <c r="H10" s="402">
        <f>G10</f>
        <v>0</v>
      </c>
      <c r="I10" s="402">
        <f t="shared" si="0"/>
        <v>0</v>
      </c>
      <c r="J10" s="402">
        <f t="shared" si="1"/>
        <v>0</v>
      </c>
      <c r="K10" s="402" t="s">
        <v>626</v>
      </c>
    </row>
    <row r="11" spans="1:11" ht="156" x14ac:dyDescent="0.2">
      <c r="A11" s="402">
        <v>8</v>
      </c>
      <c r="B11" s="403" t="s">
        <v>627</v>
      </c>
      <c r="C11" s="402" t="s">
        <v>628</v>
      </c>
      <c r="D11" s="411">
        <f>Analysis2!J24</f>
        <v>0.96976929196499595</v>
      </c>
      <c r="E11" s="407" t="s">
        <v>629</v>
      </c>
      <c r="F11" s="407" t="s">
        <v>630</v>
      </c>
      <c r="G11" s="406">
        <v>0.06</v>
      </c>
      <c r="H11" s="402">
        <f>IF(D11&gt;1,4,IF(AND(D11&gt;0.75,D11&lt;1),3,IF(AND(D11&gt;0.5,D11&lt;0.75),2,IF(AND(D11&gt;0,D11&lt;0.5),1,0))))</f>
        <v>3</v>
      </c>
      <c r="I11" s="402">
        <f t="shared" si="0"/>
        <v>0.24</v>
      </c>
      <c r="J11" s="402">
        <f t="shared" si="1"/>
        <v>0.18</v>
      </c>
      <c r="K11" s="402" t="s">
        <v>626</v>
      </c>
    </row>
    <row r="12" spans="1:11" x14ac:dyDescent="0.2">
      <c r="A12" s="412"/>
      <c r="B12" s="447" t="s">
        <v>631</v>
      </c>
      <c r="C12" s="448"/>
      <c r="D12" s="448"/>
      <c r="E12" s="448"/>
      <c r="F12" s="449"/>
      <c r="G12" s="413">
        <f>SUM(G13:G18)</f>
        <v>0.1</v>
      </c>
      <c r="H12" s="412">
        <f>SUM(H13:H18)</f>
        <v>8</v>
      </c>
      <c r="I12" s="412">
        <f>SUM(I13:I18)</f>
        <v>0.4</v>
      </c>
      <c r="J12" s="412">
        <f>SUM(J13:J18)</f>
        <v>0.32</v>
      </c>
      <c r="K12" s="401"/>
    </row>
    <row r="13" spans="1:11" ht="24" x14ac:dyDescent="0.2">
      <c r="A13" s="402">
        <v>1</v>
      </c>
      <c r="B13" s="403" t="s">
        <v>632</v>
      </c>
      <c r="C13" s="402" t="s">
        <v>633</v>
      </c>
      <c r="D13" s="408">
        <f>Analysis2!A30</f>
        <v>18.097313432835822</v>
      </c>
      <c r="E13" s="407" t="s">
        <v>634</v>
      </c>
      <c r="F13" s="407">
        <v>7.6</v>
      </c>
      <c r="G13" s="406">
        <v>0</v>
      </c>
      <c r="H13" s="402">
        <f>IF(D13&gt;30,0,IF(AND(D13&gt;20,D13&lt;30),1,IF(AND(D13&gt;15,D13&lt;20),2,IF(AND(D13&gt;10,D13&lt;15),3,4))))</f>
        <v>2</v>
      </c>
      <c r="I13" s="402">
        <f t="shared" si="0"/>
        <v>0</v>
      </c>
      <c r="J13" s="402">
        <f>G13*H13</f>
        <v>0</v>
      </c>
      <c r="K13" s="402" t="s">
        <v>604</v>
      </c>
    </row>
    <row r="14" spans="1:11" ht="48" customHeight="1" x14ac:dyDescent="0.2">
      <c r="A14" s="402">
        <v>2</v>
      </c>
      <c r="B14" s="403" t="s">
        <v>635</v>
      </c>
      <c r="C14" s="402" t="s">
        <v>636</v>
      </c>
      <c r="D14" s="410">
        <f>Analysis2!B30</f>
        <v>0.15447522716694229</v>
      </c>
      <c r="E14" s="409"/>
      <c r="F14" s="403">
        <v>0.35</v>
      </c>
      <c r="G14" s="406">
        <v>0.06</v>
      </c>
      <c r="H14" s="402">
        <f>IF(D14&gt;2,0,IF(AND(D14&gt;1.5,D14&lt;2),1,IF(AND(D14&gt;1,D14&lt;1.5),2,IF(AND(D14&gt;0.5,D14&lt;1),3,4))))</f>
        <v>4</v>
      </c>
      <c r="I14" s="402">
        <f t="shared" si="0"/>
        <v>0.24</v>
      </c>
      <c r="J14" s="402">
        <f t="shared" ref="J14:J18" si="2">G14*H14</f>
        <v>0.24</v>
      </c>
      <c r="K14" s="402" t="s">
        <v>604</v>
      </c>
    </row>
    <row r="15" spans="1:11" ht="48" x14ac:dyDescent="0.2">
      <c r="A15" s="402">
        <v>3</v>
      </c>
      <c r="B15" s="403" t="s">
        <v>637</v>
      </c>
      <c r="C15" s="402" t="s">
        <v>638</v>
      </c>
      <c r="D15" s="414">
        <f>Analysis2!C30</f>
        <v>5.5256820506053503E-2</v>
      </c>
      <c r="E15" s="407" t="s">
        <v>639</v>
      </c>
      <c r="F15" s="415">
        <v>0.13159999999999999</v>
      </c>
      <c r="G15" s="406">
        <v>0.04</v>
      </c>
      <c r="H15" s="402">
        <f>IF(D15&gt;0.1,4,IF(AND(D15&gt;0.06,D15&lt;0.1),3,IF(AND(D15&gt;0.04,D15&lt;0.06),2,IF(AND(D15&gt;0.03,D15&lt;0.04),1,0))))</f>
        <v>2</v>
      </c>
      <c r="I15" s="402">
        <f t="shared" si="0"/>
        <v>0.16</v>
      </c>
      <c r="J15" s="402">
        <f t="shared" si="2"/>
        <v>0.08</v>
      </c>
      <c r="K15" s="402" t="s">
        <v>604</v>
      </c>
    </row>
    <row r="16" spans="1:11" ht="36" x14ac:dyDescent="0.2">
      <c r="A16" s="402">
        <v>4</v>
      </c>
      <c r="B16" s="403" t="s">
        <v>640</v>
      </c>
      <c r="C16" s="402" t="s">
        <v>636</v>
      </c>
      <c r="D16" s="410">
        <f>Analysis2!D30</f>
        <v>8.3985469139219475</v>
      </c>
      <c r="E16" s="407" t="s">
        <v>641</v>
      </c>
      <c r="F16" s="407">
        <v>2.9</v>
      </c>
      <c r="G16" s="406">
        <v>0</v>
      </c>
      <c r="H16" s="402">
        <f>G16</f>
        <v>0</v>
      </c>
      <c r="I16" s="402">
        <f t="shared" si="0"/>
        <v>0</v>
      </c>
      <c r="J16" s="402">
        <f t="shared" si="2"/>
        <v>0</v>
      </c>
      <c r="K16" s="402" t="s">
        <v>626</v>
      </c>
    </row>
    <row r="17" spans="1:11" ht="54" customHeight="1" x14ac:dyDescent="0.2">
      <c r="A17" s="402">
        <v>5</v>
      </c>
      <c r="B17" s="403" t="s">
        <v>642</v>
      </c>
      <c r="C17" s="402" t="s">
        <v>643</v>
      </c>
      <c r="D17" s="410">
        <f>Analysis2!E30</f>
        <v>4.9630274779195291</v>
      </c>
      <c r="E17" s="407" t="s">
        <v>644</v>
      </c>
      <c r="F17" s="407">
        <v>0.6</v>
      </c>
      <c r="G17" s="406">
        <v>0</v>
      </c>
      <c r="H17" s="402">
        <f>G17</f>
        <v>0</v>
      </c>
      <c r="I17" s="402">
        <f t="shared" si="0"/>
        <v>0</v>
      </c>
      <c r="J17" s="402">
        <f t="shared" si="2"/>
        <v>0</v>
      </c>
      <c r="K17" s="402" t="s">
        <v>604</v>
      </c>
    </row>
    <row r="18" spans="1:11" ht="38.25" customHeight="1" x14ac:dyDescent="0.2">
      <c r="A18" s="402">
        <v>6</v>
      </c>
      <c r="B18" s="403" t="s">
        <v>645</v>
      </c>
      <c r="C18" s="402" t="s">
        <v>646</v>
      </c>
      <c r="D18" s="414">
        <f>Analysis2!F30</f>
        <v>8.5684296210612005E-4</v>
      </c>
      <c r="E18" s="407" t="s">
        <v>647</v>
      </c>
      <c r="F18" s="416">
        <v>6.6E-3</v>
      </c>
      <c r="G18" s="406">
        <v>0</v>
      </c>
      <c r="H18" s="402">
        <f>IF(D18&gt;0.05,4,IF(AND(D18&gt;0.03,D18&lt;0.05),3,IF(AND(D18&gt;0.02,D18&lt;0.03),2,IF(AND(D18&gt;0.01,D18&lt;0.02),1,0))))</f>
        <v>0</v>
      </c>
      <c r="I18" s="402">
        <f t="shared" si="0"/>
        <v>0</v>
      </c>
      <c r="J18" s="402">
        <f t="shared" si="2"/>
        <v>0</v>
      </c>
      <c r="K18" s="402" t="s">
        <v>604</v>
      </c>
    </row>
    <row r="19" spans="1:11" x14ac:dyDescent="0.2">
      <c r="A19" s="447" t="s">
        <v>648</v>
      </c>
      <c r="B19" s="448"/>
      <c r="C19" s="448"/>
      <c r="D19" s="448"/>
      <c r="E19" s="448"/>
      <c r="F19" s="449"/>
      <c r="G19" s="417">
        <f>SUM(G20:G24)</f>
        <v>0.15000000000000002</v>
      </c>
      <c r="H19" s="418">
        <f>SUM(H20:H24)</f>
        <v>20</v>
      </c>
      <c r="I19" s="418">
        <f>SUM(I20:I24)</f>
        <v>0.60000000000000009</v>
      </c>
      <c r="J19" s="418">
        <f>SUM(J20:J24)</f>
        <v>0.60000000000000009</v>
      </c>
      <c r="K19" s="401"/>
    </row>
    <row r="20" spans="1:11" ht="288" x14ac:dyDescent="0.2">
      <c r="A20" s="402">
        <v>1</v>
      </c>
      <c r="B20" s="403" t="s">
        <v>649</v>
      </c>
      <c r="C20" s="402" t="s">
        <v>650</v>
      </c>
      <c r="D20" s="402"/>
      <c r="E20" s="403" t="s">
        <v>651</v>
      </c>
      <c r="F20" s="407" t="s">
        <v>652</v>
      </c>
      <c r="G20" s="406">
        <v>0.05</v>
      </c>
      <c r="H20" s="402">
        <v>4</v>
      </c>
      <c r="I20" s="402">
        <f t="shared" si="0"/>
        <v>0.2</v>
      </c>
      <c r="J20" s="402">
        <f>G20*H20</f>
        <v>0.2</v>
      </c>
      <c r="K20" s="402" t="s">
        <v>604</v>
      </c>
    </row>
    <row r="21" spans="1:11" ht="192" x14ac:dyDescent="0.2">
      <c r="A21" s="402">
        <v>2</v>
      </c>
      <c r="B21" s="403" t="s">
        <v>653</v>
      </c>
      <c r="C21" s="402" t="s">
        <v>654</v>
      </c>
      <c r="D21" s="402"/>
      <c r="E21" s="403" t="s">
        <v>655</v>
      </c>
      <c r="F21" s="407" t="s">
        <v>656</v>
      </c>
      <c r="G21" s="406">
        <v>0.02</v>
      </c>
      <c r="H21" s="402">
        <v>4</v>
      </c>
      <c r="I21" s="402">
        <f t="shared" si="0"/>
        <v>0.08</v>
      </c>
      <c r="J21" s="402">
        <f t="shared" ref="J21:J24" si="3">G21*H21</f>
        <v>0.08</v>
      </c>
      <c r="K21" s="402" t="s">
        <v>626</v>
      </c>
    </row>
    <row r="22" spans="1:11" ht="96" x14ac:dyDescent="0.2">
      <c r="A22" s="402">
        <v>3</v>
      </c>
      <c r="B22" s="403" t="s">
        <v>657</v>
      </c>
      <c r="C22" s="402" t="s">
        <v>658</v>
      </c>
      <c r="D22" s="402" t="str">
        <f>IF(Analysis2!B27&gt;Analysis2!A27,"Yes","No")</f>
        <v>Yes</v>
      </c>
      <c r="E22" s="407" t="s">
        <v>659</v>
      </c>
      <c r="F22" s="407" t="s">
        <v>660</v>
      </c>
      <c r="G22" s="406">
        <v>0.02</v>
      </c>
      <c r="H22" s="402">
        <v>4</v>
      </c>
      <c r="I22" s="402">
        <f t="shared" si="0"/>
        <v>0.08</v>
      </c>
      <c r="J22" s="402">
        <f t="shared" si="3"/>
        <v>0.08</v>
      </c>
      <c r="K22" s="402" t="s">
        <v>604</v>
      </c>
    </row>
    <row r="23" spans="1:11" ht="252" x14ac:dyDescent="0.2">
      <c r="A23" s="402">
        <v>4</v>
      </c>
      <c r="B23" s="403" t="s">
        <v>661</v>
      </c>
      <c r="C23" s="402" t="s">
        <v>628</v>
      </c>
      <c r="D23" s="411">
        <f>Analysis2!J24</f>
        <v>0.96976929196499595</v>
      </c>
      <c r="E23" s="403" t="s">
        <v>662</v>
      </c>
      <c r="F23" s="407" t="s">
        <v>663</v>
      </c>
      <c r="G23" s="406">
        <v>0.02</v>
      </c>
      <c r="H23" s="402">
        <v>4</v>
      </c>
      <c r="I23" s="402">
        <f t="shared" si="0"/>
        <v>0.08</v>
      </c>
      <c r="J23" s="402">
        <f t="shared" si="3"/>
        <v>0.08</v>
      </c>
      <c r="K23" s="402" t="s">
        <v>626</v>
      </c>
    </row>
    <row r="24" spans="1:11" ht="76.5" customHeight="1" x14ac:dyDescent="0.2">
      <c r="A24" s="402">
        <v>5</v>
      </c>
      <c r="B24" s="403" t="s">
        <v>664</v>
      </c>
      <c r="C24" s="402" t="s">
        <v>665</v>
      </c>
      <c r="D24" s="402"/>
      <c r="E24" s="403" t="s">
        <v>666</v>
      </c>
      <c r="F24" s="407" t="s">
        <v>667</v>
      </c>
      <c r="G24" s="406">
        <v>0.04</v>
      </c>
      <c r="H24" s="402">
        <v>4</v>
      </c>
      <c r="I24" s="402">
        <f t="shared" si="0"/>
        <v>0.16</v>
      </c>
      <c r="J24" s="402">
        <f t="shared" si="3"/>
        <v>0.16</v>
      </c>
      <c r="K24" s="402" t="s">
        <v>604</v>
      </c>
    </row>
    <row r="25" spans="1:11" x14ac:dyDescent="0.2">
      <c r="A25" s="447" t="s">
        <v>668</v>
      </c>
      <c r="B25" s="448"/>
      <c r="C25" s="448"/>
      <c r="D25" s="448"/>
      <c r="E25" s="448"/>
      <c r="F25" s="449"/>
      <c r="G25" s="417">
        <f>SUM(G26:G33)</f>
        <v>0.25</v>
      </c>
      <c r="H25" s="418">
        <f>SUM(H26:H33)</f>
        <v>17</v>
      </c>
      <c r="I25" s="418">
        <f>SUM(I26:I33)</f>
        <v>1</v>
      </c>
      <c r="J25" s="418">
        <f>SUM(J26:J33)</f>
        <v>0.7</v>
      </c>
      <c r="K25" s="419"/>
    </row>
    <row r="26" spans="1:11" ht="409.5" x14ac:dyDescent="0.2">
      <c r="A26" s="402">
        <v>1</v>
      </c>
      <c r="B26" s="403" t="s">
        <v>669</v>
      </c>
      <c r="C26" s="402" t="s">
        <v>670</v>
      </c>
      <c r="D26" s="402"/>
      <c r="E26" s="403" t="s">
        <v>671</v>
      </c>
      <c r="F26" s="407" t="s">
        <v>672</v>
      </c>
      <c r="G26" s="406">
        <v>0.08</v>
      </c>
      <c r="H26" s="402">
        <v>4</v>
      </c>
      <c r="I26" s="402">
        <f t="shared" si="0"/>
        <v>0.32</v>
      </c>
      <c r="J26" s="402">
        <f>G26*H26</f>
        <v>0.32</v>
      </c>
      <c r="K26" s="402" t="s">
        <v>604</v>
      </c>
    </row>
    <row r="27" spans="1:11" ht="276" x14ac:dyDescent="0.2">
      <c r="A27" s="402">
        <v>2</v>
      </c>
      <c r="B27" s="403" t="s">
        <v>673</v>
      </c>
      <c r="C27" s="402" t="s">
        <v>674</v>
      </c>
      <c r="D27" s="402"/>
      <c r="E27" s="403" t="s">
        <v>675</v>
      </c>
      <c r="F27" s="407" t="s">
        <v>676</v>
      </c>
      <c r="G27" s="406">
        <v>0.02</v>
      </c>
      <c r="H27" s="402">
        <v>2</v>
      </c>
      <c r="I27" s="402">
        <f t="shared" si="0"/>
        <v>0.08</v>
      </c>
      <c r="J27" s="402">
        <f t="shared" ref="J27:J33" si="4">G27*H27</f>
        <v>0.04</v>
      </c>
      <c r="K27" s="402" t="s">
        <v>604</v>
      </c>
    </row>
    <row r="28" spans="1:11" ht="144" x14ac:dyDescent="0.2">
      <c r="A28" s="402">
        <v>3</v>
      </c>
      <c r="B28" s="403" t="s">
        <v>677</v>
      </c>
      <c r="C28" s="402" t="s">
        <v>678</v>
      </c>
      <c r="D28" s="402"/>
      <c r="E28" s="403" t="s">
        <v>679</v>
      </c>
      <c r="F28" s="407" t="s">
        <v>680</v>
      </c>
      <c r="G28" s="406">
        <v>0.04</v>
      </c>
      <c r="H28" s="402">
        <v>4</v>
      </c>
      <c r="I28" s="402">
        <f t="shared" si="0"/>
        <v>0.16</v>
      </c>
      <c r="J28" s="402">
        <f t="shared" si="4"/>
        <v>0.16</v>
      </c>
      <c r="K28" s="402" t="s">
        <v>626</v>
      </c>
    </row>
    <row r="29" spans="1:11" ht="312" x14ac:dyDescent="0.2">
      <c r="A29" s="402">
        <v>4</v>
      </c>
      <c r="B29" s="403" t="s">
        <v>681</v>
      </c>
      <c r="C29" s="402" t="s">
        <v>682</v>
      </c>
      <c r="D29" s="402"/>
      <c r="E29" s="407" t="s">
        <v>683</v>
      </c>
      <c r="F29" s="407" t="s">
        <v>684</v>
      </c>
      <c r="G29" s="406">
        <v>0.02</v>
      </c>
      <c r="H29" s="402">
        <v>4</v>
      </c>
      <c r="I29" s="402">
        <f t="shared" si="0"/>
        <v>0.08</v>
      </c>
      <c r="J29" s="402">
        <f t="shared" si="4"/>
        <v>0.08</v>
      </c>
      <c r="K29" s="419"/>
    </row>
    <row r="30" spans="1:11" ht="72" x14ac:dyDescent="0.2">
      <c r="A30" s="402">
        <v>5</v>
      </c>
      <c r="B30" s="403" t="s">
        <v>685</v>
      </c>
      <c r="C30" s="402" t="s">
        <v>686</v>
      </c>
      <c r="D30" s="411">
        <f>Analysis2!D27</f>
        <v>0</v>
      </c>
      <c r="E30" s="407" t="s">
        <v>687</v>
      </c>
      <c r="F30" s="407" t="s">
        <v>688</v>
      </c>
      <c r="G30" s="406">
        <v>0.02</v>
      </c>
      <c r="H30" s="402">
        <f>IF(D30&gt;0.1,4,IF(AND(D30&gt;0.075,D30&lt;0.1),3,IF(AND(D30&gt;0.05,D30&lt;0.075),2,IF(AND(D30&gt;0,D30&lt;0.05),1,0))))</f>
        <v>0</v>
      </c>
      <c r="I30" s="402">
        <f t="shared" si="0"/>
        <v>0.08</v>
      </c>
      <c r="J30" s="402">
        <f t="shared" si="4"/>
        <v>0</v>
      </c>
      <c r="K30" s="402" t="s">
        <v>626</v>
      </c>
    </row>
    <row r="31" spans="1:11" ht="39" customHeight="1" x14ac:dyDescent="0.2">
      <c r="A31" s="402">
        <v>6</v>
      </c>
      <c r="B31" s="403" t="s">
        <v>689</v>
      </c>
      <c r="C31" s="402" t="s">
        <v>690</v>
      </c>
      <c r="D31" s="402">
        <f>Analysis2!L24</f>
        <v>0.1847</v>
      </c>
      <c r="E31" s="407" t="s">
        <v>691</v>
      </c>
      <c r="F31" s="415">
        <v>0.74370000000000003</v>
      </c>
      <c r="G31" s="406">
        <v>0.04</v>
      </c>
      <c r="H31" s="402">
        <f>IF(D31&gt;0.7,4,IF(AND(D31&gt;0.4,D31&lt;0.7),3,IF(AND(D31&gt;0.2,D31&lt;0.4),2,IF(AND(D31&gt;0.1,D31&lt;0.2),1,0))))</f>
        <v>1</v>
      </c>
      <c r="I31" s="402">
        <f t="shared" si="0"/>
        <v>0.16</v>
      </c>
      <c r="J31" s="402">
        <f t="shared" si="4"/>
        <v>0.04</v>
      </c>
      <c r="K31" s="402" t="s">
        <v>604</v>
      </c>
    </row>
    <row r="32" spans="1:11" ht="36" x14ac:dyDescent="0.2">
      <c r="A32" s="402">
        <v>7</v>
      </c>
      <c r="B32" s="403" t="s">
        <v>692</v>
      </c>
      <c r="C32" s="402" t="s">
        <v>693</v>
      </c>
      <c r="D32" s="402">
        <f>Analysis2!N34</f>
        <v>0</v>
      </c>
      <c r="E32" s="407" t="s">
        <v>694</v>
      </c>
      <c r="F32" s="407" t="s">
        <v>695</v>
      </c>
      <c r="G32" s="406">
        <v>0.03</v>
      </c>
      <c r="H32" s="402">
        <f>IF(D32&gt;0.05,4,IF(AND(D32&gt;0.04,D32&lt;0.05),3,IF(AND(D32&gt;=0,D32&lt;0.04),2,0)))</f>
        <v>2</v>
      </c>
      <c r="I32" s="402">
        <f t="shared" si="0"/>
        <v>0.12</v>
      </c>
      <c r="J32" s="402">
        <f t="shared" si="4"/>
        <v>0.06</v>
      </c>
      <c r="K32" s="402" t="s">
        <v>626</v>
      </c>
    </row>
    <row r="33" spans="1:11" x14ac:dyDescent="0.2">
      <c r="A33" s="402">
        <v>8</v>
      </c>
      <c r="B33" s="403" t="s">
        <v>696</v>
      </c>
      <c r="C33" s="402" t="s">
        <v>697</v>
      </c>
      <c r="D33" s="402" t="str">
        <f>Analysis2!L30</f>
        <v>Not Required</v>
      </c>
      <c r="E33" s="407" t="s">
        <v>698</v>
      </c>
      <c r="F33" s="420">
        <v>0</v>
      </c>
      <c r="G33" s="406">
        <v>0</v>
      </c>
      <c r="H33" s="402">
        <f>G33</f>
        <v>0</v>
      </c>
      <c r="I33" s="402">
        <f t="shared" si="0"/>
        <v>0</v>
      </c>
      <c r="J33" s="402">
        <f t="shared" si="4"/>
        <v>0</v>
      </c>
      <c r="K33" s="402" t="s">
        <v>604</v>
      </c>
    </row>
    <row r="34" spans="1:11" x14ac:dyDescent="0.2">
      <c r="A34" s="447" t="s">
        <v>699</v>
      </c>
      <c r="B34" s="448"/>
      <c r="C34" s="448"/>
      <c r="D34" s="448"/>
      <c r="E34" s="448"/>
      <c r="F34" s="449"/>
      <c r="G34" s="417">
        <f>SUM(G35:G36)</f>
        <v>0.1</v>
      </c>
      <c r="H34" s="418">
        <f>SUM(H35:H36)</f>
        <v>4</v>
      </c>
      <c r="I34" s="418">
        <f>SUM(I35:I36)</f>
        <v>0.4</v>
      </c>
      <c r="J34" s="418">
        <f>SUM(J35:J36)</f>
        <v>0.2</v>
      </c>
      <c r="K34" s="419"/>
    </row>
    <row r="35" spans="1:11" ht="144" x14ac:dyDescent="0.2">
      <c r="A35" s="402">
        <v>1</v>
      </c>
      <c r="B35" s="403" t="s">
        <v>700</v>
      </c>
      <c r="C35" s="402" t="s">
        <v>701</v>
      </c>
      <c r="D35" s="402"/>
      <c r="E35" s="407" t="s">
        <v>702</v>
      </c>
      <c r="F35" s="403" t="s">
        <v>703</v>
      </c>
      <c r="G35" s="406">
        <v>0.05</v>
      </c>
      <c r="H35" s="402">
        <v>3</v>
      </c>
      <c r="I35" s="402">
        <f t="shared" si="0"/>
        <v>0.2</v>
      </c>
      <c r="J35" s="402">
        <f>G35*H35</f>
        <v>0.15000000000000002</v>
      </c>
      <c r="K35" s="402" t="s">
        <v>604</v>
      </c>
    </row>
    <row r="36" spans="1:11" ht="72" x14ac:dyDescent="0.2">
      <c r="A36" s="402">
        <v>2</v>
      </c>
      <c r="B36" s="403" t="s">
        <v>704</v>
      </c>
      <c r="C36" s="402" t="s">
        <v>705</v>
      </c>
      <c r="D36" s="402"/>
      <c r="E36" s="407" t="s">
        <v>706</v>
      </c>
      <c r="F36" s="403" t="s">
        <v>707</v>
      </c>
      <c r="G36" s="406">
        <v>0.05</v>
      </c>
      <c r="H36" s="402">
        <v>1</v>
      </c>
      <c r="I36" s="402">
        <f t="shared" si="0"/>
        <v>0.2</v>
      </c>
      <c r="J36" s="402">
        <f>G36*H36</f>
        <v>0.05</v>
      </c>
      <c r="K36" s="402" t="s">
        <v>626</v>
      </c>
    </row>
    <row r="37" spans="1:11" x14ac:dyDescent="0.2">
      <c r="A37" s="447" t="s">
        <v>708</v>
      </c>
      <c r="B37" s="448"/>
      <c r="C37" s="448"/>
      <c r="D37" s="448"/>
      <c r="E37" s="448"/>
      <c r="F37" s="449"/>
      <c r="G37" s="417">
        <f>SUM(G38:G41)</f>
        <v>0.1</v>
      </c>
      <c r="H37" s="418">
        <f>SUM(H38:H41)</f>
        <v>12</v>
      </c>
      <c r="I37" s="418">
        <f>SUM(I38:I41)</f>
        <v>0.4</v>
      </c>
      <c r="J37" s="418">
        <f>SUM(J38:J41)</f>
        <v>0.32</v>
      </c>
      <c r="K37" s="419"/>
    </row>
    <row r="38" spans="1:11" ht="89.25" customHeight="1" x14ac:dyDescent="0.2">
      <c r="A38" s="402">
        <v>1</v>
      </c>
      <c r="B38" s="403" t="s">
        <v>637</v>
      </c>
      <c r="C38" s="402" t="s">
        <v>709</v>
      </c>
      <c r="D38" s="414">
        <f>Analysis2!C30</f>
        <v>5.5256820506053503E-2</v>
      </c>
      <c r="E38" s="407" t="s">
        <v>710</v>
      </c>
      <c r="F38" s="403" t="s">
        <v>711</v>
      </c>
      <c r="G38" s="406">
        <v>0.02</v>
      </c>
      <c r="H38" s="402">
        <f>IF(D38&gt;0.1,4,IF(AND(D38&gt;0.06,D38&lt;0.1),3,IF(AND(D38&gt;0.04,D38&lt;0.06),2,IF(AND(D38&gt;0.03,D38&lt;0.04),1,0))))</f>
        <v>2</v>
      </c>
      <c r="I38" s="402">
        <f t="shared" si="0"/>
        <v>0.08</v>
      </c>
      <c r="J38" s="402">
        <f>G38*H38</f>
        <v>0.04</v>
      </c>
      <c r="K38" s="402" t="s">
        <v>604</v>
      </c>
    </row>
    <row r="39" spans="1:11" ht="60" x14ac:dyDescent="0.2">
      <c r="A39" s="402">
        <v>2</v>
      </c>
      <c r="B39" s="403" t="s">
        <v>947</v>
      </c>
      <c r="C39" s="402" t="s">
        <v>712</v>
      </c>
      <c r="D39" s="408">
        <f>Analysis2!M30</f>
        <v>0.61717925676343421</v>
      </c>
      <c r="E39" s="407" t="s">
        <v>713</v>
      </c>
      <c r="F39" s="407" t="s">
        <v>714</v>
      </c>
      <c r="G39" s="406">
        <v>0.02</v>
      </c>
      <c r="H39" s="402">
        <f>IF(D39&gt;1,4,IF(AND(D39&gt;0.8,D39&lt;1),3,IF(AND(D39&gt;0.6,D39&lt;0.8),2,IF(AND(D39&gt;0.5,D39&lt;0.6),1,0))))</f>
        <v>2</v>
      </c>
      <c r="I39" s="402">
        <f t="shared" si="0"/>
        <v>0.08</v>
      </c>
      <c r="J39" s="402">
        <f t="shared" ref="J39:J41" si="5">G39*H39</f>
        <v>0.04</v>
      </c>
      <c r="K39" s="402" t="s">
        <v>604</v>
      </c>
    </row>
    <row r="40" spans="1:11" ht="36" x14ac:dyDescent="0.2">
      <c r="A40" s="402">
        <v>3</v>
      </c>
      <c r="B40" s="403" t="s">
        <v>948</v>
      </c>
      <c r="C40" s="402" t="s">
        <v>712</v>
      </c>
      <c r="D40" s="408">
        <f>Analysis2!H6/Analysis2!B21</f>
        <v>2.2776268926826049</v>
      </c>
      <c r="E40" s="407"/>
      <c r="F40" s="407"/>
      <c r="G40" s="406">
        <v>0.02</v>
      </c>
      <c r="H40" s="402">
        <f>IF(D40&gt;1,4,IF(AND(D40&gt;0.8,D40&lt;1),3,IF(AND(D40&gt;0.6,D40&lt;0.8),2,IF(AND(D40&gt;0.5,D40&lt;0.6),1,0))))</f>
        <v>4</v>
      </c>
      <c r="I40" s="402">
        <f t="shared" si="0"/>
        <v>0.08</v>
      </c>
      <c r="J40" s="402">
        <f t="shared" si="5"/>
        <v>0.08</v>
      </c>
      <c r="K40" s="402"/>
    </row>
    <row r="41" spans="1:11" ht="156" x14ac:dyDescent="0.2">
      <c r="A41" s="402">
        <v>4</v>
      </c>
      <c r="B41" s="403" t="s">
        <v>715</v>
      </c>
      <c r="C41" s="402" t="s">
        <v>716</v>
      </c>
      <c r="D41" s="410">
        <f>Analysis2!K24</f>
        <v>0.76374077112387206</v>
      </c>
      <c r="E41" s="403" t="s">
        <v>717</v>
      </c>
      <c r="F41" s="407" t="s">
        <v>718</v>
      </c>
      <c r="G41" s="406">
        <v>0.04</v>
      </c>
      <c r="H41" s="402">
        <f>IF(D41&gt;0.75,4,IF(AND(D41&gt;0.5,D41&lt;0.75),3,IF(AND(D41&gt;0.25,D41&lt;0.5),2,IF(AND(D41&gt;0,D41&lt;0.25),1,0))))</f>
        <v>4</v>
      </c>
      <c r="I41" s="402">
        <f t="shared" si="0"/>
        <v>0.16</v>
      </c>
      <c r="J41" s="402">
        <f t="shared" si="5"/>
        <v>0.16</v>
      </c>
      <c r="K41" s="402" t="s">
        <v>626</v>
      </c>
    </row>
    <row r="42" spans="1:11" x14ac:dyDescent="0.2">
      <c r="A42" s="447" t="s">
        <v>719</v>
      </c>
      <c r="B42" s="448"/>
      <c r="C42" s="448"/>
      <c r="D42" s="448"/>
      <c r="E42" s="448"/>
      <c r="F42" s="449"/>
      <c r="G42" s="417">
        <f>G43</f>
        <v>0.1</v>
      </c>
      <c r="H42" s="418">
        <f>H43</f>
        <v>4</v>
      </c>
      <c r="I42" s="418">
        <f>I43</f>
        <v>0.4</v>
      </c>
      <c r="J42" s="418">
        <f>J43</f>
        <v>0.4</v>
      </c>
      <c r="K42" s="419"/>
    </row>
    <row r="43" spans="1:11" ht="48" x14ac:dyDescent="0.2">
      <c r="A43" s="402">
        <v>1</v>
      </c>
      <c r="B43" s="403" t="s">
        <v>720</v>
      </c>
      <c r="C43" s="402" t="s">
        <v>721</v>
      </c>
      <c r="D43" s="402" t="str">
        <f>Analysis2!L30</f>
        <v>Not Required</v>
      </c>
      <c r="E43" s="407" t="s">
        <v>722</v>
      </c>
      <c r="F43" s="407" t="s">
        <v>723</v>
      </c>
      <c r="G43" s="406">
        <v>0.1</v>
      </c>
      <c r="H43" s="402">
        <f>IF(OR(D43="AAA",D43="Not Required"),4,IF(D43="A",3,IF(D43="BBB",2,IF(D43="BB",1,0))))</f>
        <v>4</v>
      </c>
      <c r="I43" s="402">
        <f t="shared" si="0"/>
        <v>0.4</v>
      </c>
      <c r="J43" s="402">
        <f>G43*H43</f>
        <v>0.4</v>
      </c>
      <c r="K43" s="402" t="s">
        <v>604</v>
      </c>
    </row>
  </sheetData>
  <mergeCells count="7">
    <mergeCell ref="A25:F25"/>
    <mergeCell ref="A34:F34"/>
    <mergeCell ref="A37:F37"/>
    <mergeCell ref="A42:F42"/>
    <mergeCell ref="B3:F3"/>
    <mergeCell ref="B12:F12"/>
    <mergeCell ref="A19:F19"/>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B13" sqref="B13"/>
    </sheetView>
  </sheetViews>
  <sheetFormatPr defaultRowHeight="15" x14ac:dyDescent="0.25"/>
  <cols>
    <col min="1" max="1" width="40" bestFit="1" customWidth="1"/>
    <col min="11" max="11" width="11.42578125" customWidth="1"/>
    <col min="12" max="12" width="29.7109375" customWidth="1"/>
    <col min="13" max="13" width="20.28515625" customWidth="1"/>
  </cols>
  <sheetData>
    <row r="1" spans="1:13" ht="20.25" thickBot="1" x14ac:dyDescent="0.35">
      <c r="A1" s="108" t="s">
        <v>320</v>
      </c>
      <c r="B1" s="62"/>
      <c r="C1" s="62"/>
      <c r="D1" s="62"/>
      <c r="E1" s="62"/>
      <c r="F1" s="62"/>
      <c r="G1" s="62"/>
      <c r="H1" s="62"/>
      <c r="I1" s="62"/>
      <c r="J1" s="62"/>
      <c r="K1" s="62"/>
    </row>
    <row r="2" spans="1:13" ht="15.75" x14ac:dyDescent="0.25">
      <c r="A2" s="89" t="s">
        <v>321</v>
      </c>
      <c r="B2" s="90">
        <f>'Fair Value'!B3</f>
        <v>38807</v>
      </c>
      <c r="C2" s="90">
        <f>'Fair Value'!C3</f>
        <v>39172</v>
      </c>
      <c r="D2" s="90">
        <f>'Fair Value'!D3</f>
        <v>39538</v>
      </c>
      <c r="E2" s="90">
        <f>'Fair Value'!E3</f>
        <v>39903</v>
      </c>
      <c r="F2" s="90">
        <f>'Fair Value'!F3</f>
        <v>40268</v>
      </c>
      <c r="G2" s="90">
        <f>'Fair Value'!G3</f>
        <v>40633</v>
      </c>
      <c r="H2" s="90">
        <f>'Fair Value'!H3</f>
        <v>40999</v>
      </c>
      <c r="I2" s="90">
        <f>'Fair Value'!I3</f>
        <v>41364</v>
      </c>
      <c r="J2" s="90">
        <f>'Fair Value'!J3</f>
        <v>41729</v>
      </c>
      <c r="K2" s="90">
        <f>'Fair Value'!K3</f>
        <v>42094</v>
      </c>
      <c r="L2" s="109" t="s">
        <v>322</v>
      </c>
      <c r="M2" s="110" t="s">
        <v>323</v>
      </c>
    </row>
    <row r="3" spans="1:13" ht="15.75" x14ac:dyDescent="0.25">
      <c r="A3" s="111" t="s">
        <v>324</v>
      </c>
      <c r="B3" s="105">
        <f>'Profit &amp; Loss'!B12</f>
        <v>3.03</v>
      </c>
      <c r="C3" s="105">
        <f>'Profit &amp; Loss'!C12</f>
        <v>2.71</v>
      </c>
      <c r="D3" s="105">
        <f>'Profit &amp; Loss'!D12</f>
        <v>1.0900000000000001</v>
      </c>
      <c r="E3" s="105">
        <f>'Profit &amp; Loss'!E12</f>
        <v>-2.72</v>
      </c>
      <c r="F3" s="105">
        <f>'Profit &amp; Loss'!F12</f>
        <v>-1.94</v>
      </c>
      <c r="G3" s="105">
        <f>'Profit &amp; Loss'!G12</f>
        <v>0.39</v>
      </c>
      <c r="H3" s="105">
        <f>'Profit &amp; Loss'!H12</f>
        <v>0.59</v>
      </c>
      <c r="I3" s="105">
        <f>'Profit &amp; Loss'!I12</f>
        <v>0.86</v>
      </c>
      <c r="J3" s="105">
        <f>'Profit &amp; Loss'!J12</f>
        <v>0.05</v>
      </c>
      <c r="K3" s="105">
        <f>'Profit &amp; Loss'!K12</f>
        <v>7.71</v>
      </c>
      <c r="L3" s="119">
        <f>(K3/B3)^(1/9)-1</f>
        <v>0.10934842769543085</v>
      </c>
      <c r="M3" s="120">
        <f>(K3/F3)^(1/5)-1</f>
        <v>-2.3178031144953866</v>
      </c>
    </row>
    <row r="4" spans="1:13" ht="15.75" x14ac:dyDescent="0.25">
      <c r="A4" s="112" t="s">
        <v>325</v>
      </c>
      <c r="B4" s="105">
        <f>'Profit &amp; Loss'!B13</f>
        <v>4.473909576824262</v>
      </c>
      <c r="C4" s="105">
        <f>'Profit &amp; Loss'!C13</f>
        <v>3.6460996152086751</v>
      </c>
      <c r="D4" s="105">
        <f>'Profit &amp; Loss'!D13</f>
        <v>1.3845489418997536</v>
      </c>
      <c r="E4" s="105">
        <f>'Profit &amp; Loss'!E13</f>
        <v>-3.4550212128140645</v>
      </c>
      <c r="F4" s="105">
        <f>'Profit &amp; Loss'!F13</f>
        <v>-2.2917897223862962</v>
      </c>
      <c r="G4" s="105">
        <f>'Profit &amp; Loss'!G13</f>
        <v>0.43464208895674755</v>
      </c>
      <c r="H4" s="105">
        <f>'Profit &amp; Loss'!H13</f>
        <v>0.60762100926879503</v>
      </c>
      <c r="I4" s="105">
        <f>'Profit &amp; Loss'!I13</f>
        <v>0.77372919478182645</v>
      </c>
      <c r="J4" s="105">
        <f>'Profit &amp; Loss'!J13</f>
        <v>4.4984255510571308E-2</v>
      </c>
      <c r="K4" s="105">
        <f>'Profit &amp; Loss'!K13</f>
        <v>6.9365721997300946</v>
      </c>
      <c r="L4" s="119">
        <f>(K4/B4)^(1/9)-1</f>
        <v>4.9933922496584682E-2</v>
      </c>
      <c r="M4" s="120">
        <f>(K4/F4)^(1/5)-1</f>
        <v>-2.247940929298037</v>
      </c>
    </row>
    <row r="5" spans="1:13" ht="15.75" x14ac:dyDescent="0.25">
      <c r="A5" s="111" t="s">
        <v>326</v>
      </c>
      <c r="B5" s="35">
        <f>B3/'Profit &amp; Loss'!B4</f>
        <v>0.2357976653696498</v>
      </c>
      <c r="C5" s="35">
        <f>C3/'Profit &amp; Loss'!C4</f>
        <v>0.14437932871603623</v>
      </c>
      <c r="D5" s="35">
        <f>D3/'Profit &amp; Loss'!D4</f>
        <v>4.4708777686628391E-2</v>
      </c>
      <c r="E5" s="35">
        <f>E3/'Profit &amp; Loss'!E4</f>
        <v>-0.22006472491909387</v>
      </c>
      <c r="F5" s="35">
        <f>F3/'Profit &amp; Loss'!F4</f>
        <v>-0.22823529411764706</v>
      </c>
      <c r="G5" s="35">
        <f>G3/'Profit &amp; Loss'!G4</f>
        <v>2.0408163265306124E-2</v>
      </c>
      <c r="H5" s="35">
        <f>H3/'Profit &amp; Loss'!H4</f>
        <v>2.270977675134719E-2</v>
      </c>
      <c r="I5" s="35">
        <f>I3/'Profit &amp; Loss'!I4</f>
        <v>3.0281690140845072E-2</v>
      </c>
      <c r="J5" s="35">
        <f>J3/'Profit &amp; Loss'!J4</f>
        <v>2.5601638504864311E-3</v>
      </c>
      <c r="K5" s="35">
        <f>K3/'Profit &amp; Loss'!K4</f>
        <v>0.17349234923492349</v>
      </c>
    </row>
    <row r="6" spans="1:13" ht="16.5" thickBot="1" x14ac:dyDescent="0.3">
      <c r="A6" s="113" t="s">
        <v>55</v>
      </c>
      <c r="C6" s="118">
        <f>'Financial Analysis'!C72</f>
        <v>0.17899603698811095</v>
      </c>
      <c r="D6" s="118">
        <f>'Financial Analysis'!D72</f>
        <v>6.1581920903954812E-2</v>
      </c>
      <c r="E6" s="118">
        <f>'Financial Analysis'!E72</f>
        <v>-0.18157543391188252</v>
      </c>
      <c r="F6" s="118">
        <f>'Financial Analysis'!F72</f>
        <v>-0.13837375178316691</v>
      </c>
      <c r="G6" s="118">
        <f>'Financial Analysis'!G72</f>
        <v>2.6121902210314803E-2</v>
      </c>
      <c r="H6" s="118">
        <f>'Financial Analysis'!H72</f>
        <v>3.6218538980969918E-2</v>
      </c>
      <c r="I6" s="118">
        <f>'Financial Analysis'!I72</f>
        <v>4.6336206896551727E-2</v>
      </c>
      <c r="J6" s="118">
        <f>'Financial Analysis'!J72</f>
        <v>2.6867275658248257E-3</v>
      </c>
      <c r="K6" s="118">
        <f>'Financial Analysis'!K72</f>
        <v>0.31859504132231403</v>
      </c>
    </row>
    <row r="8" spans="1:13" ht="16.5" thickBot="1" x14ac:dyDescent="0.3">
      <c r="A8" s="114" t="s">
        <v>327</v>
      </c>
    </row>
    <row r="9" spans="1:13" ht="15.75" x14ac:dyDescent="0.25">
      <c r="A9" s="115" t="s">
        <v>328</v>
      </c>
      <c r="B9" s="72">
        <v>0.2</v>
      </c>
    </row>
    <row r="10" spans="1:13" ht="15.75" x14ac:dyDescent="0.25">
      <c r="A10" s="116" t="s">
        <v>329</v>
      </c>
      <c r="B10" s="121">
        <f>K4*(1+B9)^10</f>
        <v>42.949426735676106</v>
      </c>
    </row>
    <row r="11" spans="1:13" ht="15.75" x14ac:dyDescent="0.25">
      <c r="A11" s="116" t="s">
        <v>330</v>
      </c>
      <c r="B11" s="105">
        <f>'Financial Analysis'!K40/'Expected Return Model'!K4</f>
        <v>14.426433852140077</v>
      </c>
    </row>
    <row r="12" spans="1:13" ht="15.75" x14ac:dyDescent="0.25">
      <c r="A12" s="116" t="s">
        <v>331</v>
      </c>
      <c r="B12" s="121">
        <f>B10*20</f>
        <v>858.98853471352209</v>
      </c>
    </row>
    <row r="13" spans="1:13" ht="15.75" x14ac:dyDescent="0.25">
      <c r="A13" s="116" t="s">
        <v>332</v>
      </c>
      <c r="B13">
        <f>'Financial Analysis'!L40</f>
        <v>273</v>
      </c>
    </row>
    <row r="14" spans="1:13" ht="16.5" thickBot="1" x14ac:dyDescent="0.3">
      <c r="A14" s="117" t="s">
        <v>333</v>
      </c>
      <c r="B14" s="122">
        <f>(B12/B13)^(1/10)-1</f>
        <v>0.12145660211835163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defaultRowHeight="15" x14ac:dyDescent="0.25"/>
  <sheetData>
    <row r="1" spans="1:5" x14ac:dyDescent="0.25">
      <c r="A1" s="226" t="s">
        <v>807</v>
      </c>
      <c r="B1" s="226" t="s">
        <v>803</v>
      </c>
      <c r="C1" s="226" t="s">
        <v>804</v>
      </c>
      <c r="D1" s="226" t="s">
        <v>805</v>
      </c>
      <c r="E1" s="226" t="s">
        <v>806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8"/>
  <sheetViews>
    <sheetView topLeftCell="A54" zoomScaleNormal="100" workbookViewId="0">
      <selection activeCell="D71" sqref="D71"/>
    </sheetView>
  </sheetViews>
  <sheetFormatPr defaultColWidth="14.42578125" defaultRowHeight="12" x14ac:dyDescent="0.2"/>
  <cols>
    <col min="1" max="1" width="17.28515625" style="227" customWidth="1"/>
    <col min="2" max="2" width="16.28515625" style="227" customWidth="1"/>
    <col min="3" max="4" width="14.42578125" style="227"/>
    <col min="5" max="5" width="12.28515625" style="227" customWidth="1"/>
    <col min="6" max="6" width="14.7109375" style="227" customWidth="1"/>
    <col min="7" max="7" width="14.42578125" style="227"/>
    <col min="8" max="8" width="11.140625" style="227" customWidth="1"/>
    <col min="9" max="9" width="10.7109375" style="227" customWidth="1"/>
    <col min="10" max="10" width="14.42578125" style="227"/>
    <col min="11" max="11" width="11.85546875" style="227" customWidth="1"/>
    <col min="12" max="12" width="14.42578125" style="227"/>
    <col min="13" max="13" width="12" style="227" customWidth="1"/>
    <col min="14" max="14" width="15.28515625" style="227" customWidth="1"/>
    <col min="15" max="16384" width="14.42578125" style="227"/>
  </cols>
  <sheetData>
    <row r="1" spans="1:35" ht="14.25" customHeight="1" x14ac:dyDescent="0.2">
      <c r="A1" s="451" t="s">
        <v>393</v>
      </c>
      <c r="B1" s="451"/>
      <c r="C1" s="451"/>
      <c r="D1" s="451"/>
      <c r="E1" s="451"/>
      <c r="F1" s="451"/>
      <c r="G1" s="451"/>
      <c r="H1" s="451"/>
      <c r="I1" s="451"/>
      <c r="J1" s="451"/>
      <c r="K1" s="451" t="s">
        <v>572</v>
      </c>
      <c r="L1" s="451"/>
      <c r="M1" s="451"/>
      <c r="N1" s="451"/>
      <c r="O1" s="451"/>
      <c r="P1" s="451"/>
      <c r="Q1" s="451"/>
      <c r="R1" s="451"/>
      <c r="S1" s="451"/>
      <c r="T1" s="451"/>
      <c r="U1" s="451"/>
      <c r="V1" s="451"/>
      <c r="W1" s="451"/>
      <c r="X1" s="451"/>
      <c r="Y1" s="451"/>
      <c r="Z1" s="451"/>
      <c r="AA1" s="451"/>
      <c r="AB1" s="451"/>
      <c r="AC1" s="451"/>
      <c r="AD1" s="451"/>
      <c r="AE1" s="451"/>
      <c r="AF1" s="451"/>
      <c r="AG1" s="451"/>
      <c r="AH1" s="451"/>
      <c r="AI1" s="451"/>
    </row>
    <row r="2" spans="1:35" ht="32.25" customHeight="1" x14ac:dyDescent="0.2">
      <c r="A2" s="228"/>
      <c r="B2" s="229" t="s">
        <v>395</v>
      </c>
      <c r="C2" s="229" t="s">
        <v>396</v>
      </c>
      <c r="D2" s="229" t="s">
        <v>121</v>
      </c>
      <c r="E2" s="229" t="s">
        <v>397</v>
      </c>
      <c r="F2" s="229" t="s">
        <v>551</v>
      </c>
      <c r="G2" s="229" t="s">
        <v>124</v>
      </c>
      <c r="H2" s="229" t="s">
        <v>545</v>
      </c>
      <c r="I2" s="229" t="s">
        <v>467</v>
      </c>
      <c r="J2" s="229" t="s">
        <v>564</v>
      </c>
      <c r="K2" s="229" t="s">
        <v>573</v>
      </c>
      <c r="L2" s="229" t="s">
        <v>352</v>
      </c>
      <c r="M2" s="229" t="s">
        <v>229</v>
      </c>
      <c r="N2" s="229" t="s">
        <v>355</v>
      </c>
      <c r="O2" s="229" t="s">
        <v>560</v>
      </c>
      <c r="P2" s="229" t="s">
        <v>562</v>
      </c>
      <c r="Q2" s="229" t="s">
        <v>563</v>
      </c>
      <c r="R2" s="229" t="s">
        <v>570</v>
      </c>
      <c r="S2" s="229" t="s">
        <v>575</v>
      </c>
      <c r="T2" s="229" t="s">
        <v>576</v>
      </c>
      <c r="U2" s="229" t="s">
        <v>577</v>
      </c>
      <c r="V2" s="229" t="s">
        <v>578</v>
      </c>
      <c r="W2" s="229" t="s">
        <v>579</v>
      </c>
      <c r="X2" s="229" t="s">
        <v>592</v>
      </c>
      <c r="Y2" s="229" t="s">
        <v>585</v>
      </c>
      <c r="Z2" s="229" t="s">
        <v>580</v>
      </c>
      <c r="AA2" s="229" t="s">
        <v>581</v>
      </c>
      <c r="AB2" s="229" t="s">
        <v>582</v>
      </c>
      <c r="AC2" s="229" t="s">
        <v>583</v>
      </c>
      <c r="AD2" s="229" t="s">
        <v>584</v>
      </c>
      <c r="AE2" s="229" t="s">
        <v>565</v>
      </c>
      <c r="AF2" s="229" t="s">
        <v>566</v>
      </c>
      <c r="AG2" s="229" t="s">
        <v>567</v>
      </c>
      <c r="AH2" s="229" t="s">
        <v>568</v>
      </c>
      <c r="AI2" s="229" t="s">
        <v>571</v>
      </c>
    </row>
    <row r="3" spans="1:35" ht="12.75" customHeight="1" x14ac:dyDescent="0.2">
      <c r="A3" s="230" t="s">
        <v>399</v>
      </c>
      <c r="B3" s="231">
        <f>MIN(Other_input_data!G69:L69)</f>
        <v>12.782249999999999</v>
      </c>
      <c r="C3" s="231">
        <f>MIN(Other_input_data!G71:L71)</f>
        <v>0.40234806629834252</v>
      </c>
      <c r="D3" s="231">
        <f>MIN(Other_input_data!G75:L75)</f>
        <v>0.51107166666666659</v>
      </c>
      <c r="E3" s="231">
        <f>MIN(Other_input_data!G74:L74)</f>
        <v>0.25228060046189377</v>
      </c>
      <c r="F3" s="232">
        <f>MIN(Other_input_data!G76:L76)</f>
        <v>0</v>
      </c>
      <c r="G3" s="233">
        <f>MIN(Other_input_data!G77:L77)</f>
        <v>1.4718863999999998</v>
      </c>
      <c r="H3" s="232">
        <f>MIN('Financial Analysis'!G61:L61)</f>
        <v>-8.9844866007656732E-2</v>
      </c>
      <c r="I3" s="234">
        <f>MIN('Financial Analysis'!G126:L126)</f>
        <v>-23.618743777777773</v>
      </c>
      <c r="J3" s="235">
        <f>1/B4</f>
        <v>4.4952788558580306E-4</v>
      </c>
      <c r="K3" s="235">
        <f>MIN('Financial Analysis'!G27:L27)</f>
        <v>0.5725132877752469</v>
      </c>
      <c r="L3" s="235">
        <f>MIN(G60:L60)</f>
        <v>0.10599078341013833</v>
      </c>
      <c r="M3" s="235"/>
      <c r="N3" s="235">
        <f>MIN('Financial Analysis'!G31:L31)</f>
        <v>2.5601638504864311E-3</v>
      </c>
      <c r="O3" s="235">
        <f>MIN('Financial Analysis'!G32:L32)</f>
        <v>0.18055555555555558</v>
      </c>
      <c r="P3" s="236">
        <f>MIN('Financial Analysis'!G110:L110)</f>
        <v>1.2127659574468084</v>
      </c>
      <c r="Q3" s="236">
        <f>MIN(Analysis2!G47:L47)</f>
        <v>0</v>
      </c>
      <c r="R3" s="236">
        <f>MIN(G54:L54)</f>
        <v>1.4794520547945207</v>
      </c>
      <c r="S3" s="237">
        <f>MIN(G49:L49)</f>
        <v>0.1306338028169014</v>
      </c>
      <c r="T3" s="236">
        <f>MIN(G51:L51)</f>
        <v>20.417075564278704</v>
      </c>
      <c r="U3" s="236"/>
      <c r="V3" s="236"/>
      <c r="W3" s="236"/>
      <c r="X3" s="237">
        <f>MIN('Financial Analysis'!C34:L34)</f>
        <v>5.5937193326790972E-2</v>
      </c>
      <c r="Y3" s="237">
        <f>MIN('Financial Analysis'!G33:L33)</f>
        <v>4.507042253521127E-2</v>
      </c>
      <c r="Z3" s="236">
        <f>MIN('Financial Analysis'!G74:L74)</f>
        <v>0.70863570391872288</v>
      </c>
      <c r="AA3" s="237">
        <f>MIN('Financial Analysis'!G68:L68)</f>
        <v>1.8142235123367201E-3</v>
      </c>
      <c r="AB3" s="236">
        <f>MIN('Financial Analysis'!G75:L75)</f>
        <v>1.392241379310345</v>
      </c>
      <c r="AC3" s="237">
        <f>MIN('Financial Analysis'!G72:L72)</f>
        <v>2.6867275658248257E-3</v>
      </c>
      <c r="AD3" s="237">
        <f>MIN('Financial Analysis'!G70:L70)</f>
        <v>2.6075022872827081E-2</v>
      </c>
      <c r="AE3" s="235"/>
      <c r="AF3" s="235"/>
      <c r="AG3" s="235"/>
      <c r="AH3" s="235"/>
      <c r="AI3" s="235"/>
    </row>
    <row r="4" spans="1:35" ht="12.75" customHeight="1" x14ac:dyDescent="0.2">
      <c r="A4" s="230" t="s">
        <v>402</v>
      </c>
      <c r="B4" s="231">
        <f>MAX(Other_input_data!G69:L69)</f>
        <v>2224.5560999999993</v>
      </c>
      <c r="C4" s="231">
        <f>MAX(Other_input_data!G71:L71)</f>
        <v>8.3985469139219475</v>
      </c>
      <c r="D4" s="231">
        <f>MAX(Other_input_data!G75:L75)</f>
        <v>8.2954770879526993</v>
      </c>
      <c r="E4" s="231">
        <f>MAX(Other_input_data!G74:L74)</f>
        <v>4.9630274779195291</v>
      </c>
      <c r="F4" s="232">
        <f>MAX(Other_input_data!G76:L76)</f>
        <v>2.3375450050461756E-3</v>
      </c>
      <c r="G4" s="233">
        <f>MAX(Other_input_data!G77:L77)</f>
        <v>312.62950000000001</v>
      </c>
      <c r="H4" s="232">
        <f>MAX('Financial Analysis'!G61:L61)</f>
        <v>0.85590389531502065</v>
      </c>
      <c r="I4" s="231">
        <f>MAX('Financial Analysis'!G126:L126)</f>
        <v>0.46757260165946135</v>
      </c>
      <c r="J4" s="232">
        <f>1/B3</f>
        <v>7.823348784447183E-2</v>
      </c>
      <c r="K4" s="232">
        <f>MAX('Financial Analysis'!G27:L27)</f>
        <v>0.8986175115207371</v>
      </c>
      <c r="L4" s="232">
        <f>MAX(G60:L60)</f>
        <v>0.63967942427216229</v>
      </c>
      <c r="M4" s="232"/>
      <c r="N4" s="232">
        <f>MAX('Financial Analysis'!G31:L31)</f>
        <v>0.2543659832953683</v>
      </c>
      <c r="O4" s="232">
        <f>MAX('Financial Analysis'!G32:L32)</f>
        <v>0.6</v>
      </c>
      <c r="P4" s="238">
        <f>MAX('Financial Analysis'!G110:L110)</f>
        <v>139.05555555555557</v>
      </c>
      <c r="Q4" s="238">
        <f>MAX(Analysis2!G47:L47)</f>
        <v>0.40388479571332891</v>
      </c>
      <c r="R4" s="238">
        <f>MAX(G54:L54)</f>
        <v>2.5</v>
      </c>
      <c r="S4" s="239">
        <f>MAX(G49:L49)</f>
        <v>0.3434739941118744</v>
      </c>
      <c r="T4" s="238">
        <f>MAX(G51:L51)</f>
        <v>88.026113671274956</v>
      </c>
      <c r="U4" s="238"/>
      <c r="V4" s="238"/>
      <c r="W4" s="238"/>
      <c r="X4" s="239">
        <f>MAX('Financial Analysis'!C34:L34)</f>
        <v>0.2411674347158218</v>
      </c>
      <c r="Y4" s="239">
        <f>MAX('Financial Analysis'!G33:L33)</f>
        <v>0.21704285246974156</v>
      </c>
      <c r="Z4" s="238">
        <f>MAX('Financial Analysis'!G74:L74)</f>
        <v>1.270440251572327</v>
      </c>
      <c r="AA4" s="239">
        <f>MAX('Financial Analysis'!G68:L68)</f>
        <v>0.31494661921708184</v>
      </c>
      <c r="AB4" s="238">
        <f>MAX('Financial Analysis'!G75:L75)</f>
        <v>1.7950435365036839</v>
      </c>
      <c r="AC4" s="239">
        <f>MAX('Financial Analysis'!G72:L72)</f>
        <v>0.4409078328259064</v>
      </c>
      <c r="AD4" s="239">
        <f>MAX('Financial Analysis'!G70:L70)</f>
        <v>0.69277608635482979</v>
      </c>
      <c r="AE4" s="232"/>
      <c r="AF4" s="232"/>
      <c r="AG4" s="232"/>
      <c r="AH4" s="232"/>
      <c r="AI4" s="232"/>
    </row>
    <row r="5" spans="1:35" ht="12.75" customHeight="1" x14ac:dyDescent="0.2">
      <c r="A5" s="240" t="s">
        <v>559</v>
      </c>
      <c r="B5" s="241">
        <f>AVERAGE(Other_input_data!G69:L69)</f>
        <v>387.59641963143002</v>
      </c>
      <c r="C5" s="241">
        <f>AVERAGE(Other_input_data!G71:L71)</f>
        <v>2.5055567407094075</v>
      </c>
      <c r="D5" s="241">
        <f>AVERAGE(Other_input_data!G75:L75)</f>
        <v>3.9671243980625444</v>
      </c>
      <c r="E5" s="241">
        <f>AVERAGE(Other_input_data!G74:L74)</f>
        <v>1.504499210891207</v>
      </c>
      <c r="F5" s="242">
        <f>AVERAGE(Other_input_data!G76:L76)</f>
        <v>5.3239799452538261E-4</v>
      </c>
      <c r="G5" s="243"/>
      <c r="H5" s="242">
        <f>AVERAGE('Financial Analysis'!G61:L61)</f>
        <v>0.16161774443732654</v>
      </c>
      <c r="I5" s="241"/>
      <c r="J5" s="242">
        <f>1/B5</f>
        <v>2.5800031923692993E-3</v>
      </c>
      <c r="K5" s="242">
        <f>AVERAGE('Financial Analysis'!G27:L27)</f>
        <v>0.80671682254865074</v>
      </c>
      <c r="L5" s="242">
        <f>AVERAGE(G60:L60)</f>
        <v>0.23837647377019233</v>
      </c>
      <c r="M5" s="242"/>
      <c r="N5" s="242">
        <f>AVERAGE('Financial Analysis'!G31:L31)</f>
        <v>8.3969687756379432E-2</v>
      </c>
      <c r="O5" s="242">
        <f>AVERAGE('Financial Analysis'!G32:L32)</f>
        <v>0.3581126024366259</v>
      </c>
      <c r="P5" s="244">
        <f>AVERAGE('Financial Analysis'!G110:L110)</f>
        <v>32.082865643920989</v>
      </c>
      <c r="Q5" s="244">
        <f>AVERAGE(Analysis2!G47:L47)</f>
        <v>0.18398339886420359</v>
      </c>
      <c r="R5" s="244">
        <f>AVERAGE(G54:L54)</f>
        <v>1.9221523853667275</v>
      </c>
      <c r="S5" s="245">
        <f>AVERAGE(G49:L49)</f>
        <v>0.21542632495740491</v>
      </c>
      <c r="T5" s="244">
        <f>AVERAGE(G51:L51)</f>
        <v>47.793774383200734</v>
      </c>
      <c r="U5" s="244"/>
      <c r="V5" s="244"/>
      <c r="W5" s="244"/>
      <c r="X5" s="245">
        <f>AVERAGE('Financial Analysis'!C34:L34)</f>
        <v>0.14422537711609382</v>
      </c>
      <c r="Y5" s="245">
        <f>AVERAGE('Financial Analysis'!G33:L33)</f>
        <v>0.13504611556502036</v>
      </c>
      <c r="Z5" s="244">
        <f>AVERAGE('Financial Analysis'!G74:L74)</f>
        <v>0.98775309352378604</v>
      </c>
      <c r="AA5" s="245">
        <f>AVERAGE('Financial Analysis'!G68:L68)</f>
        <v>0.10100797476026525</v>
      </c>
      <c r="AB5" s="244">
        <f>AVERAGE('Financial Analysis'!G75:L75)</f>
        <v>1.5391516253000415</v>
      </c>
      <c r="AC5" s="245">
        <f>AVERAGE('Financial Analysis'!G72:L72)</f>
        <v>0.14514437496698029</v>
      </c>
      <c r="AD5" s="245">
        <f>AVERAGE('Financial Analysis'!G70:L70)</f>
        <v>0.23278058578927019</v>
      </c>
      <c r="AE5" s="242"/>
      <c r="AF5" s="242"/>
      <c r="AG5" s="242"/>
      <c r="AH5" s="242"/>
      <c r="AI5" s="242"/>
    </row>
    <row r="6" spans="1:35" ht="12.75" customHeight="1" x14ac:dyDescent="0.2">
      <c r="A6" s="246" t="s">
        <v>561</v>
      </c>
      <c r="B6" s="247">
        <f>'Data Sheet'!B8/'Profit &amp; Loss'!L13</f>
        <v>18.097313432835822</v>
      </c>
      <c r="C6" s="247">
        <f>Other_input_data!L71</f>
        <v>8.3985469139219475</v>
      </c>
      <c r="D6" s="247">
        <f>Other_input_data!L75</f>
        <v>7.9935949884939914</v>
      </c>
      <c r="E6" s="247">
        <f>Other_input_data!L74</f>
        <v>4.9630274779195291</v>
      </c>
      <c r="F6" s="248">
        <f>Other_input_data!L76</f>
        <v>8.5684296210612005E-4</v>
      </c>
      <c r="G6" s="249">
        <f>Other_input_data!L77</f>
        <v>312.62950000000001</v>
      </c>
      <c r="H6" s="248">
        <f>'Financial Analysis'!L61</f>
        <v>0.85590389531502065</v>
      </c>
      <c r="I6" s="247">
        <f>'Financial Analysis'!L126</f>
        <v>0.15447522716694229</v>
      </c>
      <c r="J6" s="248">
        <f>1/B6</f>
        <v>5.5256820506053503E-2</v>
      </c>
      <c r="K6" s="248">
        <f>'Financial Analysis'!L27</f>
        <v>0.5725132877752469</v>
      </c>
      <c r="L6" s="248">
        <f>L60</f>
        <v>0.63967942427216229</v>
      </c>
      <c r="M6" s="248"/>
      <c r="N6" s="248">
        <f>'Financial Analysis'!L31</f>
        <v>0.2543659832953683</v>
      </c>
      <c r="O6" s="248">
        <f>'Financial Analysis'!L32</f>
        <v>0.36623690572119255</v>
      </c>
      <c r="P6" s="250">
        <f>'Financial Analysis'!L110</f>
        <v>139.05555555555557</v>
      </c>
      <c r="Q6" s="250">
        <f>Analysis2!L47</f>
        <v>0</v>
      </c>
      <c r="R6" s="250">
        <f>L54</f>
        <v>2.5</v>
      </c>
      <c r="S6" s="251">
        <f>L49</f>
        <v>0.3434739941118744</v>
      </c>
      <c r="T6" s="250">
        <f>L51</f>
        <v>20.417075564278704</v>
      </c>
      <c r="U6" s="250"/>
      <c r="V6" s="250"/>
      <c r="W6" s="250"/>
      <c r="X6" s="251">
        <f>'Financial Analysis'!L34</f>
        <v>5.5937193326790972E-2</v>
      </c>
      <c r="Y6" s="251">
        <f>'Financial Analysis'!L33</f>
        <v>0.21704285246974156</v>
      </c>
      <c r="Z6" s="250">
        <f>'Financial Analysis'!L74</f>
        <v>1.2087781731909846</v>
      </c>
      <c r="AA6" s="251">
        <f>'Financial Analysis'!L68</f>
        <v>0.31494661921708184</v>
      </c>
      <c r="AB6" s="250">
        <f>'Financial Analysis'!L75</f>
        <v>1.3999446443398835</v>
      </c>
      <c r="AC6" s="251">
        <f>'Financial Analysis'!L72</f>
        <v>0.4409078328259064</v>
      </c>
      <c r="AD6" s="251">
        <f>'Financial Analysis'!L70</f>
        <v>0.69277608635482979</v>
      </c>
      <c r="AE6" s="248"/>
      <c r="AF6" s="248"/>
      <c r="AG6" s="248"/>
      <c r="AH6" s="248"/>
      <c r="AI6" s="248"/>
    </row>
    <row r="7" spans="1:35" ht="12.75" customHeight="1" x14ac:dyDescent="0.2">
      <c r="A7" s="240" t="s">
        <v>593</v>
      </c>
      <c r="B7" s="252">
        <f>(B5-B6)/B5</f>
        <v>0.95330887356997573</v>
      </c>
      <c r="C7" s="252">
        <f>(C5-C6)/C5</f>
        <v>-2.3519683579562587</v>
      </c>
      <c r="D7" s="252">
        <f>(D5-D6)/D5</f>
        <v>-1.0149594987235304</v>
      </c>
      <c r="E7" s="252">
        <f>(E5-E6)/E5</f>
        <v>-2.2987903496337658</v>
      </c>
      <c r="F7" s="253"/>
      <c r="G7" s="253"/>
      <c r="H7" s="253"/>
      <c r="I7" s="252">
        <f>1-I6-(B6/100)</f>
        <v>0.66455163850469945</v>
      </c>
      <c r="J7" s="252">
        <f>(J6-J5)/J6</f>
        <v>0.95330887356997585</v>
      </c>
      <c r="K7" s="254">
        <f>K5-K6</f>
        <v>0.23420353477340383</v>
      </c>
      <c r="L7" s="254">
        <f>L6-L5</f>
        <v>0.40130295050196996</v>
      </c>
      <c r="M7" s="254"/>
      <c r="N7" s="254">
        <f>N6-N5</f>
        <v>0.17039629553898888</v>
      </c>
      <c r="O7" s="254">
        <f>O5-O6</f>
        <v>-8.1243032845666474E-3</v>
      </c>
      <c r="P7" s="255" t="str">
        <f>IF(P6&gt;4,"Positive","Negative")</f>
        <v>Positive</v>
      </c>
      <c r="Q7" s="255" t="str">
        <f>IF(Q6&lt;0.5,"Positive","Negative")</f>
        <v>Positive</v>
      </c>
      <c r="R7" s="255" t="str">
        <f>IF(R6&gt;1,"Positive","Negative")</f>
        <v>Positive</v>
      </c>
      <c r="S7" s="254">
        <f>S5-S6</f>
        <v>-0.1280476691544695</v>
      </c>
      <c r="T7" s="256">
        <f>T5-T6</f>
        <v>27.37669881892203</v>
      </c>
      <c r="U7" s="255"/>
      <c r="V7" s="255"/>
      <c r="W7" s="255"/>
      <c r="X7" s="257">
        <f>X5-X6</f>
        <v>8.8288183789302838E-2</v>
      </c>
      <c r="Y7" s="257">
        <f>Y5-Y6</f>
        <v>-8.1996736904721201E-2</v>
      </c>
      <c r="Z7" s="257">
        <f>Z6-Z5</f>
        <v>0.22102507966719853</v>
      </c>
      <c r="AA7" s="257">
        <f>AA6-AA5</f>
        <v>0.2139386444568166</v>
      </c>
      <c r="AB7" s="257">
        <f>AB5-AB6</f>
        <v>0.13920698096015793</v>
      </c>
      <c r="AC7" s="257">
        <f>AC6-AC5</f>
        <v>0.2957634578589261</v>
      </c>
      <c r="AD7" s="257">
        <f>AD6-AD5</f>
        <v>0.4599955005655596</v>
      </c>
      <c r="AE7" s="255"/>
      <c r="AF7" s="255"/>
      <c r="AG7" s="255"/>
      <c r="AH7" s="255"/>
      <c r="AI7" s="255"/>
    </row>
    <row r="8" spans="1:35" ht="12.75" customHeight="1" x14ac:dyDescent="0.2">
      <c r="A8" s="240" t="s">
        <v>595</v>
      </c>
      <c r="B8" s="252">
        <f>(10-B6)/10</f>
        <v>-0.80973134328358221</v>
      </c>
      <c r="C8" s="253"/>
      <c r="D8" s="253"/>
      <c r="E8" s="253"/>
      <c r="F8" s="253"/>
      <c r="G8" s="253"/>
      <c r="H8" s="253"/>
      <c r="I8" s="252">
        <f>(1-I6)/1</f>
        <v>0.84552477283305771</v>
      </c>
      <c r="J8" s="252">
        <f>(J6-0.08)/0.08</f>
        <v>-0.30928974367433121</v>
      </c>
    </row>
    <row r="9" spans="1:35" ht="8.25" customHeight="1" x14ac:dyDescent="0.2">
      <c r="A9" s="258"/>
      <c r="B9" s="258"/>
      <c r="C9" s="258"/>
      <c r="D9" s="258"/>
      <c r="E9" s="259"/>
      <c r="F9" s="260"/>
      <c r="G9" s="260"/>
      <c r="H9" s="260"/>
      <c r="I9" s="260"/>
      <c r="J9" s="260"/>
      <c r="K9" s="260"/>
      <c r="L9" s="260"/>
      <c r="M9" s="260"/>
      <c r="N9" s="260"/>
      <c r="O9" s="260"/>
    </row>
    <row r="10" spans="1:35" ht="13.5" customHeight="1" x14ac:dyDescent="0.2">
      <c r="A10" s="261"/>
      <c r="B10" s="261" t="s">
        <v>390</v>
      </c>
      <c r="C10" s="261" t="s">
        <v>391</v>
      </c>
      <c r="D10" s="261" t="s">
        <v>392</v>
      </c>
      <c r="E10" s="262" t="s">
        <v>412</v>
      </c>
      <c r="F10" s="262" t="s">
        <v>355</v>
      </c>
      <c r="G10" s="262" t="s">
        <v>428</v>
      </c>
      <c r="H10" s="262" t="s">
        <v>218</v>
      </c>
      <c r="I10" s="262" t="s">
        <v>765</v>
      </c>
      <c r="J10" s="262" t="s">
        <v>767</v>
      </c>
      <c r="K10" s="262" t="s">
        <v>286</v>
      </c>
      <c r="L10" s="262" t="s">
        <v>569</v>
      </c>
      <c r="M10" s="262" t="s">
        <v>586</v>
      </c>
      <c r="N10" s="262" t="s">
        <v>587</v>
      </c>
      <c r="O10" s="262" t="s">
        <v>588</v>
      </c>
      <c r="P10" s="262" t="s">
        <v>589</v>
      </c>
    </row>
    <row r="11" spans="1:35" ht="13.5" customHeight="1" x14ac:dyDescent="0.2">
      <c r="A11" s="263" t="s">
        <v>594</v>
      </c>
      <c r="B11" s="264">
        <f>Other_input_data!L41-Other_input_data!C41</f>
        <v>20.990000000000002</v>
      </c>
      <c r="C11" s="264">
        <f>Other_input_data!L36-Other_input_data!C36</f>
        <v>268.26843680000002</v>
      </c>
      <c r="D11" s="265">
        <f>C11/B11</f>
        <v>12.780773549309194</v>
      </c>
      <c r="E11" s="238">
        <f>SUM('Data Sheet'!C82:L82)</f>
        <v>32.230000000000004</v>
      </c>
      <c r="F11" s="238">
        <f>SUM('Data Sheet'!C30:L30)</f>
        <v>24.67</v>
      </c>
      <c r="G11" s="266">
        <f>E11/F11</f>
        <v>1.3064450749898664</v>
      </c>
      <c r="H11" s="238">
        <f>SUM('Financial Analysis'!D45:L45)</f>
        <v>15.23</v>
      </c>
      <c r="I11" s="250">
        <f>SUM('Data Sheet'!C31:L31)</f>
        <v>0.52</v>
      </c>
      <c r="J11" s="250">
        <f>E11-H11</f>
        <v>17.000000000000004</v>
      </c>
      <c r="K11" s="267">
        <f>E11-H11-I11</f>
        <v>16.480000000000004</v>
      </c>
      <c r="L11" s="231">
        <f>J11/E11</f>
        <v>0.52745888923363327</v>
      </c>
      <c r="M11" s="252">
        <f>'Financial Analysis'!N3</f>
        <v>0.16986685969129178</v>
      </c>
      <c r="N11" s="252">
        <f>'Financial Analysis'!N8</f>
        <v>0.19401670174496877</v>
      </c>
      <c r="O11" s="268">
        <f>'Financial Analysis'!N13</f>
        <v>0.1922667849762294</v>
      </c>
      <c r="P11" s="268">
        <f>'Financial Analysis'!N14</f>
        <v>1.7791236382678211E-2</v>
      </c>
    </row>
    <row r="12" spans="1:35" ht="13.5" customHeight="1" x14ac:dyDescent="0.2">
      <c r="A12" s="263" t="s">
        <v>401</v>
      </c>
      <c r="B12" s="264">
        <f>Other_input_data!L41-Other_input_data!G41</f>
        <v>21.200000000000003</v>
      </c>
      <c r="C12" s="264">
        <f>Other_input_data!L36-Other_input_data!H36</f>
        <v>296.88524999999998</v>
      </c>
      <c r="D12" s="265">
        <f>C12/B12</f>
        <v>14.004021226415091</v>
      </c>
      <c r="E12" s="236">
        <f>SUM('Data Sheet'!H82:L82)</f>
        <v>24.38</v>
      </c>
      <c r="F12" s="236">
        <f>SUM('Data Sheet'!H30:L30)</f>
        <v>25.14</v>
      </c>
      <c r="G12" s="266">
        <f t="shared" ref="G12:G13" si="0">E12/F12</f>
        <v>0.96976929196499595</v>
      </c>
      <c r="H12" s="236">
        <f>SUM('Financial Analysis'!H45:L45)</f>
        <v>5.7599999999999989</v>
      </c>
      <c r="I12" s="250">
        <f>SUM('Data Sheet'!H31:L31)</f>
        <v>0.52</v>
      </c>
      <c r="J12" s="250">
        <f t="shared" ref="J12:J14" si="1">E12-H12</f>
        <v>18.62</v>
      </c>
      <c r="K12" s="267">
        <f>E12-H12-I12</f>
        <v>18.100000000000001</v>
      </c>
      <c r="L12" s="231">
        <f>J12/E12</f>
        <v>0.76374077112387206</v>
      </c>
      <c r="M12" s="252">
        <f>'Financial Analysis'!O3</f>
        <v>0.36246003836432461</v>
      </c>
      <c r="N12" s="252">
        <f>'Financial Analysis'!O8</f>
        <v>1.4263027531331027</v>
      </c>
      <c r="O12" s="268">
        <f>'Financial Analysis'!O13</f>
        <v>0.4245747939075013</v>
      </c>
      <c r="P12" s="268">
        <f>'Financial Analysis'!O14</f>
        <v>-3.5377800066228038E-2</v>
      </c>
    </row>
    <row r="13" spans="1:35" ht="13.5" customHeight="1" x14ac:dyDescent="0.2">
      <c r="A13" s="263" t="s">
        <v>404</v>
      </c>
      <c r="B13" s="264">
        <f>Other_input_data!L41-Other_input_data!I41</f>
        <v>17.570000000000004</v>
      </c>
      <c r="C13" s="264">
        <f>Other_input_data!L36-Other_input_data!J36</f>
        <v>292.44676500000003</v>
      </c>
      <c r="D13" s="265">
        <f>C13/B13</f>
        <v>16.644665054069435</v>
      </c>
      <c r="E13" s="238">
        <f>SUM('Data Sheet'!J82:L82)</f>
        <v>20.56</v>
      </c>
      <c r="F13" s="238">
        <f>SUM('Data Sheet'!J30:L30)</f>
        <v>23.689999999999998</v>
      </c>
      <c r="G13" s="266">
        <f t="shared" si="0"/>
        <v>0.86787674124102998</v>
      </c>
      <c r="H13" s="238">
        <f>SUM('Financial Analysis'!J45:L45)</f>
        <v>3.6200000000000014</v>
      </c>
      <c r="I13" s="250">
        <f>SUM('Data Sheet'!J31:L31)</f>
        <v>0.52</v>
      </c>
      <c r="J13" s="250">
        <f t="shared" si="1"/>
        <v>16.939999999999998</v>
      </c>
      <c r="K13" s="267">
        <f>E13-H13-I13</f>
        <v>16.419999999999998</v>
      </c>
      <c r="L13" s="231">
        <f>J13/E13</f>
        <v>0.82392996108949412</v>
      </c>
      <c r="M13" s="252">
        <f>'Financial Analysis'!P3</f>
        <v>0.52271532855980207</v>
      </c>
      <c r="N13" s="252">
        <f>'Financial Analysis'!P8</f>
        <v>3.4122628803209025</v>
      </c>
      <c r="O13" s="268">
        <f>'Financial Analysis'!P13</f>
        <v>1.0460009466803859</v>
      </c>
      <c r="P13" s="268">
        <f>'Financial Analysis'!P14</f>
        <v>-6.950401139493001E-2</v>
      </c>
    </row>
    <row r="14" spans="1:35" ht="13.5" customHeight="1" x14ac:dyDescent="0.2">
      <c r="A14" s="263" t="s">
        <v>405</v>
      </c>
      <c r="B14" s="264">
        <f>Other_input_data!L41-Other_input_data!K41</f>
        <v>11.930000000000003</v>
      </c>
      <c r="C14" s="264">
        <f>Other_input_data!L36-Other_input_data!K36</f>
        <v>192.21169500000002</v>
      </c>
      <c r="D14" s="265">
        <f>C14/B14</f>
        <v>16.111625733445095</v>
      </c>
      <c r="E14" s="250">
        <f>'Data Sheet'!L82</f>
        <v>14</v>
      </c>
      <c r="F14" s="250">
        <f>'Data Sheet'!L30</f>
        <v>15.93</v>
      </c>
      <c r="G14" s="266">
        <f>E14/F14</f>
        <v>0.87884494664155688</v>
      </c>
      <c r="H14" s="250">
        <f>'Financial Analysis'!L45</f>
        <v>1.8700000000000012</v>
      </c>
      <c r="I14" s="250">
        <f>'Data Sheet'!L31</f>
        <v>0.26</v>
      </c>
      <c r="J14" s="250">
        <f t="shared" si="1"/>
        <v>12.129999999999999</v>
      </c>
      <c r="K14" s="267">
        <f>E14-H14-I14</f>
        <v>11.87</v>
      </c>
      <c r="L14" s="231">
        <f>J14/E14</f>
        <v>0.86642857142857133</v>
      </c>
      <c r="M14" s="252">
        <f>'Financial Analysis'!L3</f>
        <v>0.48177317731773173</v>
      </c>
      <c r="N14" s="252">
        <f>'Financial Analysis'!L8</f>
        <v>1.171534993975309</v>
      </c>
      <c r="O14" s="268">
        <f>'Financial Analysis'!L13</f>
        <v>0.62224938875305624</v>
      </c>
      <c r="P14" s="268">
        <f>'Financial Analysis'!L14</f>
        <v>-1.4409221902017367E-2</v>
      </c>
    </row>
    <row r="15" spans="1:35" ht="11.25" customHeight="1" x14ac:dyDescent="0.2">
      <c r="A15" s="450" t="s">
        <v>406</v>
      </c>
      <c r="B15" s="450"/>
      <c r="C15" s="450"/>
      <c r="D15" s="450"/>
      <c r="E15" s="259"/>
      <c r="F15" s="260"/>
      <c r="G15" s="260"/>
      <c r="H15" s="260"/>
      <c r="I15" s="260"/>
      <c r="J15" s="260"/>
      <c r="K15" s="260"/>
      <c r="L15" s="260"/>
      <c r="M15" s="260"/>
      <c r="N15" s="260"/>
      <c r="O15" s="260"/>
    </row>
    <row r="16" spans="1:35" ht="6.75" customHeight="1" x14ac:dyDescent="0.2">
      <c r="A16" s="269"/>
      <c r="B16" s="269"/>
      <c r="C16" s="269"/>
      <c r="D16" s="269"/>
      <c r="E16" s="269"/>
      <c r="F16" s="269"/>
      <c r="G16" s="269"/>
      <c r="H16" s="269"/>
      <c r="I16" s="269"/>
      <c r="J16" s="269"/>
    </row>
    <row r="17" spans="1:20" ht="14.25" customHeight="1" x14ac:dyDescent="0.2">
      <c r="A17" s="270" t="str">
        <f>'Data Sheet'!A1</f>
        <v>COMPANY NAME</v>
      </c>
      <c r="B17" s="270" t="s">
        <v>407</v>
      </c>
      <c r="C17" s="270" t="s">
        <v>408</v>
      </c>
      <c r="D17" s="270" t="s">
        <v>229</v>
      </c>
      <c r="E17" s="270" t="s">
        <v>355</v>
      </c>
      <c r="F17" s="270" t="s">
        <v>409</v>
      </c>
      <c r="G17" s="270" t="s">
        <v>801</v>
      </c>
      <c r="H17" s="270" t="s">
        <v>802</v>
      </c>
      <c r="I17" s="270" t="s">
        <v>410</v>
      </c>
      <c r="J17" s="270" t="s">
        <v>451</v>
      </c>
      <c r="K17" s="270" t="s">
        <v>410</v>
      </c>
      <c r="L17" s="270" t="s">
        <v>411</v>
      </c>
      <c r="M17" s="270" t="s">
        <v>412</v>
      </c>
      <c r="N17" s="270" t="s">
        <v>286</v>
      </c>
      <c r="O17" s="270" t="s">
        <v>413</v>
      </c>
      <c r="P17" s="270" t="s">
        <v>414</v>
      </c>
      <c r="Q17" s="270" t="s">
        <v>574</v>
      </c>
      <c r="S17" s="271" t="s">
        <v>394</v>
      </c>
      <c r="T17" s="271"/>
    </row>
    <row r="18" spans="1:20" ht="10.5" customHeight="1" x14ac:dyDescent="0.2">
      <c r="A18" s="272" t="s">
        <v>415</v>
      </c>
      <c r="B18" s="252">
        <f>POWER(Other_input_data!L25/Other_input_data!C25,1/9)-1</f>
        <v>0.14020928574124447</v>
      </c>
      <c r="C18" s="252">
        <f>POWER(Other_input_data!L27/Other_input_data!C27,1/9)-1</f>
        <v>0.16310017901895546</v>
      </c>
      <c r="D18" s="252">
        <f>POWER(Other_input_data!L30/Other_input_data!C30,1/9)-1</f>
        <v>0.28145704911054858</v>
      </c>
      <c r="E18" s="252">
        <f>POWER(Other_input_data!L34/Other_input_data!C34,1/9)-1</f>
        <v>0.29562818337318575</v>
      </c>
      <c r="F18" s="273">
        <f>IFERROR(POWER(Other_input_data!L35/Other_input_data!C35,1/9)-1,0)</f>
        <v>0</v>
      </c>
      <c r="G18" s="274">
        <f>AVERAGE(C70:L70)</f>
        <v>0.13039782583756884</v>
      </c>
      <c r="H18" s="275">
        <f>L74</f>
        <v>1.4945976587651484</v>
      </c>
      <c r="I18" s="273">
        <f>POWER(L87/C87,1/9)-1</f>
        <v>0.45100851535086939</v>
      </c>
      <c r="J18" s="276">
        <f>SUM(C87:L87)/SUM('Data Sheet'!C17:L17)</f>
        <v>6.4847583680129176E-2</v>
      </c>
      <c r="K18" s="273">
        <f>POWER(L87/C87,1/9)-1</f>
        <v>0.45100851535086939</v>
      </c>
      <c r="L18" s="273">
        <f>POWER(L89/D89,1/9)-1</f>
        <v>0.40609482526173912</v>
      </c>
      <c r="M18" s="252">
        <f>(Other_input_data!L61/Other_input_data!C61)^(1/9)-1</f>
        <v>0.29052867288216988</v>
      </c>
      <c r="N18" s="252">
        <f>(Other_input_data!L62/Other_input_data!C61)^(1/9)-1</f>
        <v>0.27013263928161679</v>
      </c>
      <c r="O18" s="277">
        <f>(Other_input_data!L41/Other_input_data!C41)^(1/9)-1</f>
        <v>0.10146662650074489</v>
      </c>
      <c r="P18" s="277">
        <f>(Other_input_data!L66/Other_input_data!D66)^(1/9)-1</f>
        <v>0.40622864124959146</v>
      </c>
      <c r="S18" s="278" t="s">
        <v>398</v>
      </c>
      <c r="T18" s="279">
        <v>0.1</v>
      </c>
    </row>
    <row r="19" spans="1:20" ht="10.5" customHeight="1" x14ac:dyDescent="0.2">
      <c r="A19" s="272" t="s">
        <v>416</v>
      </c>
      <c r="B19" s="252">
        <f>POWER(Other_input_data!L25/Other_input_data!G25,1/5)-1</f>
        <v>0.26186515937828236</v>
      </c>
      <c r="C19" s="252">
        <f>POWER(Other_input_data!L27/Other_input_data!G27,1/5)-1</f>
        <v>0.28506390208898291</v>
      </c>
      <c r="D19" s="252">
        <f>POWER(Other_input_data!L30/Other_input_data!G30,1/5)-1</f>
        <v>0.90039388928578212</v>
      </c>
      <c r="E19" s="252">
        <f>POWER(Other_input_data!L34/Other_input_data!G34,1/5)-1</f>
        <v>1.3487978055455914</v>
      </c>
      <c r="F19" s="273">
        <f>IFERROR(POWER(Other_input_data!L35/Other_input_data!G35,1/5)-1,0)</f>
        <v>0</v>
      </c>
      <c r="G19" s="274">
        <f>AVERAGE(H70:L70)</f>
        <v>0.24010391618636642</v>
      </c>
      <c r="H19" s="275">
        <f>L73</f>
        <v>1.7794148573340005</v>
      </c>
      <c r="I19" s="273">
        <f>POWER(L87/G87,1/5)-1</f>
        <v>-2.8759366271237479</v>
      </c>
      <c r="J19" s="276">
        <f>SUM(H87:L87)/SUM('Data Sheet'!H17:L17)</f>
        <v>0.14442420601837427</v>
      </c>
      <c r="K19" s="273">
        <f>POWER(L87/G87,1/5)-1</f>
        <v>-2.8759366271237479</v>
      </c>
      <c r="L19" s="273">
        <f>POWER(L89/H89,1/5)-1</f>
        <v>1.1533261884910622</v>
      </c>
      <c r="M19" s="252">
        <f>(Other_input_data!L61/Other_input_data!G61)^(1/5)-1</f>
        <v>0.57164710167857113</v>
      </c>
      <c r="N19" s="252">
        <f>(Other_input_data!L62/Other_input_data!G62)^(1/5)-1</f>
        <v>0.56794262334601564</v>
      </c>
      <c r="O19" s="277">
        <f>(Other_input_data!L41/Other_input_data!G41)^(1/5)-1</f>
        <v>0.19333294547284408</v>
      </c>
      <c r="P19" s="277">
        <f>(Other_input_data!L66/Other_input_data!H66)^(1/5)-1</f>
        <v>1.1536950745596917</v>
      </c>
      <c r="S19" s="280" t="s">
        <v>400</v>
      </c>
      <c r="T19" s="231">
        <f>('Profit &amp; Loss'!L10/'Data Sheet'!L93)/T18</f>
        <v>237.69680611785876</v>
      </c>
    </row>
    <row r="20" spans="1:20" ht="10.5" customHeight="1" x14ac:dyDescent="0.2">
      <c r="A20" s="272" t="s">
        <v>417</v>
      </c>
      <c r="B20" s="252">
        <f>POWER(Other_input_data!L25/Other_input_data!I25,1/3)-1</f>
        <v>0.2912263044630139</v>
      </c>
      <c r="C20" s="252">
        <f>POWER(Other_input_data!L27/Other_input_data!I27,1/3)-1</f>
        <v>0.49605763336842901</v>
      </c>
      <c r="D20" s="252">
        <f>POWER(Other_input_data!L30/Other_input_data!I30,1/3)-1</f>
        <v>1.7139310746205849</v>
      </c>
      <c r="E20" s="252">
        <f>POWER(Other_input_data!L34/Other_input_data!I34,1/3)-1</f>
        <v>2.1885857880732127</v>
      </c>
      <c r="F20" s="273">
        <f>IFERROR(POWER(Other_input_data!L35/Other_input_data!I35,1/3)-1,0)</f>
        <v>0</v>
      </c>
      <c r="G20" s="274">
        <f>AVERAGE(J70:L70)</f>
        <v>0.36112545210337338</v>
      </c>
      <c r="I20" s="273">
        <f>POWER(L87/I87,1/3)-1</f>
        <v>-3.9635778751375197</v>
      </c>
      <c r="J20" s="276">
        <f>SUM(J87:L87)/SUM('Data Sheet'!J17:L17)</f>
        <v>0.22118344003112136</v>
      </c>
      <c r="K20" s="273">
        <f>POWER(L87/I87,1/3)-1</f>
        <v>-3.9635778751375197</v>
      </c>
      <c r="L20" s="273">
        <f>POWER(L89/J89,1/3)-1</f>
        <v>2.0221924652192911</v>
      </c>
      <c r="M20" s="252">
        <f>(Other_input_data!L61/Other_input_data!I61)^(1/3)-1</f>
        <v>0.94251727393788087</v>
      </c>
      <c r="N20" s="252">
        <f>(Other_input_data!L62/Other_input_data!I62)^(1/3)-1</f>
        <v>3.4249760223898846</v>
      </c>
      <c r="O20" s="277">
        <f>(Other_input_data!L41/Other_input_data!I41)^(1/3)-1</f>
        <v>0.24861916485228219</v>
      </c>
      <c r="P20" s="277">
        <f>(Other_input_data!L66/Other_input_data!J66)^(1/3)-1</f>
        <v>2.0230554002475825</v>
      </c>
      <c r="S20" s="281" t="s">
        <v>403</v>
      </c>
      <c r="T20" s="232">
        <f>('Profit &amp; Loss'!L10/'Data Sheet'!L93)/'Data Sheet'!B8</f>
        <v>8.719618713054246E-2</v>
      </c>
    </row>
    <row r="21" spans="1:20" ht="10.5" customHeight="1" x14ac:dyDescent="0.2">
      <c r="A21" s="272" t="s">
        <v>418</v>
      </c>
      <c r="B21" s="252">
        <f>POWER(Other_input_data!L25/Other_input_data!K25,1/1)-1</f>
        <v>0.37578757875787594</v>
      </c>
      <c r="C21" s="252">
        <f>POWER(Other_input_data!L27/Other_input_data!K27,1/1)-1</f>
        <v>0.50712909441233145</v>
      </c>
      <c r="D21" s="252">
        <f>POWER(Other_input_data!L30/Other_input_data!K30,1/1)-1</f>
        <v>2.1777777777777789</v>
      </c>
      <c r="E21" s="252">
        <f>POWER(Other_input_data!L34/Other_input_data!K34,1/1)-1</f>
        <v>2.6160830090791198</v>
      </c>
      <c r="F21" s="386">
        <f>POWER(Other_input_data!L35/Other_input_data!K35,1/1)-1</f>
        <v>0</v>
      </c>
      <c r="G21" s="274">
        <f>L70</f>
        <v>0.77604113597840163</v>
      </c>
      <c r="I21" s="273">
        <f>POWER(L87/K87,1/1)-1</f>
        <v>3.6557964367796139</v>
      </c>
      <c r="J21" s="276">
        <f>L87/'Data Sheet'!L17</f>
        <v>0.39949895719495671</v>
      </c>
      <c r="K21" s="273">
        <f>POWER(L87/K87,1/1)-1</f>
        <v>3.6557964367796139</v>
      </c>
      <c r="L21" s="273">
        <f>POWER(L89/K89,1/1)-1</f>
        <v>1.7280903367642653</v>
      </c>
      <c r="M21" s="252">
        <f>(Other_input_data!L61/Other_input_data!K61)^(1/1)-1</f>
        <v>1.0437956204379564</v>
      </c>
      <c r="N21" s="252">
        <f>(Other_input_data!L62/Other_input_data!K62)^(1/1)-1</f>
        <v>1.1318101933216163</v>
      </c>
      <c r="O21" s="277">
        <f>(Other_input_data!L41/Other_input_data!K41)^(1/1)-1</f>
        <v>0.49297520661157046</v>
      </c>
      <c r="P21" s="277">
        <f>(Other_input_data!L66/Other_input_data!K66)^(1/1)-1</f>
        <v>1.7304278817693115</v>
      </c>
    </row>
    <row r="22" spans="1:20" s="286" customFormat="1" ht="9" customHeight="1" x14ac:dyDescent="0.2">
      <c r="A22" s="282"/>
      <c r="B22" s="283"/>
      <c r="C22" s="283"/>
      <c r="D22" s="283"/>
      <c r="E22" s="283"/>
      <c r="F22" s="284"/>
      <c r="G22" s="284"/>
      <c r="H22" s="284"/>
      <c r="I22" s="283"/>
      <c r="J22" s="283"/>
      <c r="K22" s="285"/>
      <c r="L22" s="285"/>
    </row>
    <row r="23" spans="1:20" s="286" customFormat="1" ht="26.25" customHeight="1" x14ac:dyDescent="0.2">
      <c r="A23" s="348" t="s">
        <v>429</v>
      </c>
      <c r="B23" s="348" t="s">
        <v>729</v>
      </c>
      <c r="C23" s="348" t="s">
        <v>368</v>
      </c>
      <c r="D23" s="348" t="s">
        <v>730</v>
      </c>
      <c r="E23" s="348" t="s">
        <v>267</v>
      </c>
      <c r="F23" s="348" t="s">
        <v>424</v>
      </c>
      <c r="G23" s="348" t="s">
        <v>423</v>
      </c>
      <c r="H23" s="348" t="s">
        <v>110</v>
      </c>
      <c r="I23" s="348" t="s">
        <v>824</v>
      </c>
      <c r="J23" s="348" t="s">
        <v>825</v>
      </c>
      <c r="K23" s="348" t="s">
        <v>826</v>
      </c>
      <c r="L23" s="348" t="s">
        <v>727</v>
      </c>
    </row>
    <row r="24" spans="1:20" s="286" customFormat="1" ht="15.75" customHeight="1" x14ac:dyDescent="0.2">
      <c r="A24" s="253">
        <f>1-'Financial Analysis'!L27</f>
        <v>0.4274867122247531</v>
      </c>
      <c r="B24" s="253">
        <f>'Financial Analysis'!L31</f>
        <v>0.2543659832953683</v>
      </c>
      <c r="C24" s="253">
        <f>'Financial Analysis'!L32</f>
        <v>0.36623690572119255</v>
      </c>
      <c r="D24" s="253">
        <f>'Financial Analysis'!L33</f>
        <v>0.21704285246974156</v>
      </c>
      <c r="E24" s="253">
        <f>'Financial Analysis'!L34</f>
        <v>5.5937193326790972E-2</v>
      </c>
      <c r="F24" s="349">
        <f>Analysis2!L48</f>
        <v>177.04761904761907</v>
      </c>
      <c r="G24" s="349">
        <f>L47</f>
        <v>0</v>
      </c>
      <c r="H24" s="349">
        <f>L54</f>
        <v>2.5</v>
      </c>
      <c r="I24" s="350">
        <f>E13/3</f>
        <v>6.8533333333333326</v>
      </c>
      <c r="J24" s="351">
        <f>E12/F12</f>
        <v>0.96976929196499595</v>
      </c>
      <c r="K24" s="352">
        <f>IF(E12&lt;0,-L12,L12)</f>
        <v>0.76374077112387206</v>
      </c>
      <c r="L24" s="422">
        <v>0.1847</v>
      </c>
    </row>
    <row r="25" spans="1:20" s="286" customFormat="1" ht="4.5" customHeight="1" x14ac:dyDescent="0.2">
      <c r="A25" s="283"/>
      <c r="B25" s="283"/>
      <c r="C25" s="283"/>
      <c r="D25" s="283"/>
      <c r="E25" s="283"/>
      <c r="F25" s="287"/>
      <c r="G25" s="287"/>
      <c r="H25" s="287"/>
      <c r="I25" s="354"/>
      <c r="J25" s="355"/>
      <c r="K25" s="356"/>
      <c r="L25" s="285"/>
    </row>
    <row r="26" spans="1:20" s="286" customFormat="1" ht="21.75" customHeight="1" x14ac:dyDescent="0.2">
      <c r="A26" s="348" t="s">
        <v>828</v>
      </c>
      <c r="B26" s="348" t="s">
        <v>829</v>
      </c>
      <c r="C26" s="348" t="s">
        <v>830</v>
      </c>
      <c r="D26" s="348" t="s">
        <v>728</v>
      </c>
      <c r="E26" s="348" t="s">
        <v>725</v>
      </c>
      <c r="F26" s="348" t="s">
        <v>731</v>
      </c>
      <c r="G26" s="348" t="s">
        <v>831</v>
      </c>
      <c r="H26" s="348" t="s">
        <v>820</v>
      </c>
      <c r="I26" s="348" t="s">
        <v>821</v>
      </c>
      <c r="J26" s="348" t="s">
        <v>822</v>
      </c>
      <c r="K26" s="348" t="s">
        <v>823</v>
      </c>
      <c r="L26" s="348" t="s">
        <v>732</v>
      </c>
      <c r="M26" s="348" t="s">
        <v>827</v>
      </c>
      <c r="N26" s="348" t="s">
        <v>734</v>
      </c>
      <c r="O26" s="348" t="s">
        <v>760</v>
      </c>
    </row>
    <row r="27" spans="1:20" s="286" customFormat="1" ht="13.5" customHeight="1" x14ac:dyDescent="0.2">
      <c r="A27" s="357">
        <f>B19</f>
        <v>0.26186515937828236</v>
      </c>
      <c r="B27" s="357">
        <f>E19</f>
        <v>1.3487978055455914</v>
      </c>
      <c r="C27" s="253">
        <f>'Financial Analysis'!O8</f>
        <v>1.4263027531331027</v>
      </c>
      <c r="D27" s="357">
        <f>F19</f>
        <v>0</v>
      </c>
      <c r="E27" s="358"/>
      <c r="F27" s="359">
        <f>C27/A27</f>
        <v>5.4467068338507358</v>
      </c>
      <c r="G27" s="360">
        <f>H5</f>
        <v>0.16161774443732654</v>
      </c>
      <c r="H27" s="360">
        <f>G19</f>
        <v>0.24010391618636642</v>
      </c>
      <c r="I27" s="253">
        <f>H19</f>
        <v>1.7794148573340005</v>
      </c>
      <c r="J27" s="253">
        <f>I19</f>
        <v>-2.8759366271237479</v>
      </c>
      <c r="K27" s="361">
        <f>J19</f>
        <v>0.14442420601837427</v>
      </c>
      <c r="L27" s="353"/>
      <c r="M27" s="358"/>
      <c r="N27" s="358"/>
      <c r="O27" s="358"/>
    </row>
    <row r="28" spans="1:20" s="286" customFormat="1" ht="5.25" customHeight="1" x14ac:dyDescent="0.2">
      <c r="A28" s="288"/>
      <c r="B28" s="288"/>
      <c r="C28" s="283"/>
      <c r="D28" s="288"/>
      <c r="E28" s="362"/>
      <c r="F28" s="345"/>
      <c r="G28" s="346"/>
      <c r="H28" s="346"/>
      <c r="I28" s="283"/>
      <c r="J28" s="283"/>
      <c r="K28" s="347"/>
      <c r="L28" s="285"/>
      <c r="M28" s="362"/>
      <c r="N28" s="362"/>
      <c r="O28" s="362"/>
    </row>
    <row r="29" spans="1:20" s="286" customFormat="1" ht="27.75" customHeight="1" x14ac:dyDescent="0.2">
      <c r="A29" s="348" t="s">
        <v>395</v>
      </c>
      <c r="B29" s="348" t="s">
        <v>467</v>
      </c>
      <c r="C29" s="348" t="s">
        <v>724</v>
      </c>
      <c r="D29" s="348" t="s">
        <v>396</v>
      </c>
      <c r="E29" s="348" t="s">
        <v>397</v>
      </c>
      <c r="F29" s="348" t="s">
        <v>551</v>
      </c>
      <c r="G29" s="348" t="s">
        <v>545</v>
      </c>
      <c r="H29" s="348" t="s">
        <v>801</v>
      </c>
      <c r="I29" s="348" t="s">
        <v>802</v>
      </c>
      <c r="J29" s="348" t="s">
        <v>410</v>
      </c>
      <c r="K29" s="348" t="s">
        <v>451</v>
      </c>
      <c r="L29" s="348" t="s">
        <v>571</v>
      </c>
      <c r="M29" s="348" t="s">
        <v>726</v>
      </c>
      <c r="N29" s="348" t="s">
        <v>733</v>
      </c>
    </row>
    <row r="30" spans="1:20" s="286" customFormat="1" ht="15.75" customHeight="1" x14ac:dyDescent="0.2">
      <c r="A30" s="363">
        <f>B6</f>
        <v>18.097313432835822</v>
      </c>
      <c r="B30" s="256">
        <f>I6</f>
        <v>0.15447522716694229</v>
      </c>
      <c r="C30" s="254">
        <f>J6</f>
        <v>5.5256820506053503E-2</v>
      </c>
      <c r="D30" s="256">
        <f>C6</f>
        <v>8.3985469139219475</v>
      </c>
      <c r="E30" s="256">
        <f>E6</f>
        <v>4.9630274779195291</v>
      </c>
      <c r="F30" s="254">
        <f>F6</f>
        <v>8.5684296210612005E-4</v>
      </c>
      <c r="G30" s="254">
        <f>H6</f>
        <v>0.85590389531502065</v>
      </c>
      <c r="H30" s="257">
        <f>G21</f>
        <v>0.77604113597840163</v>
      </c>
      <c r="I30" s="365">
        <f>L74</f>
        <v>1.4945976587651484</v>
      </c>
      <c r="J30" s="257">
        <f>I21</f>
        <v>3.6557964367796139</v>
      </c>
      <c r="K30" s="365">
        <f>J21</f>
        <v>0.39949895719495671</v>
      </c>
      <c r="L30" s="255" t="s">
        <v>945</v>
      </c>
      <c r="M30" s="256">
        <f>H5/B19</f>
        <v>0.61717925676343421</v>
      </c>
      <c r="N30" s="358"/>
    </row>
    <row r="31" spans="1:20" s="286" customFormat="1" ht="6.75" customHeight="1" x14ac:dyDescent="0.2">
      <c r="A31" s="289"/>
      <c r="B31" s="290"/>
      <c r="C31" s="291"/>
      <c r="D31" s="290"/>
      <c r="E31" s="290"/>
      <c r="F31" s="291"/>
      <c r="G31" s="291"/>
      <c r="H31" s="292"/>
      <c r="I31" s="293"/>
      <c r="J31" s="292"/>
      <c r="K31" s="293"/>
      <c r="L31" s="294"/>
      <c r="M31" s="290"/>
    </row>
    <row r="32" spans="1:20" s="286" customFormat="1" ht="24.75" customHeight="1" x14ac:dyDescent="0.2">
      <c r="A32" s="348" t="s">
        <v>808</v>
      </c>
      <c r="B32" s="348" t="s">
        <v>809</v>
      </c>
      <c r="C32" s="348" t="s">
        <v>810</v>
      </c>
      <c r="D32" s="348" t="s">
        <v>811</v>
      </c>
      <c r="E32" s="348" t="s">
        <v>812</v>
      </c>
      <c r="F32" s="348" t="s">
        <v>813</v>
      </c>
      <c r="G32" s="348" t="s">
        <v>816</v>
      </c>
      <c r="H32" s="348" t="s">
        <v>817</v>
      </c>
      <c r="I32" s="348" t="s">
        <v>954</v>
      </c>
      <c r="J32" s="348" t="s">
        <v>818</v>
      </c>
      <c r="K32" s="348" t="s">
        <v>819</v>
      </c>
      <c r="L32" s="348" t="s">
        <v>815</v>
      </c>
      <c r="M32" s="348" t="s">
        <v>970</v>
      </c>
      <c r="N32" s="348" t="s">
        <v>814</v>
      </c>
      <c r="O32" s="348" t="s">
        <v>946</v>
      </c>
    </row>
    <row r="33" spans="1:35" s="286" customFormat="1" ht="13.5" customHeight="1" x14ac:dyDescent="0.2">
      <c r="A33" s="364" t="str">
        <f>IF(B19&lt;B21,"+VE","-VE")</f>
        <v>+VE</v>
      </c>
      <c r="B33" s="364" t="str">
        <f>IF(E19&lt;E21,"+VE","-VE")</f>
        <v>+VE</v>
      </c>
      <c r="C33" s="364" t="str">
        <f>IF(N6&lt;N5,"+VE","-VE")</f>
        <v>-VE</v>
      </c>
      <c r="D33" s="364" t="str">
        <f>IF(N6&gt;N5,"+VE","-VE")</f>
        <v>+VE</v>
      </c>
      <c r="E33" s="364" t="str">
        <f>IF(Y6&gt;Y5,"-VE","+VE")</f>
        <v>-VE</v>
      </c>
      <c r="F33" s="364" t="str">
        <f>IF(X6&gt;X5,"-VE","+VE")</f>
        <v>+VE</v>
      </c>
      <c r="G33" s="364" t="str">
        <f>IF(H6&gt;H5,"+VE","-VE")</f>
        <v>+VE</v>
      </c>
      <c r="H33" s="364" t="str">
        <f>IF(G21&gt;G20,"+VE","-VE")</f>
        <v>+VE</v>
      </c>
      <c r="I33" s="364" t="str">
        <f>IF('Financial Analysis'!N35&lt;0,"+VE","-VE")</f>
        <v>-VE</v>
      </c>
      <c r="J33" s="364" t="str">
        <f>IF(I21&gt;I20,"+VE","-VE")</f>
        <v>+VE</v>
      </c>
      <c r="K33" s="364" t="str">
        <f>IF(J21&gt;J19,"+VE","-VE")</f>
        <v>+VE</v>
      </c>
      <c r="L33" s="364" t="str">
        <f>IF(Q6&lt;Q5,"+VE","-VE")</f>
        <v>+VE</v>
      </c>
      <c r="M33" s="364" t="str">
        <f>IF('Financial Analysis'!M74&gt;0,"+VE","-VE")</f>
        <v>+VE</v>
      </c>
      <c r="N33" s="364"/>
      <c r="O33" s="364" t="str">
        <f>IF(E21&gt;B21,"+VE","-VE")</f>
        <v>+VE</v>
      </c>
    </row>
    <row r="34" spans="1:35" x14ac:dyDescent="0.2">
      <c r="H34" s="294"/>
      <c r="M34" s="294"/>
      <c r="N34" s="294"/>
    </row>
    <row r="35" spans="1:35" x14ac:dyDescent="0.2">
      <c r="H35" s="294"/>
      <c r="I35" s="294"/>
      <c r="J35" s="294"/>
      <c r="K35" s="294"/>
      <c r="L35" s="294"/>
      <c r="M35" s="294"/>
      <c r="N35" s="294"/>
    </row>
    <row r="36" spans="1:35" x14ac:dyDescent="0.2">
      <c r="H36" s="294"/>
      <c r="I36" s="294"/>
      <c r="J36" s="294"/>
      <c r="K36" s="294"/>
      <c r="L36" s="294"/>
      <c r="M36" s="294"/>
      <c r="N36" s="294"/>
    </row>
    <row r="37" spans="1:35" x14ac:dyDescent="0.2">
      <c r="H37" s="294"/>
      <c r="I37" s="294"/>
      <c r="J37" s="294"/>
      <c r="K37" s="294"/>
      <c r="L37" s="294"/>
      <c r="M37" s="294"/>
      <c r="N37" s="294"/>
    </row>
    <row r="38" spans="1:35" x14ac:dyDescent="0.2">
      <c r="H38" s="294"/>
      <c r="I38" s="294"/>
      <c r="J38" s="294"/>
      <c r="K38" s="294"/>
      <c r="L38" s="294"/>
      <c r="M38" s="294"/>
      <c r="N38" s="294"/>
    </row>
    <row r="39" spans="1:35" x14ac:dyDescent="0.2">
      <c r="B39" s="290"/>
      <c r="C39" s="291"/>
      <c r="D39" s="290"/>
      <c r="E39" s="290"/>
      <c r="F39" s="291"/>
      <c r="G39" s="291"/>
      <c r="H39" s="294"/>
      <c r="I39" s="294"/>
      <c r="J39" s="294"/>
      <c r="K39" s="294"/>
      <c r="L39" s="294"/>
      <c r="M39" s="294"/>
      <c r="N39" s="294"/>
    </row>
    <row r="40" spans="1:35" x14ac:dyDescent="0.2">
      <c r="A40" s="289"/>
      <c r="B40" s="290"/>
      <c r="C40" s="291"/>
      <c r="D40" s="290"/>
      <c r="E40" s="290"/>
      <c r="F40" s="291"/>
      <c r="G40" s="291"/>
      <c r="H40" s="294"/>
      <c r="I40" s="294"/>
      <c r="J40" s="294"/>
      <c r="K40" s="294"/>
      <c r="L40" s="294"/>
      <c r="M40" s="294"/>
      <c r="N40" s="294"/>
    </row>
    <row r="41" spans="1:35" x14ac:dyDescent="0.2">
      <c r="A41" s="260"/>
      <c r="B41" s="295"/>
    </row>
    <row r="42" spans="1:35" x14ac:dyDescent="0.2">
      <c r="A42" s="270" t="str">
        <f>'Data Sheet'!A1</f>
        <v>COMPANY NAME</v>
      </c>
      <c r="B42" s="296">
        <f>'Data Sheet'!B16</f>
        <v>38807</v>
      </c>
      <c r="C42" s="296">
        <f>'Data Sheet'!C16</f>
        <v>39172</v>
      </c>
      <c r="D42" s="296">
        <f>'Data Sheet'!D16</f>
        <v>39538</v>
      </c>
      <c r="E42" s="296">
        <f>'Data Sheet'!E16</f>
        <v>39903</v>
      </c>
      <c r="F42" s="296">
        <f>'Data Sheet'!F16</f>
        <v>40268</v>
      </c>
      <c r="G42" s="296">
        <f>'Data Sheet'!G16</f>
        <v>40633</v>
      </c>
      <c r="H42" s="296">
        <f>'Data Sheet'!H16</f>
        <v>40999</v>
      </c>
      <c r="I42" s="296">
        <f>'Data Sheet'!I16</f>
        <v>41364</v>
      </c>
      <c r="J42" s="296">
        <f>'Data Sheet'!J16</f>
        <v>41729</v>
      </c>
      <c r="K42" s="296">
        <f>'Data Sheet'!K16</f>
        <v>42094</v>
      </c>
      <c r="L42" s="296">
        <f>'Data Sheet'!L16</f>
        <v>42430</v>
      </c>
      <c r="M42" s="227" t="s">
        <v>419</v>
      </c>
    </row>
    <row r="43" spans="1:35" x14ac:dyDescent="0.2">
      <c r="A43" s="272" t="s">
        <v>102</v>
      </c>
      <c r="B43" s="297"/>
      <c r="C43" s="298">
        <f>Other_input_data!C59/(Other_input_data!C39+Other_input_data!C40)</f>
        <v>1.6050198150594452</v>
      </c>
      <c r="D43" s="298">
        <f>Other_input_data!D59/(Other_input_data!D39+Other_input_data!D40)</f>
        <v>1.5740112994350284</v>
      </c>
      <c r="E43" s="298">
        <f>Other_input_data!E59/(Other_input_data!E39+Other_input_data!E40)</f>
        <v>1.9619492656875834</v>
      </c>
      <c r="F43" s="298">
        <f>Other_input_data!F59/(Other_input_data!F39+Other_input_data!F40)</f>
        <v>1.9293865905848788</v>
      </c>
      <c r="G43" s="298">
        <f>Other_input_data!G59/(Other_input_data!G39+Other_input_data!G40)</f>
        <v>1.7950435365036839</v>
      </c>
      <c r="H43" s="298">
        <f>Other_input_data!H59/(Other_input_data!H39+Other_input_data!H40)</f>
        <v>1.7213014119091468</v>
      </c>
      <c r="I43" s="298">
        <f>Other_input_data!I59/(Other_input_data!I39+Other_input_data!I40)</f>
        <v>1.392241379310345</v>
      </c>
      <c r="J43" s="298">
        <f>Other_input_data!J59/(Other_input_data!J39+Other_input_data!J40)</f>
        <v>1.4809242342826436</v>
      </c>
      <c r="K43" s="298">
        <f>Other_input_data!K59/(Other_input_data!K39+Other_input_data!K40)</f>
        <v>1.4454545454545453</v>
      </c>
      <c r="L43" s="298">
        <f>Other_input_data!L59/(Other_input_data!L39+Other_input_data!L40)</f>
        <v>1.3999446443398835</v>
      </c>
      <c r="M43" s="299">
        <f t="shared" ref="M43:M57" si="2">(L43/C43)^(1/9)-1</f>
        <v>-1.5074492291391794E-2</v>
      </c>
      <c r="N43" s="299"/>
      <c r="O43" s="299"/>
      <c r="P43" s="299"/>
      <c r="Q43" s="299"/>
      <c r="R43" s="299"/>
      <c r="S43" s="299"/>
      <c r="T43" s="299"/>
      <c r="U43" s="299"/>
      <c r="V43" s="299"/>
      <c r="W43" s="299"/>
      <c r="X43" s="299"/>
      <c r="Y43" s="299"/>
      <c r="Z43" s="299"/>
      <c r="AA43" s="299"/>
      <c r="AB43" s="299"/>
      <c r="AC43" s="299"/>
      <c r="AD43" s="299"/>
      <c r="AE43" s="299"/>
      <c r="AF43" s="299"/>
      <c r="AG43" s="299"/>
      <c r="AH43" s="299"/>
      <c r="AI43" s="299"/>
    </row>
    <row r="44" spans="1:35" ht="24" x14ac:dyDescent="0.2">
      <c r="A44" s="272" t="s">
        <v>420</v>
      </c>
      <c r="B44" s="297"/>
      <c r="C44" s="298">
        <f>Other_input_data!C44/Other_input_data!C34</f>
        <v>1.5092250922509234</v>
      </c>
      <c r="D44" s="298">
        <f>Other_input_data!D44/Other_input_data!D34</f>
        <v>5.2477064220183527</v>
      </c>
      <c r="E44" s="298">
        <f>Other_input_data!E44/Other_input_data!E34</f>
        <v>-2.9154411764705883</v>
      </c>
      <c r="F44" s="298">
        <f>Other_input_data!F44/Other_input_data!F34</f>
        <v>-3.7010309278350526</v>
      </c>
      <c r="G44" s="298">
        <f>Other_input_data!G44/Other_input_data!G34</f>
        <v>15.461538461538426</v>
      </c>
      <c r="H44" s="298">
        <f>Other_input_data!H44/Other_input_data!H34</f>
        <v>8.1500000000000021</v>
      </c>
      <c r="I44" s="298">
        <f>Other_input_data!I44/Other_input_data!I34</f>
        <v>2.9069767441860468</v>
      </c>
      <c r="J44" s="298">
        <f>Other_input_data!J44/Other_input_data!J34</f>
        <v>108.33333333332742</v>
      </c>
      <c r="K44" s="298">
        <f>Other_input_data!K44/Other_input_data!K34</f>
        <v>0.28404669260700405</v>
      </c>
      <c r="L44" s="298">
        <f>Other_input_data!L44/Other_input_data!L34</f>
        <v>0</v>
      </c>
      <c r="M44" s="299">
        <f t="shared" si="2"/>
        <v>-1</v>
      </c>
      <c r="N44" s="299"/>
      <c r="O44" s="299"/>
      <c r="P44" s="299"/>
      <c r="Q44" s="299"/>
      <c r="R44" s="299"/>
      <c r="S44" s="299"/>
      <c r="T44" s="299"/>
      <c r="U44" s="299"/>
      <c r="V44" s="299"/>
      <c r="W44" s="299"/>
      <c r="X44" s="299"/>
      <c r="Y44" s="299"/>
      <c r="Z44" s="299"/>
      <c r="AA44" s="299"/>
      <c r="AB44" s="299"/>
      <c r="AC44" s="299"/>
      <c r="AD44" s="299"/>
      <c r="AE44" s="299"/>
      <c r="AF44" s="299"/>
      <c r="AG44" s="299"/>
      <c r="AH44" s="299"/>
      <c r="AI44" s="299"/>
    </row>
    <row r="45" spans="1:35" ht="24" x14ac:dyDescent="0.2">
      <c r="A45" s="272" t="s">
        <v>421</v>
      </c>
      <c r="B45" s="297"/>
      <c r="C45" s="298">
        <f>Other_input_data!C51/Other_input_data!C34</f>
        <v>1.1881918819188195</v>
      </c>
      <c r="D45" s="298">
        <f>Other_input_data!D51/Other_input_data!D34</f>
        <v>3.6422018348623877</v>
      </c>
      <c r="E45" s="298">
        <f>Other_input_data!E51/Other_input_data!E34</f>
        <v>-0.77941176470588214</v>
      </c>
      <c r="F45" s="298">
        <f>Other_input_data!F51/Other_input_data!F34</f>
        <v>-1.0670103092783512</v>
      </c>
      <c r="G45" s="298">
        <f>Other_input_data!G51/Other_input_data!G34</f>
        <v>7.1794871794871646</v>
      </c>
      <c r="H45" s="298">
        <f>Other_input_data!H51/Other_input_data!H34</f>
        <v>6.4333333333333353</v>
      </c>
      <c r="I45" s="298">
        <f>Other_input_data!I51/Other_input_data!I34</f>
        <v>4.3139534883720936</v>
      </c>
      <c r="J45" s="298">
        <f>Other_input_data!J51/Other_input_data!J34</f>
        <v>183.66666666665668</v>
      </c>
      <c r="K45" s="298">
        <f>Other_input_data!K51/Other_input_data!K34</f>
        <v>1.3904020752269786</v>
      </c>
      <c r="L45" s="298">
        <f>Other_input_data!L51/Other_input_data!L34</f>
        <v>0.75322812051649934</v>
      </c>
      <c r="M45" s="299">
        <f t="shared" si="2"/>
        <v>-4.9385491580023033E-2</v>
      </c>
      <c r="N45" s="299"/>
      <c r="O45" s="299"/>
      <c r="P45" s="299"/>
      <c r="Q45" s="299"/>
      <c r="R45" s="299"/>
      <c r="S45" s="299"/>
      <c r="T45" s="299"/>
      <c r="U45" s="299"/>
      <c r="V45" s="299"/>
      <c r="W45" s="299"/>
      <c r="X45" s="299"/>
      <c r="Y45" s="299"/>
      <c r="Z45" s="299"/>
      <c r="AA45" s="299"/>
      <c r="AB45" s="299"/>
      <c r="AC45" s="299"/>
      <c r="AD45" s="299"/>
      <c r="AE45" s="299"/>
      <c r="AF45" s="299"/>
      <c r="AG45" s="299"/>
      <c r="AH45" s="299"/>
      <c r="AI45" s="299"/>
    </row>
    <row r="46" spans="1:35" x14ac:dyDescent="0.2">
      <c r="A46" s="272" t="s">
        <v>422</v>
      </c>
      <c r="B46" s="297"/>
      <c r="C46" s="298">
        <f>Other_input_data!C58/Other_input_data!C34</f>
        <v>3.3800738007380096</v>
      </c>
      <c r="D46" s="298">
        <f>Other_input_data!D58/Other_input_data!D34</f>
        <v>9.321100917431199</v>
      </c>
      <c r="E46" s="298">
        <f>Other_input_data!E58/Other_input_data!E34</f>
        <v>-5.2977941176470598</v>
      </c>
      <c r="F46" s="298">
        <f>Other_input_data!F58/Other_input_data!F34</f>
        <v>-6.7164948453608266</v>
      </c>
      <c r="G46" s="298">
        <f>Other_input_data!G58/Other_input_data!G34</f>
        <v>30.435897435897367</v>
      </c>
      <c r="H46" s="298">
        <f>Other_input_data!H58/Other_input_data!H34</f>
        <v>19.583333333333339</v>
      </c>
      <c r="I46" s="298">
        <f>Other_input_data!I58/Other_input_data!I34</f>
        <v>8.4651162790697683</v>
      </c>
      <c r="J46" s="298">
        <f>Other_input_data!J58/Other_input_data!J34</f>
        <v>298.33333333331706</v>
      </c>
      <c r="K46" s="298">
        <f>Other_input_data!K58/Other_input_data!K34</f>
        <v>1.3981841763942939</v>
      </c>
      <c r="L46" s="298">
        <f>Other_input_data!L58/Other_input_data!L34</f>
        <v>0.5021520803443329</v>
      </c>
      <c r="M46" s="299">
        <f t="shared" si="2"/>
        <v>-0.19092292044956582</v>
      </c>
      <c r="N46" s="299"/>
      <c r="O46" s="299"/>
      <c r="P46" s="299"/>
      <c r="Q46" s="299"/>
      <c r="R46" s="299"/>
      <c r="S46" s="299"/>
      <c r="T46" s="299"/>
      <c r="U46" s="299"/>
      <c r="V46" s="299"/>
      <c r="W46" s="299"/>
      <c r="X46" s="299"/>
      <c r="Y46" s="299"/>
      <c r="Z46" s="299"/>
      <c r="AA46" s="299"/>
      <c r="AB46" s="299"/>
      <c r="AC46" s="299"/>
      <c r="AD46" s="299"/>
      <c r="AE46" s="299"/>
      <c r="AF46" s="299"/>
      <c r="AG46" s="299"/>
      <c r="AH46" s="299"/>
      <c r="AI46" s="299"/>
    </row>
    <row r="47" spans="1:35" x14ac:dyDescent="0.2">
      <c r="A47" s="300" t="s">
        <v>423</v>
      </c>
      <c r="B47" s="297"/>
      <c r="C47" s="298">
        <f>Other_input_data!C44/Other_input_data!C41</f>
        <v>0.27014531043593126</v>
      </c>
      <c r="D47" s="298">
        <f>Other_input_data!D44/Other_input_data!D41</f>
        <v>0.32316384180790958</v>
      </c>
      <c r="E47" s="298">
        <f>Other_input_data!E44/Other_input_data!E41</f>
        <v>0.52937249666221631</v>
      </c>
      <c r="F47" s="298">
        <f>Other_input_data!F44/Other_input_data!F41</f>
        <v>0.51212553495007129</v>
      </c>
      <c r="G47" s="298">
        <f>Other_input_data!G44/Other_input_data!G41</f>
        <v>0.40388479571332891</v>
      </c>
      <c r="H47" s="298">
        <f>Other_input_data!H44/Other_input_data!H41</f>
        <v>0.30018416206261511</v>
      </c>
      <c r="I47" s="298">
        <f>Other_input_data!I44/Other_input_data!I41</f>
        <v>0.13469827586206898</v>
      </c>
      <c r="J47" s="298">
        <f>Other_input_data!J44/Other_input_data!J41</f>
        <v>0.17463729177861365</v>
      </c>
      <c r="K47" s="298">
        <f>Other_input_data!K44/Other_input_data!K41</f>
        <v>9.0495867768595042E-2</v>
      </c>
      <c r="L47" s="298">
        <f>Other_input_data!L44/Other_input_data!L41</f>
        <v>0</v>
      </c>
      <c r="M47" s="299">
        <f t="shared" si="2"/>
        <v>-1</v>
      </c>
      <c r="N47" s="299"/>
      <c r="O47" s="299"/>
      <c r="P47" s="299"/>
      <c r="Q47" s="299"/>
      <c r="R47" s="299"/>
      <c r="S47" s="299"/>
      <c r="T47" s="299"/>
      <c r="U47" s="299"/>
      <c r="V47" s="299"/>
      <c r="W47" s="299"/>
      <c r="X47" s="299"/>
      <c r="Y47" s="299"/>
      <c r="Z47" s="299"/>
      <c r="AA47" s="299"/>
      <c r="AB47" s="299"/>
      <c r="AC47" s="299"/>
      <c r="AD47" s="299"/>
      <c r="AE47" s="299"/>
      <c r="AF47" s="299"/>
      <c r="AG47" s="299"/>
      <c r="AH47" s="299"/>
      <c r="AI47" s="299"/>
    </row>
    <row r="48" spans="1:35" x14ac:dyDescent="0.2">
      <c r="A48" s="300" t="s">
        <v>424</v>
      </c>
      <c r="B48" s="297"/>
      <c r="C48" s="298">
        <f>Other_input_data!C30/Other_input_data!C31</f>
        <v>39.899999999999984</v>
      </c>
      <c r="D48" s="298">
        <f>Other_input_data!D30/Other_input_data!D31</f>
        <v>4.8769230769230756</v>
      </c>
      <c r="E48" s="298">
        <f>Other_input_data!E30/Other_input_data!E31</f>
        <v>-2.6666666666666665</v>
      </c>
      <c r="F48" s="298">
        <f>Other_input_data!F30/Other_input_data!F31</f>
        <v>-2.2244897959183665</v>
      </c>
      <c r="G48" s="298">
        <f>Other_input_data!G30/Other_input_data!G31</f>
        <v>1.5957446808510649</v>
      </c>
      <c r="H48" s="298">
        <f>Other_input_data!H30/Other_input_data!H31</f>
        <v>1.8488372093023255</v>
      </c>
      <c r="I48" s="298">
        <f>Other_input_data!I30/Other_input_data!I31</f>
        <v>3.7959183673469385</v>
      </c>
      <c r="J48" s="298">
        <f>Other_input_data!J30/Other_input_data!J31</f>
        <v>1.1914893617021312</v>
      </c>
      <c r="K48" s="298">
        <f>Other_input_data!K30/Other_input_data!K31</f>
        <v>44.999999999999979</v>
      </c>
      <c r="L48" s="298">
        <f>Other_input_data!L30/Other_input_data!L31</f>
        <v>177.04761904761907</v>
      </c>
      <c r="M48" s="299">
        <f t="shared" si="2"/>
        <v>0.18005407937580231</v>
      </c>
      <c r="N48" s="299"/>
      <c r="O48" s="299"/>
      <c r="P48" s="299"/>
      <c r="Q48" s="299"/>
      <c r="R48" s="299"/>
      <c r="S48" s="299"/>
      <c r="T48" s="299"/>
      <c r="U48" s="299"/>
      <c r="V48" s="299"/>
      <c r="W48" s="299"/>
      <c r="X48" s="299"/>
      <c r="Y48" s="299"/>
      <c r="Z48" s="299"/>
      <c r="AA48" s="299"/>
      <c r="AB48" s="299"/>
      <c r="AC48" s="299"/>
      <c r="AD48" s="299"/>
      <c r="AE48" s="299"/>
      <c r="AF48" s="299"/>
      <c r="AG48" s="299"/>
      <c r="AH48" s="299"/>
      <c r="AI48" s="299"/>
    </row>
    <row r="49" spans="1:35" s="302" customFormat="1" x14ac:dyDescent="0.2">
      <c r="A49" s="272" t="s">
        <v>175</v>
      </c>
      <c r="B49" s="301"/>
      <c r="C49" s="298">
        <f>Other_input_data!C51/Other_input_data!C25</f>
        <v>0.17155034629728283</v>
      </c>
      <c r="D49" s="298">
        <f>Other_input_data!D51/Other_input_data!D25</f>
        <v>0.16283839212469237</v>
      </c>
      <c r="E49" s="298">
        <f>Other_input_data!E51/Other_input_data!E25</f>
        <v>0.17152103559870543</v>
      </c>
      <c r="F49" s="298">
        <f>Other_input_data!F51/Other_input_data!F25</f>
        <v>0.24352941176470591</v>
      </c>
      <c r="G49" s="298">
        <f>Other_input_data!G51/Other_input_data!G25</f>
        <v>0.14652014652014655</v>
      </c>
      <c r="H49" s="298">
        <f>Other_input_data!H51/Other_input_data!H25</f>
        <v>0.14857582755966128</v>
      </c>
      <c r="I49" s="298">
        <f>Other_input_data!I51/Other_input_data!I25</f>
        <v>0.1306338028169014</v>
      </c>
      <c r="J49" s="298">
        <f>Other_input_data!J51/Other_input_data!J25</f>
        <v>0.28213005632360472</v>
      </c>
      <c r="K49" s="298">
        <f>Other_input_data!K51/Other_input_data!K25</f>
        <v>0.2412241224122412</v>
      </c>
      <c r="L49" s="298">
        <f>Other_input_data!L51/Other_input_data!L25</f>
        <v>0.3434739941118744</v>
      </c>
      <c r="M49" s="299">
        <f t="shared" si="2"/>
        <v>8.0190245803588356E-2</v>
      </c>
      <c r="N49" s="299"/>
      <c r="O49" s="299"/>
      <c r="P49" s="299"/>
      <c r="Q49" s="299"/>
      <c r="R49" s="299"/>
      <c r="S49" s="299"/>
      <c r="T49" s="299"/>
      <c r="U49" s="299"/>
      <c r="V49" s="299"/>
      <c r="W49" s="299"/>
      <c r="X49" s="299"/>
      <c r="Y49" s="299"/>
      <c r="Z49" s="299"/>
      <c r="AA49" s="299"/>
      <c r="AB49" s="299"/>
      <c r="AC49" s="299"/>
      <c r="AD49" s="299"/>
      <c r="AE49" s="299"/>
      <c r="AF49" s="299"/>
      <c r="AG49" s="299"/>
      <c r="AH49" s="299"/>
      <c r="AI49" s="299"/>
    </row>
    <row r="50" spans="1:35" s="302" customFormat="1" x14ac:dyDescent="0.2">
      <c r="A50" s="272" t="s">
        <v>41</v>
      </c>
      <c r="B50" s="303"/>
      <c r="C50" s="303">
        <f>IFERROR((Other_input_data!C7/Other_input_data!C25)*365,"NA")</f>
        <v>63.199254128929148</v>
      </c>
      <c r="D50" s="303">
        <f>IFERROR((Other_input_data!D7/Other_input_data!D25)*365,"NA")</f>
        <v>11.228465955701395</v>
      </c>
      <c r="E50" s="303">
        <f>IFERROR((Other_input_data!E7/Other_input_data!E25)*365,"NA")</f>
        <v>91.25</v>
      </c>
      <c r="F50" s="303">
        <f>IFERROR((Other_input_data!F7/Other_input_data!F25)*365,"NA")</f>
        <v>72.57058823529411</v>
      </c>
      <c r="G50" s="303">
        <f>IFERROR((Other_input_data!G7/Other_input_data!G25)*365,"NA")</f>
        <v>35.716902145473576</v>
      </c>
      <c r="H50" s="303">
        <f>IFERROR((Other_input_data!H7/Other_input_data!H25)*365,"NA")</f>
        <v>37.933025404157043</v>
      </c>
      <c r="I50" s="303">
        <f>IFERROR((Other_input_data!I7/Other_input_data!I25)*365,"NA")</f>
        <v>16.450704225352112</v>
      </c>
      <c r="J50" s="303">
        <f>IFERROR((Other_input_data!J7/Other_input_data!J25)*365,"NA")</f>
        <v>59.244751664106502</v>
      </c>
      <c r="K50" s="303">
        <f>IFERROR((Other_input_data!K7/Other_input_data!K25)*365,"NA")</f>
        <v>67.184968496849692</v>
      </c>
      <c r="L50" s="303">
        <f>IFERROR((Other_input_data!L7/Other_input_data!L25)*365,"NA")</f>
        <v>79.220641151455666</v>
      </c>
      <c r="M50" s="299">
        <f t="shared" si="2"/>
        <v>2.542271432345844E-2</v>
      </c>
      <c r="N50" s="299"/>
      <c r="O50" s="299"/>
      <c r="P50" s="299"/>
      <c r="Q50" s="299"/>
      <c r="R50" s="299"/>
      <c r="S50" s="299"/>
      <c r="T50" s="299"/>
      <c r="U50" s="299"/>
      <c r="V50" s="299"/>
      <c r="W50" s="299"/>
      <c r="X50" s="299"/>
      <c r="Y50" s="299"/>
      <c r="Z50" s="299"/>
      <c r="AA50" s="299"/>
      <c r="AB50" s="299"/>
      <c r="AC50" s="299"/>
      <c r="AD50" s="299"/>
      <c r="AE50" s="299"/>
      <c r="AF50" s="299"/>
      <c r="AG50" s="299"/>
      <c r="AH50" s="299"/>
      <c r="AI50" s="299"/>
    </row>
    <row r="51" spans="1:35" s="302" customFormat="1" x14ac:dyDescent="0.2">
      <c r="A51" s="272" t="s">
        <v>425</v>
      </c>
      <c r="B51" s="303"/>
      <c r="C51" s="303">
        <f>IFERROR((Other_input_data!C6/Other_input_data!C25)*365,"NA")</f>
        <v>57.754395311667558</v>
      </c>
      <c r="D51" s="303">
        <f>IFERROR((Other_input_data!D6/Other_input_data!D25)*365,"NA")</f>
        <v>34.733388022969642</v>
      </c>
      <c r="E51" s="303">
        <f>IFERROR((Other_input_data!E6/Other_input_data!E25)*365,"NA")</f>
        <v>61.719255663430417</v>
      </c>
      <c r="F51" s="303">
        <f>IFERROR((Other_input_data!F6/Other_input_data!F25)*365,"NA")</f>
        <v>85.452941176470588</v>
      </c>
      <c r="G51" s="303">
        <f>IFERROR((Other_input_data!G6/Other_input_data!G25)*365,"NA")</f>
        <v>56.15384615384616</v>
      </c>
      <c r="H51" s="303">
        <f>IFERROR((Other_input_data!H6/Other_input_data!H25)*365,"NA")</f>
        <v>55.494611239414937</v>
      </c>
      <c r="I51" s="303">
        <f>IFERROR((Other_input_data!I6/Other_input_data!I25)*365,"NA")</f>
        <v>38.170774647887328</v>
      </c>
      <c r="J51" s="303">
        <f>IFERROR((Other_input_data!J6/Other_input_data!J25)*365,"NA")</f>
        <v>88.026113671274956</v>
      </c>
      <c r="K51" s="303">
        <f>IFERROR((Other_input_data!K6/Other_input_data!K25)*365,"NA")</f>
        <v>28.500225022502253</v>
      </c>
      <c r="L51" s="303">
        <f>IFERROR((Other_input_data!L6/Other_input_data!L25)*365,"NA")</f>
        <v>20.417075564278704</v>
      </c>
      <c r="M51" s="299">
        <f t="shared" si="2"/>
        <v>-0.10911188317104725</v>
      </c>
      <c r="N51" s="299"/>
      <c r="O51" s="299"/>
      <c r="P51" s="299"/>
      <c r="Q51" s="299"/>
      <c r="R51" s="299"/>
      <c r="S51" s="299"/>
      <c r="T51" s="299"/>
      <c r="U51" s="299"/>
      <c r="V51" s="299"/>
      <c r="W51" s="299"/>
      <c r="X51" s="299"/>
      <c r="Y51" s="299"/>
      <c r="Z51" s="299"/>
      <c r="AA51" s="299"/>
      <c r="AB51" s="299"/>
      <c r="AC51" s="299"/>
      <c r="AD51" s="299"/>
      <c r="AE51" s="299"/>
      <c r="AF51" s="299"/>
      <c r="AG51" s="299"/>
      <c r="AH51" s="299"/>
      <c r="AI51" s="299"/>
    </row>
    <row r="52" spans="1:35" s="302" customFormat="1" x14ac:dyDescent="0.2">
      <c r="A52" s="272" t="s">
        <v>426</v>
      </c>
      <c r="B52" s="297"/>
      <c r="C52" s="298">
        <f t="shared" ref="C52:L52" si="3">365/C51</f>
        <v>6.3198653198653192</v>
      </c>
      <c r="D52" s="298">
        <f t="shared" si="3"/>
        <v>10.508620689655174</v>
      </c>
      <c r="E52" s="298">
        <f t="shared" si="3"/>
        <v>5.9138755980861246</v>
      </c>
      <c r="F52" s="298">
        <f t="shared" si="3"/>
        <v>4.2713567839195976</v>
      </c>
      <c r="G52" s="298">
        <f t="shared" si="3"/>
        <v>6.4999999999999991</v>
      </c>
      <c r="H52" s="298">
        <f t="shared" si="3"/>
        <v>6.5772151898734172</v>
      </c>
      <c r="I52" s="298">
        <f t="shared" si="3"/>
        <v>9.5622895622895605</v>
      </c>
      <c r="J52" s="298">
        <f t="shared" si="3"/>
        <v>4.1464968152866248</v>
      </c>
      <c r="K52" s="298">
        <f t="shared" si="3"/>
        <v>12.806916426512966</v>
      </c>
      <c r="L52" s="298">
        <f t="shared" si="3"/>
        <v>17.87719298245614</v>
      </c>
      <c r="M52" s="299">
        <f t="shared" si="2"/>
        <v>0.12247540528368761</v>
      </c>
      <c r="N52" s="299"/>
      <c r="O52" s="299"/>
      <c r="P52" s="299"/>
      <c r="Q52" s="299"/>
      <c r="R52" s="299"/>
      <c r="S52" s="299"/>
      <c r="T52" s="299"/>
      <c r="U52" s="299"/>
      <c r="V52" s="299"/>
      <c r="W52" s="299"/>
      <c r="X52" s="299"/>
      <c r="Y52" s="299"/>
      <c r="Z52" s="299"/>
      <c r="AA52" s="299"/>
      <c r="AB52" s="299"/>
      <c r="AC52" s="299"/>
      <c r="AD52" s="299"/>
      <c r="AE52" s="299"/>
      <c r="AF52" s="299"/>
      <c r="AG52" s="299"/>
      <c r="AH52" s="299"/>
      <c r="AI52" s="299"/>
    </row>
    <row r="53" spans="1:35" s="302" customFormat="1" ht="24" x14ac:dyDescent="0.2">
      <c r="A53" s="272" t="s">
        <v>427</v>
      </c>
      <c r="B53" s="297"/>
      <c r="C53" s="298">
        <f>(Other_input_data!C7+Other_input_data!C8)/(Other_input_data!C10)</f>
        <v>0.65680473372781067</v>
      </c>
      <c r="D53" s="298">
        <f>(Other_input_data!D7+Other_input_data!D8)/(Other_input_data!D10)</f>
        <v>0.54504504504504503</v>
      </c>
      <c r="E53" s="298">
        <f>(Other_input_data!E7+Other_input_data!E8)/(Other_input_data!E10)</f>
        <v>0.52006172839506171</v>
      </c>
      <c r="F53" s="298">
        <f>(Other_input_data!F7+Other_input_data!F8)/(Other_input_data!F10)</f>
        <v>0.31452991452991452</v>
      </c>
      <c r="G53" s="298">
        <f>(Other_input_data!G7+Other_input_data!G8)/(Other_input_data!G10)</f>
        <v>0.35102739726027404</v>
      </c>
      <c r="H53" s="298">
        <f>(Other_input_data!H7+Other_input_data!H8)/(Other_input_data!H10)</f>
        <v>0.4285714285714286</v>
      </c>
      <c r="I53" s="298">
        <f>(Other_input_data!I7+Other_input_data!I8)/(Other_input_data!I10)</f>
        <v>0.34937238493723843</v>
      </c>
      <c r="J53" s="298">
        <f>(Other_input_data!J7+Other_input_data!J8)/(Other_input_data!J10)</f>
        <v>0.6</v>
      </c>
      <c r="K53" s="298">
        <f>(Other_input_data!K7+Other_input_data!K8)/(Other_input_data!K10)</f>
        <v>1.3247962747380675</v>
      </c>
      <c r="L53" s="298">
        <f>(Other_input_data!L7+Other_input_data!L8)/(Other_input_data!L10)</f>
        <v>1.6042857142857143</v>
      </c>
      <c r="M53" s="299">
        <f t="shared" si="2"/>
        <v>0.1043174582212707</v>
      </c>
      <c r="N53" s="299"/>
      <c r="O53" s="299"/>
      <c r="P53" s="299"/>
      <c r="Q53" s="299"/>
      <c r="R53" s="299"/>
      <c r="S53" s="299"/>
      <c r="T53" s="299"/>
      <c r="U53" s="299"/>
      <c r="V53" s="299"/>
      <c r="W53" s="299"/>
      <c r="X53" s="299"/>
      <c r="Y53" s="299"/>
      <c r="Z53" s="299"/>
      <c r="AA53" s="299"/>
      <c r="AB53" s="299"/>
      <c r="AC53" s="299"/>
      <c r="AD53" s="299"/>
      <c r="AE53" s="299"/>
      <c r="AF53" s="299"/>
      <c r="AG53" s="299"/>
      <c r="AH53" s="299"/>
      <c r="AI53" s="299"/>
    </row>
    <row r="54" spans="1:35" s="302" customFormat="1" x14ac:dyDescent="0.2">
      <c r="A54" s="272" t="s">
        <v>110</v>
      </c>
      <c r="B54" s="297"/>
      <c r="C54" s="298">
        <f>Other_input_data!C9/Other_input_data!C10</f>
        <v>1.6351084812623271</v>
      </c>
      <c r="D54" s="298">
        <f>Other_input_data!D9/Other_input_data!D10</f>
        <v>1.894144144144144</v>
      </c>
      <c r="E54" s="298">
        <f>Other_input_data!E9/Other_input_data!E10</f>
        <v>1.3271604938271604</v>
      </c>
      <c r="F54" s="298">
        <f>Other_input_data!F9/Other_input_data!F10</f>
        <v>1.3538461538461539</v>
      </c>
      <c r="G54" s="298">
        <f>Other_input_data!G9/Other_input_data!G10</f>
        <v>1.4794520547945207</v>
      </c>
      <c r="H54" s="298">
        <f>Other_input_data!H9/Other_input_data!H10</f>
        <v>1.5626822157434404</v>
      </c>
      <c r="I54" s="298">
        <f>Other_input_data!I9/Other_input_data!I10</f>
        <v>1.7761506276150627</v>
      </c>
      <c r="J54" s="298">
        <f>Other_input_data!J9/Other_input_data!J10</f>
        <v>1.9666666666666668</v>
      </c>
      <c r="K54" s="298">
        <f>Other_input_data!K9/Other_input_data!K10</f>
        <v>2.2479627473806749</v>
      </c>
      <c r="L54" s="298">
        <f>Other_input_data!L9/Other_input_data!L10</f>
        <v>2.5</v>
      </c>
      <c r="M54" s="299">
        <f t="shared" si="2"/>
        <v>4.8306212948032057E-2</v>
      </c>
      <c r="N54" s="299"/>
      <c r="O54" s="299"/>
      <c r="P54" s="299"/>
      <c r="Q54" s="299"/>
      <c r="R54" s="299"/>
      <c r="S54" s="299"/>
      <c r="T54" s="299"/>
      <c r="U54" s="299"/>
      <c r="V54" s="299"/>
      <c r="W54" s="299"/>
      <c r="X54" s="299"/>
      <c r="Y54" s="299"/>
      <c r="Z54" s="299"/>
      <c r="AA54" s="299"/>
      <c r="AB54" s="299"/>
      <c r="AC54" s="299"/>
      <c r="AD54" s="299"/>
      <c r="AE54" s="299"/>
      <c r="AF54" s="299"/>
      <c r="AG54" s="299"/>
      <c r="AH54" s="299"/>
      <c r="AI54" s="299"/>
    </row>
    <row r="55" spans="1:35" s="302" customFormat="1" x14ac:dyDescent="0.2">
      <c r="A55" s="304" t="s">
        <v>520</v>
      </c>
      <c r="B55" s="297"/>
      <c r="C55" s="298">
        <f>Other_input_data!C23/Other_input_data!C62</f>
        <v>-1.373015873015873</v>
      </c>
      <c r="D55" s="298">
        <f>Other_input_data!D23/Other_input_data!D62</f>
        <v>-2.8883495145631075</v>
      </c>
      <c r="E55" s="298">
        <f>Other_input_data!E23/Other_input_data!E62</f>
        <v>-1.159010600706714</v>
      </c>
      <c r="F55" s="298">
        <f>Other_input_data!F23/Other_input_data!F62</f>
        <v>0.10344827586207202</v>
      </c>
      <c r="G55" s="298">
        <f>Other_input_data!G23/Other_input_data!G62</f>
        <v>0.14062500000000056</v>
      </c>
      <c r="H55" s="298">
        <f>Other_input_data!H23/Other_input_data!H62</f>
        <v>0.24025974025974017</v>
      </c>
      <c r="I55" s="298">
        <f>Other_input_data!I23/Other_input_data!I62</f>
        <v>12.642857142856958</v>
      </c>
      <c r="J55" s="298">
        <f>Other_input_data!J23/Other_input_data!J62</f>
        <v>-0.67045454545454608</v>
      </c>
      <c r="K55" s="298">
        <f>Other_input_data!K23/Other_input_data!K62</f>
        <v>0.20386643233743376</v>
      </c>
      <c r="L55" s="298">
        <f>Other_input_data!L23/Other_input_data!L62</f>
        <v>0.15416323165704876</v>
      </c>
      <c r="M55" s="299">
        <f t="shared" si="2"/>
        <v>-1.7842930397375181</v>
      </c>
      <c r="N55" s="299"/>
      <c r="O55" s="299"/>
      <c r="P55" s="299"/>
      <c r="Q55" s="299"/>
      <c r="R55" s="299"/>
      <c r="S55" s="299"/>
      <c r="T55" s="299"/>
      <c r="U55" s="299"/>
      <c r="V55" s="299"/>
      <c r="W55" s="299"/>
      <c r="X55" s="299"/>
      <c r="Y55" s="299"/>
      <c r="Z55" s="299"/>
      <c r="AA55" s="299"/>
      <c r="AB55" s="299"/>
      <c r="AC55" s="299"/>
      <c r="AD55" s="299"/>
      <c r="AE55" s="299"/>
      <c r="AF55" s="299"/>
      <c r="AG55" s="299"/>
      <c r="AH55" s="299"/>
      <c r="AI55" s="299"/>
    </row>
    <row r="56" spans="1:35" s="302" customFormat="1" x14ac:dyDescent="0.2">
      <c r="A56" s="304" t="s">
        <v>519</v>
      </c>
      <c r="B56" s="297"/>
      <c r="C56" s="298">
        <f>Other_input_data!C62/Other_input_data!C34</f>
        <v>-1.394833948339484</v>
      </c>
      <c r="D56" s="298">
        <f>Other_input_data!D62/Other_input_data!D34</f>
        <v>-1.8899082568807346</v>
      </c>
      <c r="E56" s="298">
        <f>Other_input_data!E62/Other_input_data!E34</f>
        <v>1.0404411764705879</v>
      </c>
      <c r="F56" s="298">
        <f>Other_input_data!F62/Other_input_data!F34</f>
        <v>-0.29896907216494772</v>
      </c>
      <c r="G56" s="298">
        <f>Other_input_data!G62/Other_input_data!G34</f>
        <v>3.2820512820512726</v>
      </c>
      <c r="H56" s="298">
        <f>Other_input_data!H62/Other_input_data!H34</f>
        <v>2.5666666666666673</v>
      </c>
      <c r="I56" s="298">
        <f>Other_input_data!I62/Other_input_data!I34</f>
        <v>0.16279069767442084</v>
      </c>
      <c r="J56" s="298">
        <f>Other_input_data!J62/Other_input_data!J34</f>
        <v>-29.333333333331797</v>
      </c>
      <c r="K56" s="298">
        <f>Other_input_data!K62/Other_input_data!K34</f>
        <v>0.73800259403372304</v>
      </c>
      <c r="L56" s="298">
        <f>Other_input_data!L62/Other_input_data!L34</f>
        <v>0.43507890961262552</v>
      </c>
      <c r="M56" s="299">
        <f t="shared" si="2"/>
        <v>-1.878583081186048</v>
      </c>
      <c r="N56" s="299"/>
      <c r="O56" s="299"/>
      <c r="P56" s="299"/>
      <c r="Q56" s="299"/>
      <c r="R56" s="299"/>
      <c r="S56" s="299"/>
      <c r="T56" s="299"/>
      <c r="U56" s="299"/>
      <c r="V56" s="299"/>
      <c r="W56" s="299"/>
      <c r="X56" s="299"/>
      <c r="Y56" s="299"/>
      <c r="Z56" s="299"/>
      <c r="AA56" s="299"/>
      <c r="AB56" s="299"/>
      <c r="AC56" s="299"/>
      <c r="AD56" s="299"/>
      <c r="AE56" s="299"/>
      <c r="AF56" s="299"/>
      <c r="AG56" s="299"/>
      <c r="AH56" s="299"/>
      <c r="AI56" s="299"/>
    </row>
    <row r="57" spans="1:35" s="302" customFormat="1" x14ac:dyDescent="0.2">
      <c r="A57" s="305" t="s">
        <v>428</v>
      </c>
      <c r="B57" s="297"/>
      <c r="C57" s="298">
        <f>Other_input_data!C61/Other_input_data!C34</f>
        <v>0.5202952029520298</v>
      </c>
      <c r="D57" s="298">
        <f>Other_input_data!D61/Other_input_data!D34</f>
        <v>3.5688073394495441</v>
      </c>
      <c r="E57" s="298">
        <f>Other_input_data!E61/Other_input_data!E34</f>
        <v>-0.16544117647058826</v>
      </c>
      <c r="F57" s="298">
        <f>Other_input_data!F61/Other_input_data!F34</f>
        <v>-0.32989690721649495</v>
      </c>
      <c r="G57" s="298">
        <f>Other_input_data!G61/Other_input_data!G34</f>
        <v>3.7435897435897347</v>
      </c>
      <c r="H57" s="298">
        <f>Other_input_data!H61/Other_input_data!H34</f>
        <v>3.183333333333334</v>
      </c>
      <c r="I57" s="298">
        <f>Other_input_data!I61/Other_input_data!I34</f>
        <v>2.2209302325581399</v>
      </c>
      <c r="J57" s="298">
        <f>Other_input_data!J61/Other_input_data!J34</f>
        <v>-9.6666666666661385</v>
      </c>
      <c r="K57" s="298">
        <f>Other_input_data!K61/Other_input_data!K34</f>
        <v>0.88845654993514966</v>
      </c>
      <c r="L57" s="298">
        <f>Other_input_data!L61/Other_input_data!L34</f>
        <v>0.5021520803443329</v>
      </c>
      <c r="M57" s="299">
        <f t="shared" si="2"/>
        <v>-3.9359366803363161E-3</v>
      </c>
      <c r="N57" s="299"/>
      <c r="O57" s="299"/>
      <c r="P57" s="299"/>
      <c r="Q57" s="299"/>
      <c r="R57" s="299"/>
      <c r="S57" s="299"/>
      <c r="T57" s="299"/>
      <c r="U57" s="299"/>
      <c r="V57" s="299"/>
      <c r="W57" s="299"/>
      <c r="X57" s="299"/>
      <c r="Y57" s="299"/>
      <c r="Z57" s="299"/>
      <c r="AA57" s="299"/>
      <c r="AB57" s="299"/>
      <c r="AC57" s="299"/>
      <c r="AD57" s="299"/>
      <c r="AE57" s="299"/>
      <c r="AF57" s="299"/>
      <c r="AG57" s="299"/>
      <c r="AH57" s="299"/>
      <c r="AI57" s="299"/>
    </row>
    <row r="58" spans="1:35" x14ac:dyDescent="0.2">
      <c r="A58" s="455"/>
      <c r="B58" s="455"/>
      <c r="C58" s="455"/>
      <c r="D58" s="455"/>
      <c r="E58" s="455"/>
      <c r="F58" s="455"/>
      <c r="G58" s="455"/>
      <c r="H58" s="455"/>
      <c r="I58" s="455"/>
      <c r="J58" s="455"/>
      <c r="K58" s="455"/>
      <c r="L58" s="227" t="s">
        <v>389</v>
      </c>
    </row>
    <row r="59" spans="1:35" x14ac:dyDescent="0.2">
      <c r="A59" s="306" t="s">
        <v>429</v>
      </c>
      <c r="B59" s="307">
        <f>Other_input_data!B27/Other_input_data!B25</f>
        <v>0.76887159533073923</v>
      </c>
      <c r="C59" s="308">
        <f>Other_input_data!C27/Other_input_data!C25</f>
        <v>0.53489611081513044</v>
      </c>
      <c r="D59" s="308">
        <f>Other_input_data!D27/Other_input_data!D25</f>
        <v>0.67309269893355217</v>
      </c>
      <c r="E59" s="308">
        <f>Other_input_data!E27/Other_input_data!E25</f>
        <v>0.61084142394822005</v>
      </c>
      <c r="F59" s="308">
        <f>Other_input_data!F27/Other_input_data!F25</f>
        <v>0.61764705882352944</v>
      </c>
      <c r="G59" s="308">
        <f>Other_input_data!G27/Other_input_data!G25</f>
        <v>0.58398744113029832</v>
      </c>
      <c r="H59" s="308">
        <f>Other_input_data!H27/Other_input_data!H25</f>
        <v>0.3552732871439569</v>
      </c>
      <c r="I59" s="308">
        <f>Other_input_data!I27/Other_input_data!I25</f>
        <v>0.41126760563380282</v>
      </c>
      <c r="J59" s="308">
        <f>Other_input_data!J27/Other_input_data!J25</f>
        <v>0.41577060931899645</v>
      </c>
      <c r="K59" s="308">
        <f>Other_input_data!K27/Other_input_data!K25</f>
        <v>0.58393339333933392</v>
      </c>
      <c r="L59" s="308">
        <f>Other_input_data!L27/Other_input_data!L25</f>
        <v>0.63967942427216229</v>
      </c>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row>
    <row r="60" spans="1:35" x14ac:dyDescent="0.2">
      <c r="A60" s="272" t="s">
        <v>430</v>
      </c>
      <c r="B60" s="310">
        <f>Other_input_data!B28/Other_input_data!B25</f>
        <v>0.4303501945525291</v>
      </c>
      <c r="C60" s="311">
        <f>Other_input_data!C28/Other_input_data!C25</f>
        <v>0.25093233883857208</v>
      </c>
      <c r="D60" s="311">
        <f>Other_input_data!D28/Other_input_data!D25</f>
        <v>0.17432321575061524</v>
      </c>
      <c r="E60" s="311">
        <f>Other_input_data!E28/Other_input_data!E25</f>
        <v>-0.11488673139158576</v>
      </c>
      <c r="F60" s="311">
        <f>Other_input_data!F28/Other_input_data!F25</f>
        <v>-9.294117647058818E-2</v>
      </c>
      <c r="G60" s="311">
        <f>Other_input_data!G28/Other_input_data!G25</f>
        <v>0.15070643642072218</v>
      </c>
      <c r="H60" s="311">
        <f>Other_input_data!H28/Other_input_data!H25</f>
        <v>0.11393379522709776</v>
      </c>
      <c r="I60" s="311">
        <f>Other_input_data!I28/Other_input_data!I25</f>
        <v>0.11549295774647887</v>
      </c>
      <c r="J60" s="311">
        <f>Other_input_data!J28/Other_input_data!J25</f>
        <v>0.10599078341013833</v>
      </c>
      <c r="K60" s="311">
        <f>Other_input_data!K28/Other_input_data!K25</f>
        <v>0.30445544554455439</v>
      </c>
      <c r="L60" s="311">
        <f>Other_input_data!L28/Other_input_data!L25</f>
        <v>0.63967942427216229</v>
      </c>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row>
    <row r="61" spans="1:35" x14ac:dyDescent="0.2">
      <c r="A61" s="272" t="s">
        <v>431</v>
      </c>
      <c r="B61" s="310">
        <f>Other_input_data!B34/Other_input_data!B25</f>
        <v>0.23579766536964969</v>
      </c>
      <c r="C61" s="311">
        <f>Other_input_data!C34/Other_input_data!C25</f>
        <v>0.14437932871603615</v>
      </c>
      <c r="D61" s="311">
        <f>Other_input_data!D34/Other_input_data!D25</f>
        <v>4.470877768662835E-2</v>
      </c>
      <c r="E61" s="311">
        <f>Other_input_data!E34/Other_input_data!E25</f>
        <v>-0.22006472491909385</v>
      </c>
      <c r="F61" s="311">
        <f>Other_input_data!F34/Other_input_data!F25</f>
        <v>-0.22823529411764698</v>
      </c>
      <c r="G61" s="311">
        <f>Other_input_data!G34/Other_input_data!G25</f>
        <v>2.0408163265306169E-2</v>
      </c>
      <c r="H61" s="311">
        <f>Other_input_data!H34/Other_input_data!H25</f>
        <v>2.3094688221709E-2</v>
      </c>
      <c r="I61" s="311">
        <f>Other_input_data!I34/Other_input_data!I25</f>
        <v>3.0281690140845068E-2</v>
      </c>
      <c r="J61" s="311">
        <f>Other_input_data!J34/Other_input_data!J25</f>
        <v>1.5360983102919424E-3</v>
      </c>
      <c r="K61" s="311">
        <f>Other_input_data!K34/Other_input_data!K25</f>
        <v>0.1734923492349234</v>
      </c>
      <c r="L61" s="311">
        <f>Other_input_data!L34/Other_input_data!L25</f>
        <v>0.456002616944717</v>
      </c>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row>
    <row r="62" spans="1:35" x14ac:dyDescent="0.2">
      <c r="A62" s="272" t="s">
        <v>432</v>
      </c>
      <c r="B62" s="310">
        <f>Other_input_data!B62/Other_input_data!B25</f>
        <v>0</v>
      </c>
      <c r="C62" s="311">
        <f>Other_input_data!C62/Other_input_data!C25</f>
        <v>-0.20138518913159295</v>
      </c>
      <c r="D62" s="311">
        <f>Other_input_data!D62/Other_input_data!D25</f>
        <v>-8.4495488105004068E-2</v>
      </c>
      <c r="E62" s="311">
        <f>Other_input_data!E62/Other_input_data!E25</f>
        <v>-0.2289644012944983</v>
      </c>
      <c r="F62" s="311">
        <f>Other_input_data!F62/Other_input_data!F25</f>
        <v>6.8235294117646866E-2</v>
      </c>
      <c r="G62" s="311">
        <f>Other_input_data!G62/Other_input_data!G25</f>
        <v>6.69806384092098E-2</v>
      </c>
      <c r="H62" s="311">
        <f>Other_input_data!H62/Other_input_data!H25</f>
        <v>5.9276366435719784E-2</v>
      </c>
      <c r="I62" s="311">
        <f>Other_input_data!I62/Other_input_data!I25</f>
        <v>4.9295774647887996E-3</v>
      </c>
      <c r="J62" s="311">
        <f>Other_input_data!J62/Other_input_data!J25</f>
        <v>-4.5058883768561285E-2</v>
      </c>
      <c r="K62" s="311">
        <f>Other_input_data!K62/Other_input_data!K25</f>
        <v>0.12803780378037807</v>
      </c>
      <c r="L62" s="311">
        <f>Other_input_data!L62/Other_input_data!L25</f>
        <v>0.19839712136081122</v>
      </c>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row>
    <row r="63" spans="1:35" x14ac:dyDescent="0.2">
      <c r="A63" s="455"/>
      <c r="B63" s="455"/>
      <c r="C63" s="455"/>
      <c r="D63" s="455"/>
      <c r="E63" s="455"/>
      <c r="F63" s="455"/>
      <c r="G63" s="455"/>
      <c r="H63" s="455"/>
      <c r="I63" s="455"/>
      <c r="J63" s="455"/>
      <c r="K63" s="455"/>
    </row>
    <row r="64" spans="1:35" x14ac:dyDescent="0.2">
      <c r="A64" s="272" t="s">
        <v>433</v>
      </c>
      <c r="B64" s="297">
        <f>Other_input_data!B25/Other_input_data!B56</f>
        <v>1.1212914485165795</v>
      </c>
      <c r="C64" s="298">
        <f>Other_input_data!C25/Other_input_data!C56</f>
        <v>0.97607904316172645</v>
      </c>
      <c r="D64" s="298">
        <f>Other_input_data!D25/Other_input_data!D56</f>
        <v>1.0409906063193852</v>
      </c>
      <c r="E64" s="298">
        <f>Other_input_data!E25/Other_input_data!E56</f>
        <v>0.53950240069838495</v>
      </c>
      <c r="F64" s="298">
        <f>Other_input_data!F25/Other_input_data!F56</f>
        <v>0.40094339622641512</v>
      </c>
      <c r="G64" s="298">
        <f>Other_input_data!G25/Other_input_data!G56</f>
        <v>0.91173664122137399</v>
      </c>
      <c r="H64" s="298">
        <f>Other_input_data!H25/Other_input_data!H56</f>
        <v>1.226628895184136</v>
      </c>
      <c r="I64" s="298">
        <f>Other_input_data!I25/Other_input_data!I56</f>
        <v>1.3485280151946819</v>
      </c>
      <c r="J64" s="298">
        <f>Other_input_data!J25/Other_input_data!J56</f>
        <v>0.89341262580054903</v>
      </c>
      <c r="K64" s="298">
        <f>Other_input_data!K25/Other_input_data!K56</f>
        <v>1.6839712012125805</v>
      </c>
      <c r="L64" s="298">
        <f>Other_input_data!L25/Other_input_data!L56</f>
        <v>1.6922225297536673</v>
      </c>
    </row>
    <row r="65" spans="1:35" s="302" customFormat="1" x14ac:dyDescent="0.2">
      <c r="A65" s="272" t="s">
        <v>434</v>
      </c>
      <c r="B65" s="297">
        <f>Other_input_data!B25/Other_input_data!B49</f>
        <v>1.4059080962800874</v>
      </c>
      <c r="C65" s="298">
        <f>Other_input_data!C25/Other_input_data!C49</f>
        <v>1.4007462686567163</v>
      </c>
      <c r="D65" s="298">
        <f>Other_input_data!D25/Other_input_data!D49</f>
        <v>1.3735211267605634</v>
      </c>
      <c r="E65" s="298">
        <f>Other_input_data!E25/Other_input_data!E49</f>
        <v>0.60647693817468107</v>
      </c>
      <c r="F65" s="298">
        <f>Other_input_data!F25/Other_input_data!F49</f>
        <v>0.44619422572178474</v>
      </c>
      <c r="G65" s="298">
        <f>Other_input_data!G25/Other_input_data!G49</f>
        <v>1.0705882352941176</v>
      </c>
      <c r="H65" s="298">
        <f>Other_input_data!H25/Other_input_data!H49</f>
        <v>1.5482717520858165</v>
      </c>
      <c r="I65" s="298">
        <f>Other_input_data!I25/Other_input_data!I49</f>
        <v>1.6511627906976745</v>
      </c>
      <c r="J65" s="298">
        <f>Other_input_data!J25/Other_input_data!J49</f>
        <v>1.1996314496314495</v>
      </c>
      <c r="K65" s="298">
        <f>Other_input_data!K25/Other_input_data!K49</f>
        <v>2.8468930172966047</v>
      </c>
      <c r="L65" s="298">
        <f>Other_input_data!L25/Other_input_data!L49</f>
        <v>3.9318327974276528</v>
      </c>
    </row>
    <row r="66" spans="1:35" x14ac:dyDescent="0.2">
      <c r="A66" s="272" t="s">
        <v>435</v>
      </c>
      <c r="B66" s="297">
        <f>Other_input_data!B25/Other_input_data!B59</f>
        <v>0.76080521018354053</v>
      </c>
      <c r="C66" s="298">
        <f>Other_input_data!C25/Other_input_data!C59</f>
        <v>0.77242798353909459</v>
      </c>
      <c r="D66" s="298">
        <f>Other_input_data!D25/Other_input_data!D59</f>
        <v>0.87508973438621673</v>
      </c>
      <c r="E66" s="298">
        <f>Other_input_data!E25/Other_input_data!E59</f>
        <v>0.42055120789384143</v>
      </c>
      <c r="F66" s="298">
        <f>Other_input_data!F25/Other_input_data!F59</f>
        <v>0.3142329020332717</v>
      </c>
      <c r="G66" s="298">
        <f>Other_input_data!G25/Other_input_data!G59</f>
        <v>0.71305970149253728</v>
      </c>
      <c r="H66" s="298">
        <f>Other_input_data!H25/Other_input_data!H59</f>
        <v>0.92653352353780316</v>
      </c>
      <c r="I66" s="298">
        <f>Other_input_data!I25/Other_input_data!I59</f>
        <v>1.0990712074303406</v>
      </c>
      <c r="J66" s="298">
        <f>Other_input_data!J25/Other_input_data!J59</f>
        <v>0.70863570391872288</v>
      </c>
      <c r="K66" s="298">
        <f>Other_input_data!K25/Other_input_data!K59</f>
        <v>1.270440251572327</v>
      </c>
      <c r="L66" s="298">
        <f>Other_input_data!L25/Other_input_data!L59</f>
        <v>1.2087781731909846</v>
      </c>
    </row>
    <row r="67" spans="1:35" x14ac:dyDescent="0.2">
      <c r="A67" s="272" t="s">
        <v>436</v>
      </c>
      <c r="B67" s="311">
        <f>B61*B66</f>
        <v>0.17939609236234449</v>
      </c>
      <c r="C67" s="311">
        <f t="shared" ref="C67:L67" si="4">C61*C66</f>
        <v>0.1115226337448559</v>
      </c>
      <c r="D67" s="311">
        <f t="shared" si="4"/>
        <v>3.9124192390524018E-2</v>
      </c>
      <c r="E67" s="311">
        <f t="shared" si="4"/>
        <v>-9.2548485879550862E-2</v>
      </c>
      <c r="F67" s="311">
        <f t="shared" si="4"/>
        <v>-7.1719038817005518E-2</v>
      </c>
      <c r="G67" s="311">
        <f t="shared" si="4"/>
        <v>1.4552238805970182E-2</v>
      </c>
      <c r="H67" s="311">
        <f t="shared" si="4"/>
        <v>2.139800285306704E-2</v>
      </c>
      <c r="I67" s="311">
        <f t="shared" si="4"/>
        <v>3.3281733746130027E-2</v>
      </c>
      <c r="J67" s="311">
        <f t="shared" si="4"/>
        <v>1.0885341074020913E-3</v>
      </c>
      <c r="K67" s="311">
        <f t="shared" si="4"/>
        <v>0.2204116638078901</v>
      </c>
      <c r="L67" s="311">
        <f t="shared" si="4"/>
        <v>0.55120601028074334</v>
      </c>
    </row>
    <row r="68" spans="1:35" x14ac:dyDescent="0.2">
      <c r="A68" s="272" t="s">
        <v>437</v>
      </c>
      <c r="B68" s="311">
        <f>B61*B66*B43</f>
        <v>0</v>
      </c>
      <c r="C68" s="311">
        <f t="shared" ref="C68:L68" si="5">C61*C66*C43</f>
        <v>0.17899603698811087</v>
      </c>
      <c r="D68" s="311">
        <f t="shared" si="5"/>
        <v>6.1581920903954757E-2</v>
      </c>
      <c r="E68" s="311">
        <f t="shared" si="5"/>
        <v>-0.18157543391188249</v>
      </c>
      <c r="F68" s="311">
        <f t="shared" si="5"/>
        <v>-0.13837375178316685</v>
      </c>
      <c r="G68" s="311">
        <f t="shared" si="5"/>
        <v>2.6121902210314862E-2</v>
      </c>
      <c r="H68" s="311">
        <f t="shared" si="5"/>
        <v>3.6832412523020247E-2</v>
      </c>
      <c r="I68" s="311">
        <f t="shared" si="5"/>
        <v>4.633620689655172E-2</v>
      </c>
      <c r="J68" s="311">
        <f t="shared" si="5"/>
        <v>1.612036539494983E-3</v>
      </c>
      <c r="K68" s="311">
        <f t="shared" si="5"/>
        <v>0.31859504132231381</v>
      </c>
      <c r="L68" s="311">
        <f t="shared" si="5"/>
        <v>0.77165790202048146</v>
      </c>
    </row>
    <row r="69" spans="1:35" x14ac:dyDescent="0.2">
      <c r="A69" s="272" t="s">
        <v>438</v>
      </c>
      <c r="B69" s="311">
        <f>Other_input_data!B30/Other_input_data!B57</f>
        <v>0.42321116928446756</v>
      </c>
      <c r="C69" s="311">
        <f>Other_input_data!C30/Other_input_data!C57</f>
        <v>0.2074882995319812</v>
      </c>
      <c r="D69" s="311">
        <f>Other_input_data!D30/Other_input_data!D57</f>
        <v>0.13535439795046966</v>
      </c>
      <c r="E69" s="311">
        <f>Other_input_data!E30/Other_input_data!E57</f>
        <v>-0.12221737232649497</v>
      </c>
      <c r="F69" s="311">
        <f>Other_input_data!F30/Other_input_data!F57</f>
        <v>-0.10283018867924523</v>
      </c>
      <c r="G69" s="311">
        <f>Other_input_data!G30/Other_input_data!G57</f>
        <v>7.1564885496183242E-2</v>
      </c>
      <c r="H69" s="311">
        <f>Other_input_data!H30/Other_input_data!H57</f>
        <v>7.5070821529745035E-2</v>
      </c>
      <c r="I69" s="311">
        <f>Other_input_data!I30/Other_input_data!I57</f>
        <v>8.8319088319088315E-2</v>
      </c>
      <c r="J69" s="311">
        <f>Other_input_data!J30/Other_input_data!J57</f>
        <v>2.5617566331198612E-2</v>
      </c>
      <c r="K69" s="311">
        <f>Other_input_data!K30/Other_input_data!K57</f>
        <v>0.44334975369458118</v>
      </c>
      <c r="L69" s="311">
        <f>Other_input_data!L30/Other_input_data!L57</f>
        <v>1.0164024056861674</v>
      </c>
    </row>
    <row r="70" spans="1:35" x14ac:dyDescent="0.2">
      <c r="A70" s="272" t="s">
        <v>439</v>
      </c>
      <c r="B70" s="311">
        <f t="shared" ref="B70:L70" si="6">B85*(1-B78)</f>
        <v>0.26439790575916222</v>
      </c>
      <c r="C70" s="311">
        <f t="shared" si="6"/>
        <v>0.14454840404413083</v>
      </c>
      <c r="D70" s="311">
        <f t="shared" si="6"/>
        <v>5.8546148319845975E-2</v>
      </c>
      <c r="E70" s="311">
        <f t="shared" si="6"/>
        <v>-8.6345779929367886E-2</v>
      </c>
      <c r="F70" s="311">
        <f t="shared" si="6"/>
        <v>-6.3129925961308786E-2</v>
      </c>
      <c r="G70" s="311">
        <f t="shared" si="6"/>
        <v>4.9839830970556213E-2</v>
      </c>
      <c r="H70" s="311">
        <f t="shared" si="6"/>
        <v>6.1702045092941124E-2</v>
      </c>
      <c r="I70" s="311">
        <f t="shared" si="6"/>
        <v>5.5441179528770757E-2</v>
      </c>
      <c r="J70" s="311">
        <f t="shared" si="6"/>
        <v>8.5391887770665149E-3</v>
      </c>
      <c r="K70" s="311">
        <f t="shared" si="6"/>
        <v>0.29879603155465212</v>
      </c>
      <c r="L70" s="311">
        <f t="shared" si="6"/>
        <v>0.77604113597840163</v>
      </c>
    </row>
    <row r="71" spans="1:35" x14ac:dyDescent="0.2">
      <c r="A71" s="272" t="s">
        <v>440</v>
      </c>
      <c r="B71" s="311"/>
      <c r="C71" s="311">
        <f>(Other_input_data!C64-Other_input_data!B64)/(Other_input_data!C56-Other_input_data!B56)</f>
        <v>-3.2218042500818819E-2</v>
      </c>
      <c r="D71" s="311">
        <f>(Other_input_data!D64-Other_input_data!C64)/(Other_input_data!D56-Other_input_data!C56)</f>
        <v>-0.33616110169876956</v>
      </c>
      <c r="E71" s="311">
        <f>(Other_input_data!E64-Other_input_data!D64)/(Other_input_data!E56-Other_input_data!D56)</f>
        <v>6.5673188467306352</v>
      </c>
      <c r="F71" s="311">
        <f>(Other_input_data!F64-Other_input_data!E64)/(Other_input_data!F56-Other_input_data!E56)</f>
        <v>-0.374168063042147</v>
      </c>
      <c r="G71" s="311">
        <f>(Other_input_data!G64-Other_input_data!F64)/(Other_input_data!G56-Other_input_data!F56)</f>
        <v>-9.9291553646775839</v>
      </c>
      <c r="H71" s="311">
        <f>(Other_input_data!H64-Other_input_data!G64)/(Other_input_data!H56-Other_input_data!G56)</f>
        <v>1.1918475360256184</v>
      </c>
      <c r="I71" s="311">
        <f>(Other_input_data!I64-Other_input_data!H64)/(Other_input_data!I56-Other_input_data!H56)</f>
        <v>1.1604839516048309</v>
      </c>
      <c r="J71" s="311">
        <f>(Other_input_data!J64-Other_input_data!I64)/(Other_input_data!J56-Other_input_data!I56)</f>
        <v>-1.2261557177615465</v>
      </c>
      <c r="K71" s="311">
        <f>(Other_input_data!K64-Other_input_data!J64)/(Other_input_data!K56-Other_input_data!J56)</f>
        <v>1.699461502441632</v>
      </c>
      <c r="L71" s="311">
        <f>(Other_input_data!L64-Other_input_data!K64)/(Other_input_data!L56-Other_input_data!K56)</f>
        <v>2.0691107772250898</v>
      </c>
    </row>
    <row r="72" spans="1:35" ht="15" customHeight="1" x14ac:dyDescent="0.2">
      <c r="A72" s="272" t="s">
        <v>441</v>
      </c>
      <c r="B72" s="452"/>
      <c r="C72" s="453"/>
      <c r="D72" s="454"/>
      <c r="E72" s="311">
        <f>(Other_input_data!E64-Other_input_data!B64)/(Other_input_data!E56-Other_input_data!B56)</f>
        <v>-0.43739579198094458</v>
      </c>
      <c r="F72" s="311">
        <f>(Other_input_data!F64-Other_input_data!C64)/(Other_input_data!F56-Other_input_data!C56)</f>
        <v>-2.090365604136236</v>
      </c>
      <c r="G72" s="311">
        <f>(Other_input_data!G64-Other_input_data!D64)/(Other_input_data!G56-Other_input_data!D56)</f>
        <v>0.13272680345850998</v>
      </c>
      <c r="H72" s="311">
        <f>(Other_input_data!H64-Other_input_data!E64)/(Other_input_data!H56-Other_input_data!E56)</f>
        <v>-1.8988619267342834</v>
      </c>
      <c r="I72" s="311">
        <f>(Other_input_data!I64-Other_input_data!F64)/(Other_input_data!I56-Other_input_data!F56)</f>
        <v>-17.899611937540346</v>
      </c>
      <c r="J72" s="311">
        <f>(Other_input_data!J64-Other_input_data!G64)/(Other_input_data!J56-Other_input_data!G56)</f>
        <v>-0.953306878306873</v>
      </c>
      <c r="K72" s="311">
        <f>(Other_input_data!K64-Other_input_data!H64)/(Other_input_data!K56-Other_input_data!H56)</f>
        <v>1.2626445216235653</v>
      </c>
      <c r="L72" s="311">
        <f>(Other_input_data!L64-Other_input_data!I64)/(Other_input_data!L56-Other_input_data!I56)</f>
        <v>1.7830640346399291</v>
      </c>
    </row>
    <row r="73" spans="1:35" ht="15" customHeight="1" x14ac:dyDescent="0.2">
      <c r="A73" s="272" t="s">
        <v>442</v>
      </c>
      <c r="B73" s="452"/>
      <c r="C73" s="453"/>
      <c r="D73" s="453"/>
      <c r="E73" s="453"/>
      <c r="F73" s="454"/>
      <c r="G73" s="311">
        <f>(Other_input_data!G64-Other_input_data!B64)/(Other_input_data!G56-Other_input_data!B56)</f>
        <v>-0.20898496240601472</v>
      </c>
      <c r="H73" s="311">
        <f>(Other_input_data!H64-Other_input_data!C64)/(Other_input_data!H56-Other_input_data!C56)</f>
        <v>-0.75529051010263781</v>
      </c>
      <c r="I73" s="311">
        <f>(Other_input_data!I64-Other_input_data!D64)/(Other_input_data!I56-Other_input_data!D56)</f>
        <v>8.6254047785966279E-2</v>
      </c>
      <c r="J73" s="311">
        <f>(Other_input_data!J64-Other_input_data!E64)/(Other_input_data!J56-Other_input_data!E56)</f>
        <v>-2.0617604617604672</v>
      </c>
      <c r="K73" s="311">
        <f>(Other_input_data!K64-Other_input_data!F64)/(Other_input_data!K56-Other_input_data!F56)</f>
        <v>1.7771833724676327</v>
      </c>
      <c r="L73" s="311">
        <f>(Other_input_data!L64-Other_input_data!G64)/(Other_input_data!L56-Other_input_data!G56)</f>
        <v>1.7794148573340005</v>
      </c>
    </row>
    <row r="74" spans="1:35" ht="15" customHeight="1" x14ac:dyDescent="0.2">
      <c r="A74" s="272" t="s">
        <v>443</v>
      </c>
      <c r="B74" s="452"/>
      <c r="C74" s="453"/>
      <c r="D74" s="453"/>
      <c r="E74" s="453"/>
      <c r="F74" s="453"/>
      <c r="G74" s="453"/>
      <c r="H74" s="453"/>
      <c r="I74" s="453"/>
      <c r="J74" s="453"/>
      <c r="K74" s="454"/>
      <c r="L74" s="312">
        <f>(Other_input_data!L64-Other_input_data!C64)/(Other_input_data!L56-Other_input_data!C56)</f>
        <v>1.4945976587651484</v>
      </c>
    </row>
    <row r="75" spans="1:35" ht="15" customHeight="1" x14ac:dyDescent="0.2">
      <c r="A75" s="272"/>
      <c r="B75" s="313"/>
      <c r="C75" s="314"/>
      <c r="D75" s="315"/>
      <c r="E75" s="315"/>
      <c r="F75" s="315"/>
      <c r="G75" s="315"/>
      <c r="H75" s="315"/>
      <c r="I75" s="315"/>
      <c r="J75" s="315"/>
      <c r="K75" s="316"/>
    </row>
    <row r="76" spans="1:35" x14ac:dyDescent="0.2">
      <c r="A76" s="317"/>
      <c r="B76" s="318">
        <f>B42</f>
        <v>38807</v>
      </c>
      <c r="C76" s="318">
        <f t="shared" ref="C76:L76" si="7">C42</f>
        <v>39172</v>
      </c>
      <c r="D76" s="318">
        <f t="shared" si="7"/>
        <v>39538</v>
      </c>
      <c r="E76" s="318">
        <f t="shared" si="7"/>
        <v>39903</v>
      </c>
      <c r="F76" s="318">
        <f t="shared" si="7"/>
        <v>40268</v>
      </c>
      <c r="G76" s="318">
        <f t="shared" si="7"/>
        <v>40633</v>
      </c>
      <c r="H76" s="318">
        <f t="shared" si="7"/>
        <v>40999</v>
      </c>
      <c r="I76" s="318">
        <f t="shared" si="7"/>
        <v>41364</v>
      </c>
      <c r="J76" s="318">
        <f t="shared" si="7"/>
        <v>41729</v>
      </c>
      <c r="K76" s="318">
        <f t="shared" si="7"/>
        <v>42094</v>
      </c>
      <c r="L76" s="318">
        <f t="shared" si="7"/>
        <v>42430</v>
      </c>
    </row>
    <row r="77" spans="1:35" x14ac:dyDescent="0.2">
      <c r="A77" s="319" t="s">
        <v>379</v>
      </c>
      <c r="B77" s="320">
        <f>Other_input_data!B84</f>
        <v>0</v>
      </c>
      <c r="C77" s="321">
        <f>Other_input_data!C84</f>
        <v>84.85064838388044</v>
      </c>
      <c r="D77" s="321">
        <f>Other_input_data!D84</f>
        <v>31.605781526295225</v>
      </c>
      <c r="E77" s="321">
        <f>Other_input_data!E84</f>
        <v>7.3928968550978995</v>
      </c>
      <c r="F77" s="321">
        <f>Other_input_data!F84</f>
        <v>14.458420051846801</v>
      </c>
      <c r="G77" s="321">
        <f>Other_input_data!G84</f>
        <v>14.413043798423718</v>
      </c>
      <c r="H77" s="321">
        <f>Other_input_data!H84</f>
        <v>13.398889956209974</v>
      </c>
      <c r="I77" s="321">
        <f>Other_input_data!I84</f>
        <v>32.231719349340722</v>
      </c>
      <c r="J77" s="321">
        <f>Other_input_data!J84</f>
        <v>27.638275607805625</v>
      </c>
      <c r="K77" s="321">
        <f>Other_input_data!K84</f>
        <v>226.6745762306617</v>
      </c>
      <c r="L77" s="321">
        <f>Other_input_data!L84</f>
        <v>485.06311306250007</v>
      </c>
    </row>
    <row r="78" spans="1:35" x14ac:dyDescent="0.2">
      <c r="A78" s="322" t="s">
        <v>368</v>
      </c>
      <c r="B78" s="323">
        <f>Other_input_data!B33/Other_input_data!B32</f>
        <v>0.375257731958763</v>
      </c>
      <c r="C78" s="323">
        <f>Other_input_data!C33/Other_input_data!C32</f>
        <v>0.30334190231362479</v>
      </c>
      <c r="D78" s="323">
        <f>Other_input_data!D33/Other_input_data!D32</f>
        <v>0.56746031746031766</v>
      </c>
      <c r="E78" s="323">
        <f>Other_input_data!E33/Other_input_data!E32</f>
        <v>0.29350649350649349</v>
      </c>
      <c r="F78" s="323">
        <f>Other_input_data!F33/Other_input_data!F32</f>
        <v>0.38607594936708867</v>
      </c>
      <c r="G78" s="323">
        <f>Other_input_data!G33/Other_input_data!G32</f>
        <v>0.3035714285714281</v>
      </c>
      <c r="H78" s="323">
        <f>Other_input_data!H33/Other_input_data!H32</f>
        <v>0.17808219178082196</v>
      </c>
      <c r="I78" s="323">
        <f>Other_input_data!I33/Other_input_data!I32</f>
        <v>0.37226277372262778</v>
      </c>
      <c r="J78" s="323">
        <f>Other_input_data!J33/Other_input_data!J32</f>
        <v>0.66666666666665453</v>
      </c>
      <c r="K78" s="323">
        <f>Other_input_data!K33/Other_input_data!K32</f>
        <v>0.32604895104895115</v>
      </c>
      <c r="L78" s="323">
        <f>Other_input_data!L33/Other_input_data!L32</f>
        <v>0.24587503381119827</v>
      </c>
    </row>
    <row r="79" spans="1:35" ht="24" x14ac:dyDescent="0.2">
      <c r="A79" s="322" t="s">
        <v>444</v>
      </c>
      <c r="B79" s="323"/>
      <c r="C79" s="323">
        <f>(Other_input_data!C39-Other_input_data!B39)/Other_input_data!B39</f>
        <v>9.7488921713441687E-2</v>
      </c>
      <c r="D79" s="323">
        <f>(Other_input_data!D39-Other_input_data!C39)/Other_input_data!C39</f>
        <v>5.9219380888290769E-2</v>
      </c>
      <c r="E79" s="323">
        <f>(Other_input_data!E39-Other_input_data!D39)/Other_input_data!D39</f>
        <v>0</v>
      </c>
      <c r="F79" s="323">
        <f>(Other_input_data!F39-Other_input_data!E39)/Other_input_data!E39</f>
        <v>7.6238881829733235E-2</v>
      </c>
      <c r="G79" s="323">
        <f>(Other_input_data!G39-Other_input_data!F39)/Other_input_data!F39</f>
        <v>5.9031877213695391E-2</v>
      </c>
      <c r="H79" s="323">
        <f>(Other_input_data!H39-Other_input_data!G39)/Other_input_data!G39</f>
        <v>8.2497212931995564E-2</v>
      </c>
      <c r="I79" s="323">
        <f>(Other_input_data!I39-Other_input_data!H39)/Other_input_data!H39</f>
        <v>0.14521112255406779</v>
      </c>
      <c r="J79" s="323">
        <f>(Other_input_data!J39-Other_input_data!I39)/Other_input_data!I39</f>
        <v>0</v>
      </c>
      <c r="K79" s="323">
        <f>(Other_input_data!K39-Other_input_data!J39)/Other_input_data!J39</f>
        <v>0</v>
      </c>
      <c r="L79" s="323">
        <f>(Other_input_data!L39-Other_input_data!K39)/Other_input_data!K39</f>
        <v>0</v>
      </c>
      <c r="M79" s="299">
        <f>(L79/F79)^(1/6)-1</f>
        <v>-1</v>
      </c>
      <c r="N79" s="299"/>
      <c r="O79" s="299"/>
      <c r="P79" s="299"/>
      <c r="Q79" s="299"/>
      <c r="R79" s="299"/>
      <c r="S79" s="299"/>
      <c r="T79" s="299"/>
      <c r="U79" s="299"/>
      <c r="V79" s="299"/>
      <c r="W79" s="299"/>
      <c r="X79" s="299"/>
      <c r="Y79" s="299"/>
      <c r="Z79" s="299"/>
      <c r="AA79" s="299"/>
      <c r="AB79" s="299"/>
      <c r="AC79" s="299"/>
      <c r="AD79" s="299"/>
      <c r="AE79" s="299"/>
      <c r="AF79" s="299"/>
      <c r="AG79" s="299"/>
      <c r="AH79" s="299"/>
      <c r="AI79" s="299"/>
    </row>
    <row r="80" spans="1:35" ht="36" x14ac:dyDescent="0.2">
      <c r="A80" s="322" t="s">
        <v>445</v>
      </c>
      <c r="B80" s="324"/>
      <c r="C80" s="320">
        <f>((Other_input_data!C6-Other_input_data!B6)/Other_input_data!B6)/((Other_input_data!C25-Other_input_data!B25)/Other_input_data!B25)</f>
        <v>3.0706163480553728</v>
      </c>
      <c r="D80" s="320">
        <f>((Other_input_data!D6-Other_input_data!C6)/Other_input_data!C6)/((Other_input_data!D25-Other_input_data!C25)/Other_input_data!C25)</f>
        <v>-0.73224820996657047</v>
      </c>
      <c r="E80" s="320">
        <f>((Other_input_data!E6-Other_input_data!D6)/Other_input_data!D6)/((Other_input_data!E25-Other_input_data!D25)/Other_input_data!D25)</f>
        <v>0.20108009639107235</v>
      </c>
      <c r="F80" s="320">
        <f>((Other_input_data!F6-Other_input_data!E6)/Other_input_data!E6)/((Other_input_data!F25-Other_input_data!E25)/Other_input_data!E25)</f>
        <v>0.15320921238565072</v>
      </c>
      <c r="G80" s="320">
        <f>((Other_input_data!G6-Other_input_data!F6)/Other_input_data!F6)/((Other_input_data!G25-Other_input_data!F25)/Other_input_data!F25)</f>
        <v>0.38244947641127408</v>
      </c>
      <c r="H80" s="320">
        <f>((Other_input_data!H6-Other_input_data!G6)/Other_input_data!G6)/((Other_input_data!H25-Other_input_data!G25)/Other_input_data!G25)</f>
        <v>0.95560407569141204</v>
      </c>
      <c r="I80" s="320">
        <f>((Other_input_data!I6-Other_input_data!H6)/Other_input_data!H6)/((Other_input_data!I25-Other_input_data!H25)/Other_input_data!H25)</f>
        <v>-2.6635003661470886</v>
      </c>
      <c r="J80" s="320">
        <f>((Other_input_data!J6-Other_input_data!I6)/Other_input_data!I6)/((Other_input_data!J25-Other_input_data!I25)/Other_input_data!I25)</f>
        <v>-1.8758042658831837</v>
      </c>
      <c r="K80" s="320">
        <f>((Other_input_data!K6-Other_input_data!J6)/Other_input_data!J6)/((Other_input_data!K25-Other_input_data!J25)/Other_input_data!J25)</f>
        <v>-0.20640931557428399</v>
      </c>
      <c r="L80" s="320">
        <f>((Other_input_data!L6-Other_input_data!K6)/Other_input_data!K6)/((Other_input_data!L25-Other_input_data!K25)/Other_input_data!K25)</f>
        <v>-3.8344061157224649E-2</v>
      </c>
    </row>
    <row r="81" spans="1:35" ht="36" x14ac:dyDescent="0.2">
      <c r="A81" s="322" t="s">
        <v>446</v>
      </c>
      <c r="B81" s="324"/>
      <c r="C81" s="320">
        <f>((Other_input_data!C7-Other_input_data!B7)/Other_input_data!B7)/((Other_input_data!C25-Other_input_data!B25)/Other_input_data!B25)</f>
        <v>0.45187380689239431</v>
      </c>
      <c r="D81" s="320">
        <f>((Other_input_data!D7-Other_input_data!C7)/Other_input_data!C7)/((Other_input_data!D25-Other_input_data!C25)/Other_input_data!C25)</f>
        <v>-2.5737008089949271</v>
      </c>
      <c r="E81" s="320">
        <f>((Other_input_data!E7-Other_input_data!D7)/Other_input_data!D7)/((Other_input_data!E25-Other_input_data!D25)/Other_input_data!D25)</f>
        <v>-6.3282529118136432</v>
      </c>
      <c r="F81" s="320">
        <f>((Other_input_data!F7-Other_input_data!E7)/Other_input_data!E7)/((Other_input_data!F25-Other_input_data!E25)/Other_input_data!E25)</f>
        <v>1.4507772020725391</v>
      </c>
      <c r="G81" s="320">
        <f>((Other_input_data!G7-Other_input_data!F7)/Other_input_data!F7)/((Other_input_data!G25-Other_input_data!F25)/Other_input_data!F25)</f>
        <v>8.5327563033645915E-2</v>
      </c>
      <c r="H81" s="320">
        <f>((Other_input_data!H7-Other_input_data!G7)/Other_input_data!G7)/((Other_input_data!H25-Other_input_data!G25)/Other_input_data!G25)</f>
        <v>1.2346402634098497</v>
      </c>
      <c r="I81" s="320">
        <f>((Other_input_data!I7-Other_input_data!H7)/Other_input_data!H7)/((Other_input_data!I25-Other_input_data!H25)/Other_input_data!H25)</f>
        <v>-5.6460973370064318</v>
      </c>
      <c r="J81" s="320">
        <f>((Other_input_data!J7-Other_input_data!I7)/Other_input_data!I7)/((Other_input_data!J25-Other_input_data!I25)/Other_input_data!I25)</f>
        <v>-4.727663472378806</v>
      </c>
      <c r="K81" s="320">
        <f>((Other_input_data!K7-Other_input_data!J7)/Other_input_data!J7)/((Other_input_data!K25-Other_input_data!J25)/Other_input_data!J25)</f>
        <v>1.239101775856807</v>
      </c>
      <c r="L81" s="320">
        <f>((Other_input_data!L7-Other_input_data!K7)/Other_input_data!K7)/((Other_input_data!L25-Other_input_data!K25)/Other_input_data!K25)</f>
        <v>1.6558540620470545</v>
      </c>
    </row>
    <row r="82" spans="1:35" x14ac:dyDescent="0.2">
      <c r="A82" s="322" t="s">
        <v>447</v>
      </c>
      <c r="B82" s="324"/>
      <c r="C82" s="324">
        <f>Other_input_data!C23/Other_input_data!C29</f>
        <v>7.208333333333333</v>
      </c>
      <c r="D82" s="324">
        <f>Other_input_data!D23/Other_input_data!D29</f>
        <v>5.5092592592592586</v>
      </c>
      <c r="E82" s="324">
        <f>Other_input_data!E23/Other_input_data!E29</f>
        <v>2.376811594202898</v>
      </c>
      <c r="F82" s="324">
        <f>Other_input_data!F23/Other_input_data!F29</f>
        <v>4.3165467625900442E-2</v>
      </c>
      <c r="G82" s="324">
        <f>Other_input_data!G23/Other_input_data!G29</f>
        <v>0.13043478260869609</v>
      </c>
      <c r="H82" s="324">
        <f>Other_input_data!H23/Other_input_data!H29</f>
        <v>0.27007299270072982</v>
      </c>
      <c r="I82" s="324">
        <f>Other_input_data!I23/Other_input_data!I29</f>
        <v>1.2464788732394352</v>
      </c>
      <c r="J82" s="324">
        <f>Other_input_data!J23/Other_input_data!J29</f>
        <v>0.39072847682119327</v>
      </c>
      <c r="K82" s="324">
        <f>Other_input_data!K23/Other_input_data!K29</f>
        <v>0.63387978142076407</v>
      </c>
      <c r="L82" s="324">
        <f>Other_input_data!L23/Other_input_data!L29</f>
        <v>0.96891191709844626</v>
      </c>
    </row>
    <row r="83" spans="1:35" x14ac:dyDescent="0.2">
      <c r="A83" s="322" t="s">
        <v>14</v>
      </c>
      <c r="B83" s="323">
        <f>Other_input_data!B35/Other_input_data!B34</f>
        <v>0</v>
      </c>
      <c r="C83" s="323">
        <f>Other_input_data!C35/Other_input_data!C34</f>
        <v>0</v>
      </c>
      <c r="D83" s="323">
        <f>Other_input_data!D35/Other_input_data!D34</f>
        <v>0</v>
      </c>
      <c r="E83" s="323">
        <f>Other_input_data!E35/Other_input_data!E34</f>
        <v>0</v>
      </c>
      <c r="F83" s="323">
        <f>Other_input_data!F35/Other_input_data!F34</f>
        <v>0</v>
      </c>
      <c r="G83" s="323">
        <f>Other_input_data!G35/Other_input_data!G34</f>
        <v>0</v>
      </c>
      <c r="H83" s="323">
        <f>Other_input_data!H35/Other_input_data!H34</f>
        <v>0</v>
      </c>
      <c r="I83" s="323">
        <f>Other_input_data!I35/Other_input_data!I34</f>
        <v>0</v>
      </c>
      <c r="J83" s="323">
        <f>Other_input_data!J35/Other_input_data!J34</f>
        <v>0</v>
      </c>
      <c r="K83" s="323">
        <f>Other_input_data!K35/Other_input_data!K34</f>
        <v>3.3722438391699111E-2</v>
      </c>
      <c r="L83" s="323">
        <f>Other_input_data!L35/Other_input_data!L34</f>
        <v>9.3256814921090399E-3</v>
      </c>
      <c r="M83" s="299" t="e">
        <f>(L83/F83)^(1/6)-1</f>
        <v>#DIV/0!</v>
      </c>
      <c r="N83" s="299"/>
      <c r="O83" s="299"/>
      <c r="P83" s="299"/>
      <c r="Q83" s="299"/>
      <c r="R83" s="299"/>
      <c r="S83" s="299"/>
      <c r="T83" s="299"/>
      <c r="U83" s="299"/>
      <c r="V83" s="299"/>
      <c r="W83" s="299"/>
      <c r="X83" s="299"/>
      <c r="Y83" s="299"/>
      <c r="Z83" s="299"/>
      <c r="AA83" s="299"/>
      <c r="AB83" s="299"/>
      <c r="AC83" s="299"/>
      <c r="AD83" s="299"/>
      <c r="AE83" s="299"/>
      <c r="AF83" s="299"/>
      <c r="AG83" s="299"/>
      <c r="AH83" s="299"/>
      <c r="AI83" s="299"/>
    </row>
    <row r="84" spans="1:35" x14ac:dyDescent="0.2">
      <c r="A84" s="322" t="s">
        <v>448</v>
      </c>
      <c r="B84" s="325">
        <f>Other_input_data!B8/Other_input_data!B48</f>
        <v>3.6708111308466546E-2</v>
      </c>
      <c r="C84" s="325">
        <f>Other_input_data!C8/Other_input_data!C48</f>
        <v>3.2921810699588477E-3</v>
      </c>
      <c r="D84" s="325">
        <f>Other_input_data!D8/Other_input_data!D48</f>
        <v>5.994256999282125E-2</v>
      </c>
      <c r="E84" s="325">
        <f>Other_input_data!E8/Other_input_data!E48</f>
        <v>9.5270500170125897E-3</v>
      </c>
      <c r="F84" s="325">
        <f>Other_input_data!F8/Other_input_data!F48</f>
        <v>5.5452865064695009E-3</v>
      </c>
      <c r="G84" s="325">
        <f>Other_input_data!G8/Other_input_data!G48</f>
        <v>6.7164179104477612E-3</v>
      </c>
      <c r="H84" s="325">
        <f>Other_input_data!H8/Other_input_data!H48</f>
        <v>8.5592011412268191E-3</v>
      </c>
      <c r="I84" s="325">
        <f>Other_input_data!I8/Other_input_data!I48</f>
        <v>1.5092879256965945E-2</v>
      </c>
      <c r="J84" s="325">
        <f>Other_input_data!J8/Other_input_data!J48</f>
        <v>9.071117561683599E-3</v>
      </c>
      <c r="K84" s="325">
        <f>Other_input_data!K8/Other_input_data!K48</f>
        <v>9.1480846197827342E-2</v>
      </c>
      <c r="L84" s="325">
        <f>Other_input_data!L8/Other_input_data!L48</f>
        <v>0.18169236852510873</v>
      </c>
    </row>
    <row r="85" spans="1:35" ht="24" x14ac:dyDescent="0.2">
      <c r="A85" s="322" t="s">
        <v>449</v>
      </c>
      <c r="B85" s="323">
        <f>Other_input_data!B30/Other_input_data!B56</f>
        <v>0.42321116928446761</v>
      </c>
      <c r="C85" s="323">
        <f>Other_input_data!C30/Other_input_data!C56</f>
        <v>0.2074882995319812</v>
      </c>
      <c r="D85" s="323">
        <f>Other_input_data!D30/Other_input_data!D56</f>
        <v>0.13535439795046966</v>
      </c>
      <c r="E85" s="323">
        <f>Other_input_data!E30/Other_input_data!E56</f>
        <v>-0.12221737232649497</v>
      </c>
      <c r="F85" s="323">
        <f>Other_input_data!F30/Other_input_data!F56</f>
        <v>-0.10283018867924525</v>
      </c>
      <c r="G85" s="323">
        <f>Other_input_data!G30/Other_input_data!G56</f>
        <v>7.1564885496183242E-2</v>
      </c>
      <c r="H85" s="323">
        <f>Other_input_data!H30/Other_input_data!H56</f>
        <v>7.5070821529745035E-2</v>
      </c>
      <c r="I85" s="323">
        <f>Other_input_data!I30/Other_input_data!I56</f>
        <v>8.8319088319088315E-2</v>
      </c>
      <c r="J85" s="323">
        <f>Other_input_data!J30/Other_input_data!J56</f>
        <v>2.5617566331198612E-2</v>
      </c>
      <c r="K85" s="323">
        <f>Other_input_data!K30/Other_input_data!K56</f>
        <v>0.44334975369458113</v>
      </c>
      <c r="L85" s="323">
        <f>Other_input_data!L30/Other_input_data!L56</f>
        <v>1.0290617215610296</v>
      </c>
    </row>
    <row r="86" spans="1:35" x14ac:dyDescent="0.2">
      <c r="A86" s="322" t="s">
        <v>450</v>
      </c>
      <c r="B86" s="323">
        <v>0.1</v>
      </c>
      <c r="C86" s="323">
        <v>0.1</v>
      </c>
      <c r="D86" s="323">
        <v>0.1</v>
      </c>
      <c r="E86" s="323">
        <v>0.1</v>
      </c>
      <c r="F86" s="323">
        <v>0.1</v>
      </c>
      <c r="G86" s="323">
        <v>0.1</v>
      </c>
      <c r="H86" s="323">
        <v>0.1</v>
      </c>
      <c r="I86" s="323">
        <v>0.1</v>
      </c>
      <c r="J86" s="323">
        <v>0.1</v>
      </c>
      <c r="K86" s="323">
        <v>0.1</v>
      </c>
      <c r="L86" s="326">
        <v>0.1</v>
      </c>
    </row>
    <row r="87" spans="1:35" x14ac:dyDescent="0.2">
      <c r="A87" s="322" t="s">
        <v>410</v>
      </c>
      <c r="B87" s="324">
        <f>Other_input_data!B56*(Analysis2!B70-Analysis2!B86)</f>
        <v>1.8839999999999988</v>
      </c>
      <c r="C87" s="324">
        <f>Other_input_data!C56*(Analysis2!C70-Analysis2!C86)</f>
        <v>0.85666580976863571</v>
      </c>
      <c r="D87" s="324">
        <f>Other_input_data!D56*(Analysis2!D70-Analysis2!D86)</f>
        <v>-0.97084920634920735</v>
      </c>
      <c r="E87" s="324">
        <f>Other_input_data!E56*(Analysis2!E70-Analysis2!E86)</f>
        <v>-4.2691818181818189</v>
      </c>
      <c r="F87" s="324">
        <f>Other_input_data!F56*(Analysis2!F70-Analysis2!F86)</f>
        <v>-3.4583544303797464</v>
      </c>
      <c r="G87" s="324">
        <f>Other_input_data!G56*(Analysis2!G70-Analysis2!G86)</f>
        <v>-1.051357142857142</v>
      </c>
      <c r="H87" s="324">
        <f>Other_input_data!H56*(Analysis2!H70-Analysis2!H86)</f>
        <v>-0.8111506849315071</v>
      </c>
      <c r="I87" s="324">
        <f>Other_input_data!I56*(Analysis2!I70-Analysis2!I86)</f>
        <v>-0.93840875912408794</v>
      </c>
      <c r="J87" s="324">
        <f>Other_input_data!J56*(Analysis2!J70-Analysis2!J86)</f>
        <v>-1.9993333333333261</v>
      </c>
      <c r="K87" s="324">
        <f>Other_input_data!K56*(Analysis2!K70-Analysis2!K86)</f>
        <v>5.2462272727272694</v>
      </c>
      <c r="L87" s="324">
        <f>Other_input_data!L56*(Analysis2!L70-Analysis2!L86)</f>
        <v>24.425366242899653</v>
      </c>
    </row>
    <row r="88" spans="1:35" x14ac:dyDescent="0.2">
      <c r="A88" s="322" t="s">
        <v>451</v>
      </c>
      <c r="B88" s="323">
        <f>B87/Other_input_data!B25</f>
        <v>0.14661478599221781</v>
      </c>
      <c r="C88" s="323">
        <f>C87/Other_input_data!C25</f>
        <v>4.5640160349953954E-2</v>
      </c>
      <c r="D88" s="323">
        <f>D87/Other_input_data!D25</f>
        <v>-3.9821542508170937E-2</v>
      </c>
      <c r="E88" s="323">
        <f>E87/Other_input_data!E25</f>
        <v>-0.34540305972344815</v>
      </c>
      <c r="F88" s="323">
        <f>F87/Other_input_data!F25</f>
        <v>-0.40686522710349959</v>
      </c>
      <c r="G88" s="323">
        <f>G87/Other_input_data!G25</f>
        <v>-5.5016072363011093E-2</v>
      </c>
      <c r="H88" s="323">
        <f>H87/Other_input_data!H25</f>
        <v>-3.1222120282198118E-2</v>
      </c>
      <c r="I88" s="323">
        <f>I87/Other_input_data!I25</f>
        <v>-3.3042561940989014E-2</v>
      </c>
      <c r="J88" s="323">
        <f>J87/Other_input_data!J25</f>
        <v>-0.10237241850145039</v>
      </c>
      <c r="K88" s="323">
        <f>K87/Other_input_data!K25</f>
        <v>0.11805191882824639</v>
      </c>
      <c r="L88" s="323">
        <f>L87/Other_input_data!L25</f>
        <v>0.39949895719495671</v>
      </c>
    </row>
    <row r="89" spans="1:35" ht="15" customHeight="1" x14ac:dyDescent="0.2">
      <c r="A89" s="327" t="s">
        <v>452</v>
      </c>
      <c r="C89" s="328">
        <f>Other_input_data!C36</f>
        <v>35.171063199999999</v>
      </c>
      <c r="D89" s="328">
        <f>Other_input_data!D36</f>
        <v>14.1234444</v>
      </c>
      <c r="E89" s="328">
        <f>Other_input_data!E36</f>
        <v>4.8731394000000003</v>
      </c>
      <c r="F89" s="328">
        <f>Other_input_data!F36</f>
        <v>8.6681600000000003</v>
      </c>
      <c r="G89" s="328">
        <f>Other_input_data!G36</f>
        <v>7.3218864000000004</v>
      </c>
      <c r="H89" s="328">
        <f>Other_input_data!H36</f>
        <v>6.5542499999999997</v>
      </c>
      <c r="I89" s="328">
        <f>Other_input_data!I36</f>
        <v>10.303604999999999</v>
      </c>
      <c r="J89" s="328">
        <f>Other_input_data!J36</f>
        <v>10.992735</v>
      </c>
      <c r="K89" s="328">
        <f>Other_input_data!K36</f>
        <v>111.22780499999999</v>
      </c>
      <c r="L89" s="328">
        <f>Other_input_data!L36</f>
        <v>303.43950000000001</v>
      </c>
    </row>
    <row r="90" spans="1:35" ht="15" customHeight="1" x14ac:dyDescent="0.2">
      <c r="A90" s="329" t="s">
        <v>453</v>
      </c>
      <c r="B90" s="330"/>
      <c r="D90" s="331">
        <f t="shared" ref="D90:L90" si="8">D89-C89</f>
        <v>-21.047618799999999</v>
      </c>
      <c r="E90" s="331">
        <f t="shared" si="8"/>
        <v>-9.2503050000000009</v>
      </c>
      <c r="F90" s="331">
        <f t="shared" si="8"/>
        <v>3.7950206</v>
      </c>
      <c r="G90" s="331">
        <f t="shared" si="8"/>
        <v>-1.3462736</v>
      </c>
      <c r="H90" s="331">
        <f t="shared" si="8"/>
        <v>-0.76763640000000066</v>
      </c>
      <c r="I90" s="331">
        <f t="shared" si="8"/>
        <v>3.7493549999999995</v>
      </c>
      <c r="J90" s="331">
        <f t="shared" si="8"/>
        <v>0.68913000000000046</v>
      </c>
      <c r="K90" s="331">
        <f t="shared" si="8"/>
        <v>100.23506999999999</v>
      </c>
      <c r="L90" s="331">
        <f t="shared" si="8"/>
        <v>192.21169500000002</v>
      </c>
    </row>
    <row r="91" spans="1:35" x14ac:dyDescent="0.2">
      <c r="A91" s="332" t="s">
        <v>454</v>
      </c>
      <c r="B91" s="333"/>
      <c r="D91" s="333">
        <f t="shared" ref="D91:L91" si="9">D90-C87</f>
        <v>-21.904284609768634</v>
      </c>
      <c r="E91" s="333">
        <f t="shared" si="9"/>
        <v>-8.2794557936507935</v>
      </c>
      <c r="F91" s="333">
        <f t="shared" si="9"/>
        <v>8.0642024181818179</v>
      </c>
      <c r="G91" s="333">
        <f t="shared" si="9"/>
        <v>2.1120808303797465</v>
      </c>
      <c r="H91" s="333">
        <f t="shared" si="9"/>
        <v>0.28372074285714133</v>
      </c>
      <c r="I91" s="333">
        <f t="shared" si="9"/>
        <v>4.5605056849315062</v>
      </c>
      <c r="J91" s="333">
        <f t="shared" si="9"/>
        <v>1.6275387591240884</v>
      </c>
      <c r="K91" s="333">
        <f t="shared" si="9"/>
        <v>102.23440333333332</v>
      </c>
      <c r="L91" s="333">
        <f t="shared" si="9"/>
        <v>186.96546772727274</v>
      </c>
    </row>
    <row r="92" spans="1:35" x14ac:dyDescent="0.2">
      <c r="A92" s="259"/>
      <c r="B92" s="334"/>
      <c r="C92" s="334"/>
      <c r="D92" s="334"/>
      <c r="E92" s="334"/>
      <c r="F92" s="334"/>
      <c r="G92" s="334"/>
      <c r="H92" s="334"/>
      <c r="I92" s="334"/>
      <c r="J92" s="334"/>
      <c r="K92" s="334"/>
    </row>
    <row r="93" spans="1:35" ht="24" x14ac:dyDescent="0.2">
      <c r="A93" s="329" t="s">
        <v>455</v>
      </c>
      <c r="B93" s="335">
        <f>SUM(Other_input_data!C23:L23)/SUM(Other_input_data!C61:L61)</f>
        <v>0.63357120695004643</v>
      </c>
      <c r="C93" s="336"/>
      <c r="D93" s="337"/>
      <c r="E93" s="337"/>
      <c r="F93" s="337"/>
      <c r="G93" s="337"/>
      <c r="H93" s="337"/>
      <c r="I93" s="337"/>
      <c r="J93" s="337"/>
      <c r="K93" s="337"/>
    </row>
    <row r="94" spans="1:35" ht="24" x14ac:dyDescent="0.2">
      <c r="A94" s="329" t="s">
        <v>468</v>
      </c>
      <c r="B94" s="335">
        <f>SUM(Other_input_data!F23:L23)/SUM(Other_input_data!F61:L61)</f>
        <v>0.22658610271903326</v>
      </c>
      <c r="C94" s="338"/>
      <c r="D94" s="338"/>
      <c r="E94" s="338"/>
      <c r="F94" s="338"/>
      <c r="G94" s="338"/>
      <c r="H94" s="338"/>
      <c r="I94" s="338"/>
      <c r="J94" s="338"/>
      <c r="K94" s="338"/>
    </row>
    <row r="95" spans="1:35" ht="24" x14ac:dyDescent="0.2">
      <c r="A95" s="329" t="s">
        <v>469</v>
      </c>
      <c r="B95" s="335">
        <f>SUM(Other_input_data!H23:L23)/SUM(Other_input_data!H61:L61)</f>
        <v>0.23625922887612794</v>
      </c>
      <c r="C95" s="339"/>
      <c r="D95" s="339"/>
      <c r="E95" s="339"/>
      <c r="F95" s="339"/>
      <c r="G95" s="339"/>
      <c r="H95" s="339"/>
      <c r="I95" s="339"/>
      <c r="J95" s="339"/>
      <c r="K95" s="339"/>
    </row>
    <row r="96" spans="1:35" ht="24" x14ac:dyDescent="0.2">
      <c r="A96" s="329" t="s">
        <v>470</v>
      </c>
      <c r="B96" s="335">
        <f>SUM(Other_input_data!J23:L23)/SUM(Other_input_data!J61:L61)</f>
        <v>0.1760700389105059</v>
      </c>
      <c r="C96" s="340"/>
      <c r="D96" s="340"/>
      <c r="E96" s="340"/>
      <c r="F96" s="340"/>
      <c r="G96" s="340"/>
      <c r="H96" s="340"/>
      <c r="I96" s="340"/>
      <c r="J96" s="340"/>
      <c r="K96" s="340"/>
    </row>
    <row r="97" spans="1:2" ht="24" x14ac:dyDescent="0.2">
      <c r="A97" s="332" t="s">
        <v>456</v>
      </c>
      <c r="B97" s="333">
        <f>SUM(Other_input_data!C23:L23)/SUM(Other_input_data!C29:L29)</f>
        <v>1.4575303354746609</v>
      </c>
    </row>
    <row r="98" spans="1:2" x14ac:dyDescent="0.2">
      <c r="B98" s="341"/>
    </row>
    <row r="99" spans="1:2" ht="24" x14ac:dyDescent="0.2">
      <c r="A99" s="243" t="s">
        <v>457</v>
      </c>
      <c r="B99" s="342">
        <f>AVERAGE(J60:L60)</f>
        <v>0.35004188440895168</v>
      </c>
    </row>
    <row r="100" spans="1:2" ht="24" x14ac:dyDescent="0.2">
      <c r="A100" s="243" t="s">
        <v>458</v>
      </c>
      <c r="B100" s="342">
        <f>AVERAGE(H60:L60)</f>
        <v>0.25591048124008636</v>
      </c>
    </row>
    <row r="101" spans="1:2" ht="24" x14ac:dyDescent="0.2">
      <c r="A101" s="243" t="s">
        <v>459</v>
      </c>
      <c r="B101" s="343">
        <f>AVERAGE(J64:L64)</f>
        <v>1.4232021189222657</v>
      </c>
    </row>
    <row r="102" spans="1:2" ht="24" x14ac:dyDescent="0.2">
      <c r="A102" s="243" t="s">
        <v>460</v>
      </c>
      <c r="B102" s="343">
        <f>AVERAGE(H64:L64)</f>
        <v>1.368952653429123</v>
      </c>
    </row>
    <row r="103" spans="1:2" x14ac:dyDescent="0.2">
      <c r="A103" s="243" t="s">
        <v>461</v>
      </c>
      <c r="B103" s="342">
        <f>AVERAGE(J70:L70)</f>
        <v>0.36112545210337338</v>
      </c>
    </row>
    <row r="104" spans="1:2" x14ac:dyDescent="0.2">
      <c r="A104" s="243" t="s">
        <v>462</v>
      </c>
      <c r="B104" s="342">
        <f>AVERAGE(H70:L70)</f>
        <v>0.24010391618636642</v>
      </c>
    </row>
    <row r="105" spans="1:2" ht="24" x14ac:dyDescent="0.2">
      <c r="A105" s="243" t="s">
        <v>463</v>
      </c>
      <c r="B105" s="343">
        <f>AVERAGE(Other_input_data!J56:L56)</f>
        <v>28.126666666666665</v>
      </c>
    </row>
    <row r="106" spans="1:2" ht="24" x14ac:dyDescent="0.2">
      <c r="A106" s="243" t="s">
        <v>464</v>
      </c>
      <c r="B106" s="343">
        <f>AVERAGE(Other_input_data!G56:L56)</f>
        <v>24.596666666666668</v>
      </c>
    </row>
    <row r="107" spans="1:2" x14ac:dyDescent="0.2">
      <c r="A107" s="243" t="s">
        <v>465</v>
      </c>
      <c r="B107" s="344">
        <f>AVERAGE(J88:L88)</f>
        <v>0.13839281917391758</v>
      </c>
    </row>
    <row r="108" spans="1:2" x14ac:dyDescent="0.2">
      <c r="A108" s="243" t="s">
        <v>466</v>
      </c>
      <c r="B108" s="344">
        <f>AVERAGE(H88:L88)</f>
        <v>7.0182755059713123E-2</v>
      </c>
    </row>
  </sheetData>
  <sheetProtection selectLockedCells="1" selectUnlockedCells="1"/>
  <mergeCells count="8">
    <mergeCell ref="A15:D15"/>
    <mergeCell ref="A1:J1"/>
    <mergeCell ref="K1:AI1"/>
    <mergeCell ref="B74:K74"/>
    <mergeCell ref="B73:F73"/>
    <mergeCell ref="B72:D72"/>
    <mergeCell ref="A58:K58"/>
    <mergeCell ref="A63:K63"/>
  </mergeCells>
  <conditionalFormatting sqref="B7:E7 I7:J8 B8">
    <cfRule type="cellIs" dxfId="125" priority="92" operator="lessThan">
      <formula>-0.2</formula>
    </cfRule>
    <cfRule type="cellIs" dxfId="124" priority="93" operator="between">
      <formula>0</formula>
      <formula>0.1</formula>
    </cfRule>
    <cfRule type="cellIs" dxfId="123" priority="94" operator="between">
      <formula>0.1</formula>
      <formula>0.2</formula>
    </cfRule>
    <cfRule type="cellIs" dxfId="122" priority="95" operator="greaterThan">
      <formula>0.2</formula>
    </cfRule>
  </conditionalFormatting>
  <conditionalFormatting sqref="B7:E7 I7:J8 B8">
    <cfRule type="cellIs" dxfId="121" priority="85" operator="between">
      <formula>0</formula>
      <formula>-0.1</formula>
    </cfRule>
    <cfRule type="cellIs" dxfId="120" priority="91" operator="between">
      <formula>-0.1</formula>
      <formula>-0.2</formula>
    </cfRule>
  </conditionalFormatting>
  <conditionalFormatting sqref="C7 I7:J8 B8">
    <cfRule type="cellIs" dxfId="119" priority="90" operator="between">
      <formula>-0.1</formula>
      <formula>-0.2</formula>
    </cfRule>
  </conditionalFormatting>
  <conditionalFormatting sqref="D7">
    <cfRule type="cellIs" dxfId="118" priority="89" operator="between">
      <formula>-0.1</formula>
      <formula>-0.2</formula>
    </cfRule>
  </conditionalFormatting>
  <conditionalFormatting sqref="E7">
    <cfRule type="cellIs" dxfId="117" priority="88" operator="between">
      <formula>-0.1</formula>
      <formula>-0.2</formula>
    </cfRule>
  </conditionalFormatting>
  <conditionalFormatting sqref="G11">
    <cfRule type="cellIs" dxfId="116" priority="81" operator="lessThan">
      <formula>0</formula>
    </cfRule>
    <cfRule type="cellIs" dxfId="115" priority="82" operator="between">
      <formula>0</formula>
      <formula>0.5</formula>
    </cfRule>
    <cfRule type="cellIs" dxfId="114" priority="83" operator="between">
      <formula>0.5</formula>
      <formula>1</formula>
    </cfRule>
    <cfRule type="cellIs" dxfId="113" priority="84" operator="greaterThanOrEqual">
      <formula>1</formula>
    </cfRule>
  </conditionalFormatting>
  <conditionalFormatting sqref="G12:G14">
    <cfRule type="cellIs" dxfId="112" priority="77" operator="lessThan">
      <formula>0</formula>
    </cfRule>
    <cfRule type="cellIs" dxfId="111" priority="78" operator="between">
      <formula>0</formula>
      <formula>0.5</formula>
    </cfRule>
    <cfRule type="cellIs" dxfId="110" priority="79" operator="between">
      <formula>0.5</formula>
      <formula>1</formula>
    </cfRule>
    <cfRule type="cellIs" dxfId="109" priority="80" operator="greaterThanOrEqual">
      <formula>1</formula>
    </cfRule>
  </conditionalFormatting>
  <conditionalFormatting sqref="K11:K14">
    <cfRule type="cellIs" dxfId="108" priority="75" operator="lessThanOrEqual">
      <formula>0</formula>
    </cfRule>
    <cfRule type="cellIs" dxfId="107" priority="76" operator="greaterThan">
      <formula>0</formula>
    </cfRule>
  </conditionalFormatting>
  <conditionalFormatting sqref="M11:M14">
    <cfRule type="cellIs" dxfId="106" priority="69" operator="lessThan">
      <formula>-0.2</formula>
    </cfRule>
    <cfRule type="cellIs" dxfId="105" priority="70" operator="between">
      <formula>0</formula>
      <formula>0.1</formula>
    </cfRule>
    <cfRule type="cellIs" dxfId="104" priority="71" operator="between">
      <formula>0.1</formula>
      <formula>0.2</formula>
    </cfRule>
    <cfRule type="cellIs" dxfId="103" priority="72" operator="greaterThan">
      <formula>0.2</formula>
    </cfRule>
  </conditionalFormatting>
  <conditionalFormatting sqref="M11:M14">
    <cfRule type="cellIs" dxfId="102" priority="66" operator="between">
      <formula>0</formula>
      <formula>-0.1</formula>
    </cfRule>
    <cfRule type="cellIs" dxfId="101" priority="68" operator="between">
      <formula>-0.1</formula>
      <formula>-0.2</formula>
    </cfRule>
  </conditionalFormatting>
  <conditionalFormatting sqref="M11:M14">
    <cfRule type="cellIs" dxfId="100" priority="67" operator="between">
      <formula>-0.1</formula>
      <formula>-0.2</formula>
    </cfRule>
  </conditionalFormatting>
  <conditionalFormatting sqref="N11:N14">
    <cfRule type="cellIs" dxfId="99" priority="62" operator="lessThan">
      <formula>-0.2</formula>
    </cfRule>
    <cfRule type="cellIs" dxfId="98" priority="63" operator="between">
      <formula>0</formula>
      <formula>0.1</formula>
    </cfRule>
    <cfRule type="cellIs" dxfId="97" priority="64" operator="between">
      <formula>0.1</formula>
      <formula>0.2</formula>
    </cfRule>
    <cfRule type="cellIs" dxfId="96" priority="65" operator="greaterThan">
      <formula>0.2</formula>
    </cfRule>
  </conditionalFormatting>
  <conditionalFormatting sqref="N11:N14">
    <cfRule type="cellIs" dxfId="95" priority="59" operator="between">
      <formula>0</formula>
      <formula>-0.1</formula>
    </cfRule>
    <cfRule type="cellIs" dxfId="94" priority="61" operator="between">
      <formula>-0.1</formula>
      <formula>-0.2</formula>
    </cfRule>
  </conditionalFormatting>
  <conditionalFormatting sqref="N11:N14">
    <cfRule type="cellIs" dxfId="93" priority="60" operator="between">
      <formula>-0.1</formula>
      <formula>-0.2</formula>
    </cfRule>
  </conditionalFormatting>
  <conditionalFormatting sqref="B18:B21">
    <cfRule type="cellIs" dxfId="92" priority="45" operator="lessThan">
      <formula>-0.2</formula>
    </cfRule>
    <cfRule type="cellIs" dxfId="91" priority="46" operator="between">
      <formula>0</formula>
      <formula>0.1</formula>
    </cfRule>
    <cfRule type="cellIs" dxfId="90" priority="47" operator="between">
      <formula>0.1</formula>
      <formula>0.2</formula>
    </cfRule>
    <cfRule type="cellIs" dxfId="89" priority="48" operator="greaterThan">
      <formula>0.2</formula>
    </cfRule>
  </conditionalFormatting>
  <conditionalFormatting sqref="B18:B21">
    <cfRule type="cellIs" dxfId="88" priority="43" operator="between">
      <formula>0</formula>
      <formula>-0.1</formula>
    </cfRule>
    <cfRule type="cellIs" dxfId="87" priority="44" operator="between">
      <formula>-0.1</formula>
      <formula>-0.2</formula>
    </cfRule>
  </conditionalFormatting>
  <conditionalFormatting sqref="D18:E21">
    <cfRule type="cellIs" dxfId="86" priority="39" operator="lessThan">
      <formula>-0.2</formula>
    </cfRule>
    <cfRule type="cellIs" dxfId="85" priority="40" operator="between">
      <formula>0</formula>
      <formula>0.1</formula>
    </cfRule>
    <cfRule type="cellIs" dxfId="84" priority="41" operator="between">
      <formula>0.1</formula>
      <formula>0.2</formula>
    </cfRule>
    <cfRule type="cellIs" dxfId="83" priority="42" operator="greaterThan">
      <formula>0.2</formula>
    </cfRule>
  </conditionalFormatting>
  <conditionalFormatting sqref="D18:E21">
    <cfRule type="cellIs" dxfId="82" priority="37" operator="between">
      <formula>0</formula>
      <formula>-0.1</formula>
    </cfRule>
    <cfRule type="cellIs" dxfId="81" priority="38" operator="between">
      <formula>-0.1</formula>
      <formula>-0.2</formula>
    </cfRule>
  </conditionalFormatting>
  <conditionalFormatting sqref="C18:C21">
    <cfRule type="cellIs" dxfId="80" priority="33" operator="lessThan">
      <formula>-0.2</formula>
    </cfRule>
    <cfRule type="cellIs" dxfId="79" priority="34" operator="between">
      <formula>0</formula>
      <formula>0.1</formula>
    </cfRule>
    <cfRule type="cellIs" dxfId="78" priority="35" operator="between">
      <formula>0.1</formula>
      <formula>0.2</formula>
    </cfRule>
    <cfRule type="cellIs" dxfId="77" priority="36" operator="greaterThan">
      <formula>0.2</formula>
    </cfRule>
  </conditionalFormatting>
  <conditionalFormatting sqref="C18:C21">
    <cfRule type="cellIs" dxfId="76" priority="31" operator="between">
      <formula>0</formula>
      <formula>-0.1</formula>
    </cfRule>
    <cfRule type="cellIs" dxfId="75" priority="32" operator="between">
      <formula>-0.1</formula>
      <formula>-0.2</formula>
    </cfRule>
  </conditionalFormatting>
  <conditionalFormatting sqref="L18">
    <cfRule type="expression" dxfId="74" priority="29">
      <formula>L18&lt;E18</formula>
    </cfRule>
    <cfRule type="expression" dxfId="73" priority="30">
      <formula>L18&gt;=E18</formula>
    </cfRule>
  </conditionalFormatting>
  <conditionalFormatting sqref="L19:L21">
    <cfRule type="expression" dxfId="72" priority="27">
      <formula>L19&lt;E19</formula>
    </cfRule>
    <cfRule type="expression" dxfId="71" priority="28">
      <formula>L19&gt;=E19</formula>
    </cfRule>
  </conditionalFormatting>
  <conditionalFormatting sqref="F18">
    <cfRule type="cellIs" dxfId="70" priority="24" operator="lessThan">
      <formula>0.1</formula>
    </cfRule>
    <cfRule type="cellIs" dxfId="69" priority="25" operator="between">
      <formula>0.1</formula>
      <formula>0.2</formula>
    </cfRule>
    <cfRule type="cellIs" dxfId="68" priority="26" operator="greaterThanOrEqual">
      <formula>0.2</formula>
    </cfRule>
  </conditionalFormatting>
  <conditionalFormatting sqref="F19:F21">
    <cfRule type="cellIs" dxfId="67" priority="21" operator="lessThan">
      <formula>0.1</formula>
    </cfRule>
    <cfRule type="cellIs" dxfId="66" priority="22" operator="between">
      <formula>0.1</formula>
      <formula>0.2</formula>
    </cfRule>
    <cfRule type="cellIs" dxfId="65" priority="23" operator="greaterThanOrEqual">
      <formula>0.2</formula>
    </cfRule>
  </conditionalFormatting>
  <conditionalFormatting sqref="M18:N21">
    <cfRule type="cellIs" dxfId="64" priority="17" operator="lessThan">
      <formula>-0.2</formula>
    </cfRule>
    <cfRule type="cellIs" dxfId="63" priority="18" operator="between">
      <formula>0</formula>
      <formula>0.1</formula>
    </cfRule>
    <cfRule type="cellIs" dxfId="62" priority="19" operator="between">
      <formula>0.1</formula>
      <formula>0.2</formula>
    </cfRule>
    <cfRule type="cellIs" dxfId="61" priority="20" operator="greaterThan">
      <formula>0.2</formula>
    </cfRule>
  </conditionalFormatting>
  <conditionalFormatting sqref="M18:N21">
    <cfRule type="cellIs" dxfId="60" priority="15" operator="between">
      <formula>0</formula>
      <formula>-0.1</formula>
    </cfRule>
    <cfRule type="cellIs" dxfId="59" priority="16" operator="between">
      <formula>-0.1</formula>
      <formula>-0.2</formula>
    </cfRule>
  </conditionalFormatting>
  <conditionalFormatting sqref="K7">
    <cfRule type="cellIs" dxfId="58" priority="13" operator="lessThan">
      <formula>0</formula>
    </cfRule>
    <cfRule type="cellIs" dxfId="57" priority="14" operator="greaterThan">
      <formula>0</formula>
    </cfRule>
  </conditionalFormatting>
  <conditionalFormatting sqref="L7:O7">
    <cfRule type="cellIs" dxfId="56" priority="11" operator="lessThan">
      <formula>0</formula>
    </cfRule>
    <cfRule type="cellIs" dxfId="55" priority="12" operator="greaterThan">
      <formula>0</formula>
    </cfRule>
  </conditionalFormatting>
  <conditionalFormatting sqref="P7">
    <cfRule type="expression" dxfId="54" priority="9">
      <formula>$P$7="Negative"</formula>
    </cfRule>
    <cfRule type="expression" dxfId="53" priority="10">
      <formula>$P$7="Positive"</formula>
    </cfRule>
  </conditionalFormatting>
  <conditionalFormatting sqref="Q7:R7">
    <cfRule type="expression" dxfId="52" priority="7">
      <formula>$P$7="Negative"</formula>
    </cfRule>
    <cfRule type="expression" dxfId="51" priority="8">
      <formula>$P$7="Positive"</formula>
    </cfRule>
  </conditionalFormatting>
  <conditionalFormatting sqref="S7">
    <cfRule type="cellIs" dxfId="50" priority="5" operator="lessThan">
      <formula>0</formula>
    </cfRule>
    <cfRule type="cellIs" dxfId="49" priority="6" operator="greaterThan">
      <formula>0</formula>
    </cfRule>
  </conditionalFormatting>
  <conditionalFormatting sqref="T7">
    <cfRule type="cellIs" dxfId="48" priority="3" operator="lessThan">
      <formula>0</formula>
    </cfRule>
    <cfRule type="cellIs" dxfId="47" priority="4" operator="greaterThan">
      <formula>0</formula>
    </cfRule>
  </conditionalFormatting>
  <conditionalFormatting sqref="X7:AD7">
    <cfRule type="cellIs" dxfId="46" priority="1" operator="lessThan">
      <formula>0</formula>
    </cfRule>
    <cfRule type="cellIs" dxfId="45" priority="2" operator="greaterThan">
      <formula>0</formula>
    </cfRule>
  </conditionalFormatting>
  <conditionalFormatting sqref="O11:P14">
    <cfRule type="expression" dxfId="44" priority="100">
      <formula>$O11&gt;=M11</formula>
    </cfRule>
    <cfRule type="expression" dxfId="43" priority="101">
      <formula>$O11&lt;M11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0"/>
  <sheetViews>
    <sheetView workbookViewId="0">
      <selection activeCell="B32" sqref="B32"/>
    </sheetView>
  </sheetViews>
  <sheetFormatPr defaultRowHeight="15" x14ac:dyDescent="0.25"/>
  <cols>
    <col min="1" max="1" width="29.7109375" bestFit="1" customWidth="1"/>
    <col min="2" max="2" width="10.42578125" customWidth="1"/>
    <col min="4" max="4" width="13.85546875" bestFit="1" customWidth="1"/>
    <col min="5" max="5" width="8.7109375" customWidth="1"/>
    <col min="6" max="6" width="10.140625" customWidth="1"/>
    <col min="7" max="7" width="8.5703125" customWidth="1"/>
    <col min="8" max="8" width="9.28515625" customWidth="1"/>
    <col min="9" max="9" width="13.85546875" bestFit="1" customWidth="1"/>
    <col min="10" max="10" width="8.7109375" customWidth="1"/>
    <col min="11" max="11" width="8.85546875" customWidth="1"/>
    <col min="12" max="12" width="5.140625" customWidth="1"/>
    <col min="13" max="13" width="3.5703125" customWidth="1"/>
    <col min="14" max="14" width="24.85546875" bestFit="1" customWidth="1"/>
    <col min="15" max="15" width="10.140625" customWidth="1"/>
    <col min="16" max="16" width="5.42578125" customWidth="1"/>
    <col min="17" max="17" width="24.85546875" bestFit="1" customWidth="1"/>
    <col min="18" max="18" width="13.7109375" customWidth="1"/>
  </cols>
  <sheetData>
    <row r="1" spans="1:19" ht="11.25" customHeight="1" x14ac:dyDescent="0.25">
      <c r="A1" s="456" t="str">
        <f>CONCATENATE('Data Sheet'!B1,"    : 3-Stage DCF")</f>
        <v>CUPID LTD    : 3-Stage DCF</v>
      </c>
      <c r="B1" s="457"/>
      <c r="C1" s="458"/>
      <c r="D1" s="193"/>
      <c r="E1" s="16"/>
      <c r="F1" s="16"/>
      <c r="G1" s="16"/>
      <c r="H1" s="16"/>
      <c r="I1" s="16"/>
      <c r="J1" s="16"/>
      <c r="K1" s="16"/>
      <c r="L1" s="16"/>
    </row>
    <row r="2" spans="1:19" ht="4.5" customHeight="1" thickBot="1" x14ac:dyDescent="0.3">
      <c r="A2" s="459"/>
      <c r="B2" s="460"/>
      <c r="C2" s="461"/>
      <c r="D2" s="193"/>
      <c r="M2" s="105"/>
    </row>
    <row r="3" spans="1:19" x14ac:dyDescent="0.25">
      <c r="A3" s="462" t="s">
        <v>276</v>
      </c>
      <c r="B3" s="462"/>
      <c r="C3" s="462"/>
      <c r="D3" s="466" t="s">
        <v>919</v>
      </c>
      <c r="E3" s="466"/>
      <c r="F3" s="35">
        <f>Analysis2!B24</f>
        <v>0.2543659832953683</v>
      </c>
      <c r="G3" s="374" t="s">
        <v>921</v>
      </c>
      <c r="H3" s="374"/>
      <c r="I3" s="382">
        <f>Analysis2!G14</f>
        <v>0.87884494664155688</v>
      </c>
      <c r="M3" s="105"/>
      <c r="N3" s="463" t="s">
        <v>934</v>
      </c>
      <c r="O3" s="464"/>
      <c r="P3" s="193"/>
      <c r="Q3" s="463" t="s">
        <v>763</v>
      </c>
      <c r="R3" s="464"/>
      <c r="S3" s="193"/>
    </row>
    <row r="4" spans="1:19" ht="15" customHeight="1" x14ac:dyDescent="0.25">
      <c r="A4" s="193" t="s">
        <v>927</v>
      </c>
      <c r="B4" s="37">
        <f>Analysis2!J13/3</f>
        <v>5.6466666666666656</v>
      </c>
      <c r="C4" s="193"/>
      <c r="D4" s="466" t="s">
        <v>920</v>
      </c>
      <c r="E4" s="466"/>
      <c r="F4" s="35">
        <f>AVERAGE('Financial Analysis'!F31:L31)</f>
        <v>3.9368976060089933E-2</v>
      </c>
      <c r="G4" s="466" t="s">
        <v>922</v>
      </c>
      <c r="H4" s="466"/>
      <c r="I4" s="382">
        <f>Analysis2!G12</f>
        <v>0.96976929196499595</v>
      </c>
      <c r="M4" s="105"/>
      <c r="N4" s="213" t="s">
        <v>292</v>
      </c>
      <c r="O4" s="212">
        <f>(B45*B30)+B45</f>
        <v>51.905150142219021</v>
      </c>
      <c r="P4" s="193"/>
      <c r="Q4" s="213" t="s">
        <v>292</v>
      </c>
      <c r="R4" s="212">
        <f>(G45*B31)+G45</f>
        <v>40.898996705543453</v>
      </c>
      <c r="S4" s="193"/>
    </row>
    <row r="5" spans="1:19" x14ac:dyDescent="0.25">
      <c r="A5" s="194" t="s">
        <v>759</v>
      </c>
      <c r="B5" s="381">
        <f>'Financial Analysis'!N46</f>
        <v>1.3396627068972298</v>
      </c>
      <c r="C5" s="193"/>
      <c r="D5" s="466" t="s">
        <v>923</v>
      </c>
      <c r="E5" s="466"/>
      <c r="F5" s="34">
        <f>'Financial Analysis'!L78</f>
        <v>1.6321406151914627E-2</v>
      </c>
      <c r="G5" s="466" t="s">
        <v>548</v>
      </c>
      <c r="H5" s="466"/>
      <c r="I5" s="383">
        <f>Other_input_data!L49</f>
        <v>15.55</v>
      </c>
      <c r="J5" s="107"/>
      <c r="K5" s="107"/>
      <c r="L5" s="107"/>
      <c r="M5" s="107"/>
      <c r="N5" s="214" t="s">
        <v>293</v>
      </c>
      <c r="O5" s="212">
        <f>SUM(D36:D45)</f>
        <v>192.46894949532228</v>
      </c>
      <c r="Q5" s="214" t="s">
        <v>293</v>
      </c>
      <c r="R5" s="212">
        <f>SUM(I36:I45)</f>
        <v>154.72452716841519</v>
      </c>
    </row>
    <row r="6" spans="1:19" x14ac:dyDescent="0.25">
      <c r="A6" s="194" t="s">
        <v>708</v>
      </c>
      <c r="B6" s="197">
        <v>0.2</v>
      </c>
      <c r="C6" s="193"/>
      <c r="D6" s="466" t="s">
        <v>924</v>
      </c>
      <c r="E6" s="466"/>
      <c r="F6" s="34">
        <f>AVERAGE('Financial Analysis'!H78:L78)</f>
        <v>1.0008768908722742E-2</v>
      </c>
      <c r="G6" s="466" t="s">
        <v>935</v>
      </c>
      <c r="H6" s="466"/>
      <c r="I6" s="375">
        <v>0.24</v>
      </c>
      <c r="N6" s="213" t="s">
        <v>294</v>
      </c>
      <c r="O6" s="212">
        <f>((O4)/($B$28-$B$30))/(1+$B$28)^A45</f>
        <v>250.14602905206041</v>
      </c>
      <c r="Q6" s="213" t="s">
        <v>294</v>
      </c>
      <c r="R6" s="212">
        <f>((R4)/($B$29-$B$31))/(1+$B$29)^F45</f>
        <v>157.68333724222794</v>
      </c>
    </row>
    <row r="7" spans="1:19" x14ac:dyDescent="0.25">
      <c r="A7" t="s">
        <v>951</v>
      </c>
      <c r="B7" s="32">
        <f>AVERAGE(Other_input_data!C23:L23)/AVERAGE(Other_input_data!C49:L49)</f>
        <v>0.12022372681778036</v>
      </c>
      <c r="C7" s="193"/>
      <c r="D7" s="466" t="s">
        <v>926</v>
      </c>
      <c r="E7" s="466"/>
      <c r="F7" s="40">
        <f>Analysis2!J14</f>
        <v>12.129999999999999</v>
      </c>
      <c r="G7" s="466" t="s">
        <v>7</v>
      </c>
      <c r="H7" s="466"/>
      <c r="I7" s="382">
        <f>AVERAGE('Financial Analysis'!H24:L24)</f>
        <v>9.9660619282301077E-2</v>
      </c>
      <c r="N7" s="213" t="s">
        <v>295</v>
      </c>
      <c r="O7" s="212">
        <f>O5+O6</f>
        <v>442.61497854738269</v>
      </c>
      <c r="P7" s="193"/>
      <c r="Q7" s="213" t="s">
        <v>295</v>
      </c>
      <c r="R7" s="212">
        <f>R5+R6</f>
        <v>312.40786441064313</v>
      </c>
    </row>
    <row r="8" spans="1:19" x14ac:dyDescent="0.25">
      <c r="A8" s="194"/>
      <c r="B8" s="219"/>
      <c r="C8" s="193"/>
      <c r="D8" s="466" t="s">
        <v>949</v>
      </c>
      <c r="E8" s="466"/>
      <c r="F8" s="35">
        <f>Analysis2!B21</f>
        <v>0.37578757875787594</v>
      </c>
      <c r="G8" s="466" t="s">
        <v>950</v>
      </c>
      <c r="H8" s="466"/>
      <c r="I8" s="35">
        <f>Analysis2!B19</f>
        <v>0.26186515937828236</v>
      </c>
      <c r="N8" s="213" t="s">
        <v>296</v>
      </c>
      <c r="O8" s="216">
        <f>B32</f>
        <v>1.1119955979457079</v>
      </c>
      <c r="P8" s="193"/>
      <c r="Q8" s="213" t="s">
        <v>296</v>
      </c>
      <c r="R8" s="216">
        <f>B32</f>
        <v>1.1119955979457079</v>
      </c>
    </row>
    <row r="9" spans="1:19" ht="15.75" thickBot="1" x14ac:dyDescent="0.3">
      <c r="A9" s="194"/>
      <c r="B9" s="219"/>
      <c r="C9" s="193"/>
      <c r="D9" s="374"/>
      <c r="E9" s="374"/>
      <c r="N9" s="217" t="s">
        <v>297</v>
      </c>
      <c r="O9" s="218">
        <f>(O7-B33)/O8</f>
        <v>398.09058539905828</v>
      </c>
      <c r="P9" s="193"/>
      <c r="Q9" s="217" t="s">
        <v>297</v>
      </c>
      <c r="R9" s="218">
        <f>(R7-B33)/R8</f>
        <v>280.99739332412275</v>
      </c>
    </row>
    <row r="10" spans="1:19" ht="13.5" customHeight="1" thickBot="1" x14ac:dyDescent="0.3">
      <c r="A10" s="195" t="s">
        <v>278</v>
      </c>
      <c r="B10" s="224">
        <v>1</v>
      </c>
      <c r="C10" s="224">
        <v>2</v>
      </c>
      <c r="D10" s="225">
        <v>3</v>
      </c>
      <c r="E10" s="196">
        <v>4</v>
      </c>
      <c r="F10" s="196">
        <v>5</v>
      </c>
      <c r="G10" s="196">
        <v>6</v>
      </c>
      <c r="H10" s="196">
        <v>7</v>
      </c>
      <c r="I10" s="196">
        <v>8</v>
      </c>
      <c r="J10" s="196">
        <v>9</v>
      </c>
      <c r="K10" s="196">
        <v>10</v>
      </c>
      <c r="N10" s="385" t="s">
        <v>941</v>
      </c>
      <c r="O10" s="215">
        <f>O5/O7</f>
        <v>0.43484508844907549</v>
      </c>
      <c r="P10" s="163"/>
      <c r="Q10" s="385" t="s">
        <v>941</v>
      </c>
      <c r="R10" s="215">
        <f>R5/R7</f>
        <v>0.49526450769830244</v>
      </c>
      <c r="S10" s="193"/>
    </row>
    <row r="11" spans="1:19" ht="13.5" customHeight="1" x14ac:dyDescent="0.25">
      <c r="A11" s="195" t="s">
        <v>88</v>
      </c>
      <c r="B11" s="197">
        <v>0.24</v>
      </c>
      <c r="C11" s="197">
        <v>0.24</v>
      </c>
      <c r="D11" s="197">
        <v>0.24</v>
      </c>
      <c r="E11" s="197">
        <v>0.2</v>
      </c>
      <c r="F11" s="197">
        <v>0.2</v>
      </c>
      <c r="G11" s="197">
        <v>0.16</v>
      </c>
      <c r="H11" s="197">
        <v>0.16</v>
      </c>
      <c r="I11" s="197">
        <v>0.12</v>
      </c>
      <c r="J11" s="197">
        <v>0.08</v>
      </c>
      <c r="K11" s="197">
        <v>0.06</v>
      </c>
      <c r="N11" s="385" t="s">
        <v>942</v>
      </c>
      <c r="O11" s="215">
        <f>O6/O7</f>
        <v>0.56515491155092445</v>
      </c>
      <c r="P11" s="163"/>
      <c r="Q11" s="385" t="s">
        <v>942</v>
      </c>
      <c r="R11" s="215">
        <f>R6/R7</f>
        <v>0.50473549230169756</v>
      </c>
      <c r="S11" s="193"/>
    </row>
    <row r="12" spans="1:19" ht="13.5" customHeight="1" x14ac:dyDescent="0.25">
      <c r="A12" s="195" t="s">
        <v>918</v>
      </c>
      <c r="B12" s="376">
        <f>'Data Sheet'!L17*(1+B11)</f>
        <v>75.813599999999994</v>
      </c>
      <c r="C12" s="376">
        <f>B12*(1+C11)</f>
        <v>94.008863999999988</v>
      </c>
      <c r="D12" s="376">
        <f t="shared" ref="D12:K12" si="0">C12*(1+D11)</f>
        <v>116.57099135999998</v>
      </c>
      <c r="E12" s="376">
        <f t="shared" si="0"/>
        <v>139.88518963199996</v>
      </c>
      <c r="F12" s="376">
        <f t="shared" si="0"/>
        <v>167.86222755839995</v>
      </c>
      <c r="G12" s="376">
        <f t="shared" si="0"/>
        <v>194.72018396774394</v>
      </c>
      <c r="H12" s="376">
        <f t="shared" si="0"/>
        <v>225.87541340258295</v>
      </c>
      <c r="I12" s="376">
        <f t="shared" si="0"/>
        <v>252.98046301089292</v>
      </c>
      <c r="J12" s="376">
        <f t="shared" si="0"/>
        <v>273.21890005176436</v>
      </c>
      <c r="K12" s="376">
        <f t="shared" si="0"/>
        <v>289.61203405487026</v>
      </c>
      <c r="S12" s="193"/>
    </row>
    <row r="13" spans="1:19" ht="13.5" customHeight="1" x14ac:dyDescent="0.25">
      <c r="A13" s="195" t="s">
        <v>97</v>
      </c>
      <c r="B13" s="423">
        <v>0.25</v>
      </c>
      <c r="C13" s="423">
        <v>0.25</v>
      </c>
      <c r="D13" s="423">
        <v>0.24</v>
      </c>
      <c r="E13" s="423">
        <v>0.23</v>
      </c>
      <c r="F13" s="423">
        <v>0.23</v>
      </c>
      <c r="G13" s="423">
        <v>0.22</v>
      </c>
      <c r="H13" s="423">
        <v>0.22</v>
      </c>
      <c r="I13" s="423">
        <v>0.22</v>
      </c>
      <c r="J13" s="423">
        <v>0.2</v>
      </c>
      <c r="K13" s="423">
        <v>0.2</v>
      </c>
    </row>
    <row r="14" spans="1:19" ht="13.5" customHeight="1" x14ac:dyDescent="0.25">
      <c r="A14" s="195" t="s">
        <v>355</v>
      </c>
      <c r="B14" s="377">
        <f>B12*B13</f>
        <v>18.953399999999998</v>
      </c>
      <c r="C14" s="377">
        <f t="shared" ref="C14:K14" si="1">C12*C13</f>
        <v>23.502215999999997</v>
      </c>
      <c r="D14" s="377">
        <f t="shared" si="1"/>
        <v>27.977037926399994</v>
      </c>
      <c r="E14" s="377">
        <f t="shared" si="1"/>
        <v>32.173593615359991</v>
      </c>
      <c r="F14" s="377">
        <f t="shared" si="1"/>
        <v>38.608312338431993</v>
      </c>
      <c r="G14" s="377">
        <f t="shared" si="1"/>
        <v>42.838440472903663</v>
      </c>
      <c r="H14" s="377">
        <f t="shared" si="1"/>
        <v>49.692590948568252</v>
      </c>
      <c r="I14" s="377">
        <f t="shared" si="1"/>
        <v>55.655701862396441</v>
      </c>
      <c r="J14" s="377">
        <f t="shared" si="1"/>
        <v>54.643780010352877</v>
      </c>
      <c r="K14" s="377">
        <f t="shared" si="1"/>
        <v>57.922406810974053</v>
      </c>
    </row>
    <row r="15" spans="1:19" ht="13.5" customHeight="1" x14ac:dyDescent="0.25">
      <c r="A15" s="195" t="s">
        <v>412</v>
      </c>
      <c r="B15" s="377">
        <f t="shared" ref="B15:K15" si="2">MIN($I$3,$I$4)*B14</f>
        <v>16.657099811676083</v>
      </c>
      <c r="C15" s="377">
        <f t="shared" si="2"/>
        <v>20.654803766478341</v>
      </c>
      <c r="D15" s="377">
        <f t="shared" si="2"/>
        <v>24.587478403615815</v>
      </c>
      <c r="E15" s="377">
        <f t="shared" si="2"/>
        <v>28.275600164158185</v>
      </c>
      <c r="F15" s="377">
        <f t="shared" si="2"/>
        <v>33.930720196989824</v>
      </c>
      <c r="G15" s="377">
        <f t="shared" si="2"/>
        <v>37.64834693161653</v>
      </c>
      <c r="H15" s="377">
        <f t="shared" si="2"/>
        <v>43.672082440675176</v>
      </c>
      <c r="I15" s="377">
        <f t="shared" si="2"/>
        <v>48.9127323335562</v>
      </c>
      <c r="J15" s="377">
        <f t="shared" si="2"/>
        <v>48.023409927491549</v>
      </c>
      <c r="K15" s="377">
        <f t="shared" si="2"/>
        <v>50.904814523141042</v>
      </c>
    </row>
    <row r="16" spans="1:19" ht="13.5" customHeight="1" x14ac:dyDescent="0.25">
      <c r="A16" s="195" t="s">
        <v>548</v>
      </c>
      <c r="B16" s="377">
        <f>I5*(1-I7)</f>
        <v>14.000277370160219</v>
      </c>
      <c r="C16" s="377">
        <f>(B16+B21)*(1-$I$7)</f>
        <v>14.057154149851705</v>
      </c>
      <c r="D16" s="377">
        <f t="shared" ref="D16:K16" si="3">(C16+C21)*(1-$I$7)</f>
        <v>14.114261994113024</v>
      </c>
      <c r="E16" s="377">
        <f t="shared" si="3"/>
        <v>14.171601841654764</v>
      </c>
      <c r="F16" s="377">
        <f t="shared" si="3"/>
        <v>14.112017794631539</v>
      </c>
      <c r="G16" s="377">
        <f t="shared" si="3"/>
        <v>14.052684266829734</v>
      </c>
      <c r="H16" s="377">
        <f t="shared" si="3"/>
        <v>13.877426457915751</v>
      </c>
      <c r="I16" s="377">
        <f t="shared" si="3"/>
        <v>13.704354373736068</v>
      </c>
      <c r="J16" s="377">
        <f t="shared" si="3"/>
        <v>13.420146656366271</v>
      </c>
      <c r="K16" s="377">
        <f t="shared" si="3"/>
        <v>13.030888430674096</v>
      </c>
    </row>
    <row r="17" spans="1:16" ht="13.5" customHeight="1" x14ac:dyDescent="0.25">
      <c r="A17" s="195" t="s">
        <v>937</v>
      </c>
      <c r="B17" s="424">
        <f>AVERAGE($B$7*(B11/$I$8),$B$7)</f>
        <v>0.11520451969193951</v>
      </c>
      <c r="C17" s="424">
        <f t="shared" ref="C17:K17" si="4">AVERAGE($B$7*(C11/$I$8),$B$7)</f>
        <v>0.11520451969193951</v>
      </c>
      <c r="D17" s="424">
        <f t="shared" si="4"/>
        <v>0.11520451969193951</v>
      </c>
      <c r="E17" s="424">
        <f t="shared" si="4"/>
        <v>0.10602241031143129</v>
      </c>
      <c r="F17" s="424">
        <f t="shared" si="4"/>
        <v>0.10602241031143129</v>
      </c>
      <c r="G17" s="424">
        <f t="shared" si="4"/>
        <v>9.6840300930923079E-2</v>
      </c>
      <c r="H17" s="424">
        <f t="shared" si="4"/>
        <v>9.6840300930923079E-2</v>
      </c>
      <c r="I17" s="424">
        <f t="shared" si="4"/>
        <v>8.7658191550414849E-2</v>
      </c>
      <c r="J17" s="424">
        <f t="shared" si="4"/>
        <v>7.8476082169906619E-2</v>
      </c>
      <c r="K17" s="424">
        <f t="shared" si="4"/>
        <v>7.3885027479652518E-2</v>
      </c>
    </row>
    <row r="18" spans="1:16" ht="13.5" customHeight="1" x14ac:dyDescent="0.25">
      <c r="A18" s="195" t="s">
        <v>939</v>
      </c>
      <c r="B18" s="379">
        <v>0</v>
      </c>
      <c r="C18" s="379">
        <v>0</v>
      </c>
      <c r="D18" s="379">
        <v>0</v>
      </c>
      <c r="E18" s="379">
        <v>0</v>
      </c>
      <c r="F18" s="379">
        <v>0</v>
      </c>
      <c r="G18" s="379">
        <v>0</v>
      </c>
      <c r="H18" s="379">
        <v>0</v>
      </c>
      <c r="I18" s="379">
        <v>0</v>
      </c>
      <c r="J18" s="379">
        <v>0</v>
      </c>
      <c r="K18" s="379">
        <v>0</v>
      </c>
    </row>
    <row r="19" spans="1:16" ht="13.5" customHeight="1" x14ac:dyDescent="0.25">
      <c r="A19" s="195" t="s">
        <v>938</v>
      </c>
      <c r="B19" s="378">
        <f>B17*B18</f>
        <v>0</v>
      </c>
      <c r="C19" s="378">
        <f t="shared" ref="C19:K19" si="5">C17*C18</f>
        <v>0</v>
      </c>
      <c r="D19" s="378">
        <f t="shared" si="5"/>
        <v>0</v>
      </c>
      <c r="E19" s="378">
        <f t="shared" si="5"/>
        <v>0</v>
      </c>
      <c r="F19" s="378">
        <f t="shared" si="5"/>
        <v>0</v>
      </c>
      <c r="G19" s="378">
        <f t="shared" si="5"/>
        <v>0</v>
      </c>
      <c r="H19" s="378">
        <f t="shared" si="5"/>
        <v>0</v>
      </c>
      <c r="I19" s="378">
        <f t="shared" si="5"/>
        <v>0</v>
      </c>
      <c r="J19" s="378">
        <f t="shared" si="5"/>
        <v>0</v>
      </c>
      <c r="K19" s="378">
        <f t="shared" si="5"/>
        <v>0</v>
      </c>
    </row>
    <row r="20" spans="1:16" ht="13.5" customHeight="1" x14ac:dyDescent="0.25">
      <c r="A20" s="195" t="s">
        <v>940</v>
      </c>
      <c r="B20" s="378">
        <f>B17+B19</f>
        <v>0.11520451969193951</v>
      </c>
      <c r="C20" s="378">
        <f t="shared" ref="C20:K20" si="6">C17+C19</f>
        <v>0.11520451969193951</v>
      </c>
      <c r="D20" s="378">
        <f t="shared" si="6"/>
        <v>0.11520451969193951</v>
      </c>
      <c r="E20" s="378">
        <f t="shared" si="6"/>
        <v>0.10602241031143129</v>
      </c>
      <c r="F20" s="378">
        <f t="shared" si="6"/>
        <v>0.10602241031143129</v>
      </c>
      <c r="G20" s="378">
        <f t="shared" si="6"/>
        <v>9.6840300930923079E-2</v>
      </c>
      <c r="H20" s="378">
        <f t="shared" si="6"/>
        <v>9.6840300930923079E-2</v>
      </c>
      <c r="I20" s="378">
        <f t="shared" si="6"/>
        <v>8.7658191550414849E-2</v>
      </c>
      <c r="J20" s="378">
        <f t="shared" si="6"/>
        <v>7.8476082169906619E-2</v>
      </c>
      <c r="K20" s="378">
        <f t="shared" si="6"/>
        <v>7.3885027479652518E-2</v>
      </c>
      <c r="O20" s="163"/>
      <c r="P20" s="163"/>
    </row>
    <row r="21" spans="1:16" ht="13.5" customHeight="1" x14ac:dyDescent="0.25">
      <c r="A21" s="195" t="s">
        <v>218</v>
      </c>
      <c r="B21" s="377">
        <f>B20*B16</f>
        <v>1.6128952299832382</v>
      </c>
      <c r="C21" s="377">
        <f t="shared" ref="C21:K21" si="7">C20*C16</f>
        <v>1.61944769206922</v>
      </c>
      <c r="D21" s="377">
        <f t="shared" si="7"/>
        <v>1.6260267738379872</v>
      </c>
      <c r="E21" s="377">
        <f t="shared" si="7"/>
        <v>1.5025073852261568</v>
      </c>
      <c r="F21" s="377">
        <f t="shared" si="7"/>
        <v>1.4961901409446448</v>
      </c>
      <c r="G21" s="377">
        <f t="shared" si="7"/>
        <v>1.3608661732870397</v>
      </c>
      <c r="H21" s="377">
        <f t="shared" si="7"/>
        <v>1.3438941543313152</v>
      </c>
      <c r="I21" s="377">
        <f t="shared" si="7"/>
        <v>1.2012989207677218</v>
      </c>
      <c r="J21" s="377">
        <f t="shared" si="7"/>
        <v>1.053160531737197</v>
      </c>
      <c r="K21" s="377">
        <f t="shared" si="7"/>
        <v>0.96278754978464165</v>
      </c>
      <c r="O21" s="163"/>
      <c r="P21" s="163"/>
    </row>
    <row r="22" spans="1:16" ht="13.5" customHeight="1" x14ac:dyDescent="0.25">
      <c r="A22" s="195" t="s">
        <v>925</v>
      </c>
      <c r="B22" s="380">
        <v>0</v>
      </c>
      <c r="C22" s="380">
        <v>0</v>
      </c>
      <c r="D22" s="380">
        <v>0</v>
      </c>
      <c r="E22" s="380">
        <v>0.1</v>
      </c>
      <c r="F22" s="380">
        <v>0</v>
      </c>
      <c r="G22" s="380">
        <v>0</v>
      </c>
      <c r="H22" s="380">
        <v>0</v>
      </c>
      <c r="I22" s="380">
        <v>0.1</v>
      </c>
      <c r="J22" s="380">
        <v>0</v>
      </c>
      <c r="K22" s="380">
        <v>0</v>
      </c>
      <c r="O22" s="163"/>
      <c r="P22" s="163"/>
    </row>
    <row r="23" spans="1:16" ht="13.5" customHeight="1" x14ac:dyDescent="0.25">
      <c r="A23" s="195" t="s">
        <v>765</v>
      </c>
      <c r="B23" s="377">
        <f>B14*($F$5*(1+B22))</f>
        <v>0.30934613935969868</v>
      </c>
      <c r="C23" s="377">
        <f t="shared" ref="C23:K23" si="8">C14*($F$5*(1+C22))</f>
        <v>0.38358921280602631</v>
      </c>
      <c r="D23" s="377">
        <f t="shared" si="8"/>
        <v>0.45662459892429369</v>
      </c>
      <c r="E23" s="377">
        <f t="shared" si="8"/>
        <v>0.57763011763923156</v>
      </c>
      <c r="F23" s="377">
        <f t="shared" si="8"/>
        <v>0.63014194651552535</v>
      </c>
      <c r="G23" s="377">
        <f t="shared" si="8"/>
        <v>0.69918358587287843</v>
      </c>
      <c r="H23" s="377">
        <f t="shared" si="8"/>
        <v>0.81105295961253898</v>
      </c>
      <c r="I23" s="377">
        <f t="shared" si="8"/>
        <v>0.99921724624264807</v>
      </c>
      <c r="J23" s="377">
        <f t="shared" si="8"/>
        <v>0.89186332722484296</v>
      </c>
      <c r="K23" s="377">
        <f t="shared" si="8"/>
        <v>0.94537512685833358</v>
      </c>
      <c r="O23" s="163"/>
      <c r="P23" s="163"/>
    </row>
    <row r="24" spans="1:16" ht="13.5" customHeight="1" x14ac:dyDescent="0.25">
      <c r="A24" s="195" t="s">
        <v>929</v>
      </c>
      <c r="B24" s="377">
        <f>B15-B21</f>
        <v>15.044204581692846</v>
      </c>
      <c r="C24" s="377">
        <f t="shared" ref="C24:K24" si="9">C15-C21</f>
        <v>19.035356074409123</v>
      </c>
      <c r="D24" s="377">
        <f t="shared" si="9"/>
        <v>22.961451629777827</v>
      </c>
      <c r="E24" s="377">
        <f t="shared" si="9"/>
        <v>26.773092778932028</v>
      </c>
      <c r="F24" s="377">
        <f t="shared" si="9"/>
        <v>32.434530056045176</v>
      </c>
      <c r="G24" s="377">
        <f t="shared" si="9"/>
        <v>36.287480758329487</v>
      </c>
      <c r="H24" s="377">
        <f t="shared" si="9"/>
        <v>42.32818828634386</v>
      </c>
      <c r="I24" s="377">
        <f t="shared" si="9"/>
        <v>47.71143341278848</v>
      </c>
      <c r="J24" s="377">
        <f t="shared" si="9"/>
        <v>46.970249395754351</v>
      </c>
      <c r="K24" s="377">
        <f t="shared" si="9"/>
        <v>49.942026973356398</v>
      </c>
      <c r="O24" s="163"/>
      <c r="P24" s="163"/>
    </row>
    <row r="25" spans="1:16" ht="13.5" customHeight="1" x14ac:dyDescent="0.25">
      <c r="A25" s="195" t="s">
        <v>928</v>
      </c>
      <c r="B25" s="377">
        <f t="shared" ref="B25:K25" si="10">B24*(1-$B$6)</f>
        <v>12.035363665354277</v>
      </c>
      <c r="C25" s="377">
        <f t="shared" si="10"/>
        <v>15.228284859527299</v>
      </c>
      <c r="D25" s="377">
        <f t="shared" si="10"/>
        <v>18.369161303822263</v>
      </c>
      <c r="E25" s="377">
        <f t="shared" si="10"/>
        <v>21.418474223145623</v>
      </c>
      <c r="F25" s="377">
        <f t="shared" si="10"/>
        <v>25.947624044836143</v>
      </c>
      <c r="G25" s="377">
        <f t="shared" si="10"/>
        <v>29.029984606663589</v>
      </c>
      <c r="H25" s="377">
        <f t="shared" si="10"/>
        <v>33.862550629075088</v>
      </c>
      <c r="I25" s="377">
        <f t="shared" si="10"/>
        <v>38.169146730230786</v>
      </c>
      <c r="J25" s="377">
        <f t="shared" si="10"/>
        <v>37.576199516603481</v>
      </c>
      <c r="K25" s="377">
        <f t="shared" si="10"/>
        <v>39.953621578685123</v>
      </c>
      <c r="O25" s="163"/>
      <c r="P25" s="163"/>
    </row>
    <row r="26" spans="1:16" x14ac:dyDescent="0.25">
      <c r="A26" s="194" t="s">
        <v>930</v>
      </c>
      <c r="B26" s="381">
        <f>(B24-F7)/F7</f>
        <v>0.24024769840831384</v>
      </c>
      <c r="C26" s="381">
        <f>(C24-B24)/B24</f>
        <v>0.26529494936362885</v>
      </c>
      <c r="D26" s="381">
        <f t="shared" ref="D26:K27" si="11">(D24-C24)/C24</f>
        <v>0.20625280346853581</v>
      </c>
      <c r="E26" s="381">
        <f t="shared" si="11"/>
        <v>0.16600174982887539</v>
      </c>
      <c r="F26" s="381">
        <f t="shared" si="11"/>
        <v>0.21145996556543442</v>
      </c>
      <c r="G26" s="381">
        <f t="shared" si="11"/>
        <v>0.11879163026646641</v>
      </c>
      <c r="H26" s="381">
        <f t="shared" si="11"/>
        <v>0.16646808766485613</v>
      </c>
      <c r="I26" s="381">
        <f t="shared" si="11"/>
        <v>0.12717872756631521</v>
      </c>
      <c r="J26" s="381">
        <f t="shared" si="11"/>
        <v>-1.5534725411026191E-2</v>
      </c>
      <c r="K26" s="381">
        <f t="shared" si="11"/>
        <v>6.3269359133329761E-2</v>
      </c>
      <c r="O26" s="163"/>
      <c r="P26" s="163"/>
    </row>
    <row r="27" spans="1:16" x14ac:dyDescent="0.25">
      <c r="A27" s="194" t="s">
        <v>761</v>
      </c>
      <c r="B27" s="381">
        <f>(B25-$F$7)/$F$7</f>
        <v>-7.8018412733489029E-3</v>
      </c>
      <c r="C27" s="381">
        <f>(C25-B25)/B25</f>
        <v>0.26529494936362896</v>
      </c>
      <c r="D27" s="381">
        <f t="shared" si="11"/>
        <v>0.20625280346853583</v>
      </c>
      <c r="E27" s="381">
        <f t="shared" si="11"/>
        <v>0.16600174982887525</v>
      </c>
      <c r="F27" s="381">
        <f t="shared" si="11"/>
        <v>0.21145996556543453</v>
      </c>
      <c r="G27" s="381">
        <f t="shared" si="11"/>
        <v>0.11879163026646632</v>
      </c>
      <c r="H27" s="381">
        <f t="shared" si="11"/>
        <v>0.16646808766485613</v>
      </c>
      <c r="I27" s="381">
        <f t="shared" si="11"/>
        <v>0.12717872756631526</v>
      </c>
      <c r="J27" s="381">
        <f t="shared" si="11"/>
        <v>-1.5534725411026228E-2</v>
      </c>
      <c r="K27" s="381">
        <f t="shared" si="11"/>
        <v>6.3269359133329872E-2</v>
      </c>
      <c r="O27" s="163"/>
      <c r="P27" s="163"/>
    </row>
    <row r="28" spans="1:16" x14ac:dyDescent="0.25">
      <c r="A28" s="194" t="s">
        <v>931</v>
      </c>
      <c r="B28" s="197">
        <v>0.1</v>
      </c>
      <c r="C28" s="198"/>
      <c r="D28" s="198"/>
    </row>
    <row r="29" spans="1:16" x14ac:dyDescent="0.25">
      <c r="A29" s="194" t="s">
        <v>762</v>
      </c>
      <c r="B29" s="197">
        <v>0.1</v>
      </c>
      <c r="C29" s="198"/>
      <c r="D29" s="198"/>
    </row>
    <row r="30" spans="1:16" x14ac:dyDescent="0.25">
      <c r="A30" s="194" t="s">
        <v>932</v>
      </c>
      <c r="B30" s="197">
        <v>0.02</v>
      </c>
      <c r="C30" s="198"/>
      <c r="D30" s="198"/>
      <c r="M30" s="72"/>
    </row>
    <row r="31" spans="1:16" x14ac:dyDescent="0.25">
      <c r="A31" s="194" t="s">
        <v>933</v>
      </c>
      <c r="B31" s="197">
        <v>0</v>
      </c>
      <c r="C31" s="198"/>
      <c r="D31" s="198"/>
      <c r="M31" s="72"/>
    </row>
    <row r="32" spans="1:16" x14ac:dyDescent="0.25">
      <c r="A32" s="194" t="s">
        <v>282</v>
      </c>
      <c r="B32" s="384">
        <f>'Data Sheet'!B6</f>
        <v>1.1119955979457079</v>
      </c>
      <c r="C32" s="193"/>
      <c r="D32" s="193"/>
      <c r="M32" s="105"/>
    </row>
    <row r="33" spans="1:13" x14ac:dyDescent="0.25">
      <c r="A33" s="199" t="s">
        <v>283</v>
      </c>
      <c r="B33" s="384">
        <f>'Data Sheet'!L59-'Data Sheet'!L64</f>
        <v>-0.06</v>
      </c>
      <c r="C33" s="193"/>
      <c r="D33" s="193"/>
      <c r="M33" s="105"/>
    </row>
    <row r="34" spans="1:13" ht="18" customHeight="1" thickBot="1" x14ac:dyDescent="0.3">
      <c r="A34" s="465" t="s">
        <v>934</v>
      </c>
      <c r="B34" s="465"/>
      <c r="C34" s="465"/>
      <c r="D34" s="465"/>
      <c r="F34" s="465" t="s">
        <v>764</v>
      </c>
      <c r="G34" s="465"/>
      <c r="H34" s="465"/>
      <c r="I34" s="465"/>
    </row>
    <row r="35" spans="1:13" x14ac:dyDescent="0.25">
      <c r="A35" s="200" t="s">
        <v>285</v>
      </c>
      <c r="B35" s="201" t="s">
        <v>286</v>
      </c>
      <c r="C35" s="201" t="s">
        <v>287</v>
      </c>
      <c r="D35" s="202" t="s">
        <v>288</v>
      </c>
      <c r="F35" s="220" t="s">
        <v>285</v>
      </c>
      <c r="G35" s="201" t="s">
        <v>286</v>
      </c>
      <c r="H35" s="201" t="s">
        <v>287</v>
      </c>
      <c r="I35" s="221" t="s">
        <v>288</v>
      </c>
    </row>
    <row r="36" spans="1:13" x14ac:dyDescent="0.25">
      <c r="A36" s="203">
        <v>1</v>
      </c>
      <c r="B36" s="204">
        <f>B24+B23</f>
        <v>15.353550721052544</v>
      </c>
      <c r="C36" s="205">
        <f>B26</f>
        <v>0.24024769840831384</v>
      </c>
      <c r="D36" s="206">
        <f>B36/((1+$B$28)^A36)</f>
        <v>13.95777338277504</v>
      </c>
      <c r="F36" s="203">
        <v>1</v>
      </c>
      <c r="G36" s="204">
        <f>B25+B23</f>
        <v>12.344709804713975</v>
      </c>
      <c r="H36" s="205">
        <f>B27</f>
        <v>-7.8018412733489029E-3</v>
      </c>
      <c r="I36" s="206">
        <f>G36/((1+$B$29)^F36)</f>
        <v>11.222463458830886</v>
      </c>
    </row>
    <row r="37" spans="1:13" x14ac:dyDescent="0.25">
      <c r="A37" s="203">
        <v>2</v>
      </c>
      <c r="B37" s="204">
        <f>C24+C23</f>
        <v>19.418945287215148</v>
      </c>
      <c r="C37" s="205">
        <f>(B37-B36)/B36</f>
        <v>0.26478530211179097</v>
      </c>
      <c r="D37" s="206">
        <f t="shared" ref="D37:D45" si="12">B37/((1+$B$28)^A37)</f>
        <v>16.048715113400945</v>
      </c>
      <c r="F37" s="203">
        <v>2</v>
      </c>
      <c r="G37" s="204">
        <f>C25+C23</f>
        <v>15.611874072333325</v>
      </c>
      <c r="H37" s="205">
        <f>(G37-G36)/G36</f>
        <v>0.26466108311203429</v>
      </c>
      <c r="I37" s="206">
        <f>G37/((1+$B$29)^F37)</f>
        <v>12.902375266391177</v>
      </c>
    </row>
    <row r="38" spans="1:13" x14ac:dyDescent="0.25">
      <c r="A38" s="203">
        <v>3</v>
      </c>
      <c r="B38" s="204">
        <f>D24+D23</f>
        <v>23.41807622870212</v>
      </c>
      <c r="C38" s="205">
        <f t="shared" ref="C38:C45" si="13">(B38-B37)/B37</f>
        <v>0.20593965750137208</v>
      </c>
      <c r="D38" s="206">
        <f t="shared" si="12"/>
        <v>17.5943472792653</v>
      </c>
      <c r="F38" s="203">
        <v>3</v>
      </c>
      <c r="G38" s="204">
        <f>D25+D23</f>
        <v>18.825785902746556</v>
      </c>
      <c r="H38" s="205">
        <f t="shared" ref="H38:H45" si="14">(G38-G37)/G37</f>
        <v>0.20586329453609825</v>
      </c>
      <c r="I38" s="206">
        <f>G38/((1+$B$29)^F38)</f>
        <v>14.144091587337755</v>
      </c>
    </row>
    <row r="39" spans="1:13" x14ac:dyDescent="0.25">
      <c r="A39" s="203">
        <v>4</v>
      </c>
      <c r="B39" s="204">
        <f>E24+E23</f>
        <v>27.350722896571259</v>
      </c>
      <c r="C39" s="205">
        <f t="shared" si="13"/>
        <v>0.16793209781464169</v>
      </c>
      <c r="D39" s="206">
        <f t="shared" si="12"/>
        <v>18.680911752319684</v>
      </c>
      <c r="F39" s="203">
        <v>4</v>
      </c>
      <c r="G39" s="204">
        <f>E25+E23</f>
        <v>21.996104340784854</v>
      </c>
      <c r="H39" s="205">
        <f t="shared" si="14"/>
        <v>0.16840297953116362</v>
      </c>
      <c r="I39" s="206">
        <f>G39/((1+$B$29)^F39)</f>
        <v>15.02363523037009</v>
      </c>
    </row>
    <row r="40" spans="1:13" x14ac:dyDescent="0.25">
      <c r="A40" s="203">
        <v>5</v>
      </c>
      <c r="B40" s="204">
        <f>F24+F23</f>
        <v>33.064672002560698</v>
      </c>
      <c r="C40" s="205">
        <f t="shared" si="13"/>
        <v>0.20891400668264423</v>
      </c>
      <c r="D40" s="206">
        <f t="shared" si="12"/>
        <v>20.530559886346989</v>
      </c>
      <c r="F40" s="203">
        <v>5</v>
      </c>
      <c r="G40" s="204">
        <f>F25+F23</f>
        <v>26.577765991351669</v>
      </c>
      <c r="H40" s="205">
        <f t="shared" si="14"/>
        <v>0.2082942315413355</v>
      </c>
      <c r="I40" s="206">
        <f>G40/((1+$B$29)^F40)</f>
        <v>16.502701623306692</v>
      </c>
    </row>
    <row r="41" spans="1:13" x14ac:dyDescent="0.25">
      <c r="A41" s="203">
        <v>6</v>
      </c>
      <c r="B41" s="204">
        <f>G24+G23</f>
        <v>36.986664344202367</v>
      </c>
      <c r="C41" s="205">
        <f t="shared" si="13"/>
        <v>0.1186157945658112</v>
      </c>
      <c r="D41" s="206">
        <f t="shared" si="12"/>
        <v>20.878007781951823</v>
      </c>
      <c r="F41" s="203">
        <v>6</v>
      </c>
      <c r="G41" s="204">
        <f>G25+G23</f>
        <v>29.729168192536466</v>
      </c>
      <c r="H41" s="205">
        <f t="shared" si="14"/>
        <v>0.11857287787883508</v>
      </c>
      <c r="I41" s="206">
        <f t="shared" ref="I41:I45" si="15">G41/((1+$B$29)^F41)</f>
        <v>16.781340406870807</v>
      </c>
    </row>
    <row r="42" spans="1:13" x14ac:dyDescent="0.25">
      <c r="A42" s="203">
        <v>7</v>
      </c>
      <c r="B42" s="204">
        <f>H24+H23</f>
        <v>43.139241245956399</v>
      </c>
      <c r="C42" s="205">
        <f t="shared" si="13"/>
        <v>0.16634581708957064</v>
      </c>
      <c r="D42" s="206">
        <f t="shared" si="12"/>
        <v>22.137251859675462</v>
      </c>
      <c r="F42" s="203">
        <v>7</v>
      </c>
      <c r="G42" s="204">
        <f>H25+H23</f>
        <v>34.673603588687627</v>
      </c>
      <c r="H42" s="205">
        <f t="shared" si="14"/>
        <v>0.166315968348972</v>
      </c>
      <c r="I42" s="206">
        <f t="shared" si="15"/>
        <v>17.793041169848411</v>
      </c>
    </row>
    <row r="43" spans="1:13" x14ac:dyDescent="0.25">
      <c r="A43" s="203">
        <v>8</v>
      </c>
      <c r="B43" s="204">
        <f>I24+I23</f>
        <v>48.710650659031131</v>
      </c>
      <c r="C43" s="205">
        <f t="shared" si="13"/>
        <v>0.12914945307706269</v>
      </c>
      <c r="D43" s="206">
        <f t="shared" si="12"/>
        <v>22.723878027256127</v>
      </c>
      <c r="F43" s="203">
        <v>8</v>
      </c>
      <c r="G43" s="204">
        <f>I25+I23</f>
        <v>39.168363976473437</v>
      </c>
      <c r="H43" s="205">
        <f t="shared" si="14"/>
        <v>0.12963061010630691</v>
      </c>
      <c r="I43" s="206">
        <f t="shared" si="15"/>
        <v>18.272330865765909</v>
      </c>
    </row>
    <row r="44" spans="1:13" x14ac:dyDescent="0.25">
      <c r="A44" s="203">
        <v>9</v>
      </c>
      <c r="B44" s="204">
        <f>J24+J23</f>
        <v>47.862112722979191</v>
      </c>
      <c r="C44" s="205">
        <f t="shared" si="13"/>
        <v>-1.7419967185238538E-2</v>
      </c>
      <c r="D44" s="206">
        <f t="shared" si="12"/>
        <v>20.298208016090872</v>
      </c>
      <c r="F44" s="203">
        <v>9</v>
      </c>
      <c r="G44" s="204">
        <f>J25+J23</f>
        <v>38.468062843828321</v>
      </c>
      <c r="H44" s="205">
        <f t="shared" si="14"/>
        <v>-1.7879254110938953E-2</v>
      </c>
      <c r="I44" s="206">
        <f t="shared" si="15"/>
        <v>16.31421383547066</v>
      </c>
    </row>
    <row r="45" spans="1:13" ht="15.75" thickBot="1" x14ac:dyDescent="0.3">
      <c r="A45" s="207">
        <v>10</v>
      </c>
      <c r="B45" s="204">
        <f>K24+K23</f>
        <v>50.887402100214729</v>
      </c>
      <c r="C45" s="205">
        <f t="shared" si="13"/>
        <v>6.320843784614337E-2</v>
      </c>
      <c r="D45" s="209">
        <f t="shared" si="12"/>
        <v>19.619296396240035</v>
      </c>
      <c r="F45" s="207">
        <v>10</v>
      </c>
      <c r="G45" s="208">
        <f>K25+K23</f>
        <v>40.898996705543453</v>
      </c>
      <c r="H45" s="205">
        <f t="shared" si="14"/>
        <v>6.3193560631950127E-2</v>
      </c>
      <c r="I45" s="206">
        <f t="shared" si="15"/>
        <v>15.768333724222794</v>
      </c>
    </row>
    <row r="46" spans="1:13" ht="6.75" customHeight="1" x14ac:dyDescent="0.25">
      <c r="A46" s="193"/>
      <c r="B46" s="210"/>
      <c r="C46" s="211"/>
      <c r="D46" s="212"/>
    </row>
    <row r="47" spans="1:13" x14ac:dyDescent="0.25">
      <c r="D47" s="193"/>
    </row>
    <row r="48" spans="1:13" x14ac:dyDescent="0.25">
      <c r="D48" s="193"/>
    </row>
    <row r="49" spans="1:14" x14ac:dyDescent="0.25">
      <c r="D49" s="193"/>
    </row>
    <row r="50" spans="1:14" x14ac:dyDescent="0.25">
      <c r="D50" s="193"/>
    </row>
    <row r="51" spans="1:14" x14ac:dyDescent="0.25">
      <c r="D51" s="193"/>
    </row>
    <row r="52" spans="1:14" x14ac:dyDescent="0.25">
      <c r="D52" s="193"/>
      <c r="F52" s="107"/>
      <c r="N52" s="107"/>
    </row>
    <row r="53" spans="1:14" x14ac:dyDescent="0.25">
      <c r="D53" s="193"/>
      <c r="F53" s="107"/>
      <c r="N53" s="107"/>
    </row>
    <row r="54" spans="1:14" x14ac:dyDescent="0.25">
      <c r="C54" s="72"/>
    </row>
    <row r="55" spans="1:14" x14ac:dyDescent="0.25">
      <c r="C55" s="72"/>
    </row>
    <row r="56" spans="1:14" x14ac:dyDescent="0.25">
      <c r="C56" s="72"/>
    </row>
    <row r="57" spans="1:14" x14ac:dyDescent="0.25">
      <c r="C57" s="160"/>
    </row>
    <row r="58" spans="1:14" x14ac:dyDescent="0.25">
      <c r="A58" s="72">
        <v>0</v>
      </c>
      <c r="B58" s="72">
        <v>0</v>
      </c>
      <c r="C58" s="72"/>
    </row>
    <row r="59" spans="1:14" x14ac:dyDescent="0.25">
      <c r="A59" s="72">
        <v>0.01</v>
      </c>
      <c r="B59" s="72">
        <v>0.01</v>
      </c>
      <c r="C59" s="72"/>
    </row>
    <row r="60" spans="1:14" x14ac:dyDescent="0.25">
      <c r="A60" s="72">
        <v>0.02</v>
      </c>
      <c r="B60" s="72">
        <v>0.02</v>
      </c>
      <c r="C60" s="72"/>
    </row>
    <row r="61" spans="1:14" x14ac:dyDescent="0.25">
      <c r="A61" s="72">
        <v>0.03</v>
      </c>
      <c r="B61" s="72">
        <v>0.03</v>
      </c>
      <c r="C61" s="72"/>
    </row>
    <row r="62" spans="1:14" x14ac:dyDescent="0.25">
      <c r="A62" s="72">
        <v>0.04</v>
      </c>
      <c r="B62" s="72">
        <v>0.04</v>
      </c>
    </row>
    <row r="63" spans="1:14" x14ac:dyDescent="0.25">
      <c r="A63" s="72">
        <v>0.06</v>
      </c>
      <c r="B63" s="72">
        <v>0.05</v>
      </c>
    </row>
    <row r="64" spans="1:14" x14ac:dyDescent="0.25">
      <c r="A64" s="72">
        <v>0.08</v>
      </c>
      <c r="B64" s="72">
        <v>0.06</v>
      </c>
    </row>
    <row r="65" spans="1:2" x14ac:dyDescent="0.25">
      <c r="A65" s="72">
        <v>0.1</v>
      </c>
      <c r="B65" s="72">
        <v>7.0000000000000007E-2</v>
      </c>
    </row>
    <row r="66" spans="1:2" x14ac:dyDescent="0.25">
      <c r="A66" s="72">
        <v>0.12</v>
      </c>
      <c r="B66" s="72">
        <v>0.08</v>
      </c>
    </row>
    <row r="67" spans="1:2" x14ac:dyDescent="0.25">
      <c r="A67" s="72">
        <v>0.14000000000000001</v>
      </c>
      <c r="B67" s="72">
        <v>0.09</v>
      </c>
    </row>
    <row r="68" spans="1:2" x14ac:dyDescent="0.25">
      <c r="A68" s="72">
        <v>0.16</v>
      </c>
      <c r="B68" s="72">
        <v>0.1</v>
      </c>
    </row>
    <row r="69" spans="1:2" x14ac:dyDescent="0.25">
      <c r="A69" s="72">
        <v>0.18</v>
      </c>
      <c r="B69" s="72">
        <v>0.11</v>
      </c>
    </row>
    <row r="70" spans="1:2" x14ac:dyDescent="0.25">
      <c r="A70" s="72">
        <v>0.2</v>
      </c>
      <c r="B70" s="72">
        <v>0.12</v>
      </c>
    </row>
    <row r="71" spans="1:2" x14ac:dyDescent="0.25">
      <c r="A71" s="72">
        <v>0.22</v>
      </c>
      <c r="B71" s="72">
        <v>0.13</v>
      </c>
    </row>
    <row r="72" spans="1:2" x14ac:dyDescent="0.25">
      <c r="A72" s="72">
        <v>0.24</v>
      </c>
      <c r="B72" s="72">
        <v>0.14000000000000001</v>
      </c>
    </row>
    <row r="73" spans="1:2" x14ac:dyDescent="0.25">
      <c r="A73" s="72">
        <v>0.26</v>
      </c>
      <c r="B73" s="72">
        <v>0.15</v>
      </c>
    </row>
    <row r="74" spans="1:2" x14ac:dyDescent="0.25">
      <c r="A74" s="72">
        <v>0.28000000000000003</v>
      </c>
      <c r="B74" s="72">
        <v>0.16</v>
      </c>
    </row>
    <row r="75" spans="1:2" x14ac:dyDescent="0.25">
      <c r="A75" s="72">
        <v>0.3</v>
      </c>
      <c r="B75" s="72">
        <v>0.17</v>
      </c>
    </row>
    <row r="76" spans="1:2" x14ac:dyDescent="0.25">
      <c r="A76" s="72">
        <v>0.32</v>
      </c>
      <c r="B76" s="72">
        <v>0.18</v>
      </c>
    </row>
    <row r="77" spans="1:2" x14ac:dyDescent="0.25">
      <c r="A77" s="72">
        <v>0.34</v>
      </c>
      <c r="B77" s="72">
        <v>0.19</v>
      </c>
    </row>
    <row r="78" spans="1:2" x14ac:dyDescent="0.25">
      <c r="A78" s="72">
        <v>0.36</v>
      </c>
      <c r="B78" s="72">
        <v>0.2</v>
      </c>
    </row>
    <row r="79" spans="1:2" x14ac:dyDescent="0.25">
      <c r="A79" s="72">
        <v>0.38</v>
      </c>
      <c r="B79" s="72">
        <v>0.21</v>
      </c>
    </row>
    <row r="80" spans="1:2" x14ac:dyDescent="0.25">
      <c r="A80" s="72">
        <v>0.4</v>
      </c>
      <c r="B80" s="72">
        <v>0.22</v>
      </c>
    </row>
    <row r="81" spans="1:2" x14ac:dyDescent="0.25">
      <c r="A81" s="72">
        <v>0.42</v>
      </c>
      <c r="B81" s="72">
        <v>0.23</v>
      </c>
    </row>
    <row r="82" spans="1:2" x14ac:dyDescent="0.25">
      <c r="A82" s="72">
        <v>0.44</v>
      </c>
      <c r="B82" s="72">
        <v>0.24</v>
      </c>
    </row>
    <row r="83" spans="1:2" x14ac:dyDescent="0.25">
      <c r="A83" s="72">
        <v>0.46</v>
      </c>
      <c r="B83" s="72">
        <v>0.25</v>
      </c>
    </row>
    <row r="84" spans="1:2" x14ac:dyDescent="0.25">
      <c r="A84" s="72">
        <v>0.48</v>
      </c>
      <c r="B84" s="72">
        <v>0.26</v>
      </c>
    </row>
    <row r="85" spans="1:2" x14ac:dyDescent="0.25">
      <c r="A85" s="72">
        <v>0.5</v>
      </c>
      <c r="B85" s="72">
        <v>0.27</v>
      </c>
    </row>
    <row r="86" spans="1:2" x14ac:dyDescent="0.25">
      <c r="A86" s="72">
        <v>0.52</v>
      </c>
      <c r="B86" s="72">
        <v>0.28000000000000003</v>
      </c>
    </row>
    <row r="87" spans="1:2" x14ac:dyDescent="0.25">
      <c r="A87" s="72">
        <v>0.54</v>
      </c>
      <c r="B87" s="72">
        <v>0.28999999999999998</v>
      </c>
    </row>
    <row r="88" spans="1:2" x14ac:dyDescent="0.25">
      <c r="A88" s="72">
        <v>0.56000000000000005</v>
      </c>
      <c r="B88" s="72">
        <v>0.3</v>
      </c>
    </row>
    <row r="89" spans="1:2" x14ac:dyDescent="0.25">
      <c r="A89" s="72">
        <v>0.57999999999999996</v>
      </c>
      <c r="B89" s="72">
        <v>0.31</v>
      </c>
    </row>
    <row r="90" spans="1:2" x14ac:dyDescent="0.25">
      <c r="A90" s="72">
        <v>0.6</v>
      </c>
      <c r="B90" s="72">
        <v>0.32</v>
      </c>
    </row>
    <row r="91" spans="1:2" x14ac:dyDescent="0.25">
      <c r="A91" s="72">
        <v>0.62</v>
      </c>
      <c r="B91" s="72">
        <v>0.33</v>
      </c>
    </row>
    <row r="92" spans="1:2" x14ac:dyDescent="0.25">
      <c r="A92" s="72">
        <v>0.64</v>
      </c>
      <c r="B92" s="72">
        <v>0.34</v>
      </c>
    </row>
    <row r="93" spans="1:2" x14ac:dyDescent="0.25">
      <c r="A93" s="72">
        <v>0.66</v>
      </c>
      <c r="B93" s="72">
        <v>0.35</v>
      </c>
    </row>
    <row r="94" spans="1:2" x14ac:dyDescent="0.25">
      <c r="A94" s="72">
        <v>0.68</v>
      </c>
      <c r="B94" s="72">
        <v>0.36</v>
      </c>
    </row>
    <row r="95" spans="1:2" x14ac:dyDescent="0.25">
      <c r="A95" s="72">
        <v>0.7</v>
      </c>
      <c r="B95" s="72">
        <v>0.37</v>
      </c>
    </row>
    <row r="96" spans="1:2" x14ac:dyDescent="0.25">
      <c r="A96" s="72">
        <v>0.72</v>
      </c>
      <c r="B96" s="72">
        <v>0.38</v>
      </c>
    </row>
    <row r="97" spans="1:2" x14ac:dyDescent="0.25">
      <c r="A97" s="72">
        <v>0.74</v>
      </c>
      <c r="B97" s="72">
        <v>0.39</v>
      </c>
    </row>
    <row r="98" spans="1:2" x14ac:dyDescent="0.25">
      <c r="A98" s="72">
        <v>0.76</v>
      </c>
      <c r="B98" s="72">
        <v>0.4</v>
      </c>
    </row>
    <row r="99" spans="1:2" x14ac:dyDescent="0.25">
      <c r="A99" s="72">
        <v>0.78</v>
      </c>
      <c r="B99" s="72">
        <v>0.41</v>
      </c>
    </row>
    <row r="100" spans="1:2" x14ac:dyDescent="0.25">
      <c r="A100" s="72">
        <v>0.8</v>
      </c>
      <c r="B100" s="72">
        <v>0.42</v>
      </c>
    </row>
    <row r="101" spans="1:2" x14ac:dyDescent="0.25">
      <c r="A101" s="72">
        <v>0.82</v>
      </c>
      <c r="B101" s="72">
        <v>0.43</v>
      </c>
    </row>
    <row r="102" spans="1:2" x14ac:dyDescent="0.25">
      <c r="A102" s="72">
        <v>0.84</v>
      </c>
      <c r="B102" s="72">
        <v>0.44</v>
      </c>
    </row>
    <row r="103" spans="1:2" x14ac:dyDescent="0.25">
      <c r="A103" s="72">
        <v>0.86</v>
      </c>
      <c r="B103" s="72">
        <v>0.45</v>
      </c>
    </row>
    <row r="104" spans="1:2" x14ac:dyDescent="0.25">
      <c r="A104" s="72">
        <v>0.88</v>
      </c>
      <c r="B104" s="72">
        <v>0.46</v>
      </c>
    </row>
    <row r="105" spans="1:2" x14ac:dyDescent="0.25">
      <c r="A105" s="72">
        <v>0.9</v>
      </c>
      <c r="B105" s="72">
        <v>0.47</v>
      </c>
    </row>
    <row r="106" spans="1:2" x14ac:dyDescent="0.25">
      <c r="A106" s="72">
        <v>0.92</v>
      </c>
      <c r="B106" s="72">
        <v>0.48</v>
      </c>
    </row>
    <row r="107" spans="1:2" x14ac:dyDescent="0.25">
      <c r="A107" s="72">
        <v>0.94</v>
      </c>
      <c r="B107" s="72">
        <v>0.49</v>
      </c>
    </row>
    <row r="108" spans="1:2" x14ac:dyDescent="0.25">
      <c r="A108" s="72">
        <v>0.96000000000000096</v>
      </c>
      <c r="B108" s="72">
        <v>0.5</v>
      </c>
    </row>
    <row r="109" spans="1:2" x14ac:dyDescent="0.25">
      <c r="A109" s="72">
        <v>0.98000000000000098</v>
      </c>
    </row>
    <row r="110" spans="1:2" x14ac:dyDescent="0.25">
      <c r="A110" s="72">
        <v>1</v>
      </c>
    </row>
  </sheetData>
  <mergeCells count="17">
    <mergeCell ref="G8:H8"/>
    <mergeCell ref="A1:C2"/>
    <mergeCell ref="A3:C3"/>
    <mergeCell ref="N3:O3"/>
    <mergeCell ref="Q3:R3"/>
    <mergeCell ref="A34:D34"/>
    <mergeCell ref="F34:I34"/>
    <mergeCell ref="D3:E3"/>
    <mergeCell ref="D4:E4"/>
    <mergeCell ref="G4:H4"/>
    <mergeCell ref="D5:E5"/>
    <mergeCell ref="D6:E6"/>
    <mergeCell ref="G5:H5"/>
    <mergeCell ref="G6:H6"/>
    <mergeCell ref="D7:E7"/>
    <mergeCell ref="D8:E8"/>
    <mergeCell ref="G7:H7"/>
  </mergeCells>
  <dataValidations count="3">
    <dataValidation type="list" allowBlank="1" showInputMessage="1" showErrorMessage="1" sqref="B28:B29 B11:K11">
      <formula1>$A$59:$A$80</formula1>
    </dataValidation>
    <dataValidation type="list" allowBlank="1" showInputMessage="1" showErrorMessage="1" sqref="I22 E22">
      <formula1>$B$59:$B$108</formula1>
    </dataValidation>
    <dataValidation type="list" allowBlank="1" showInputMessage="1" showErrorMessage="1" sqref="B22:D22 F22:H22 J22:K22">
      <formula1>$B$58:$B$108</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7"/>
  <sheetViews>
    <sheetView tabSelected="1" topLeftCell="A28" workbookViewId="0">
      <selection activeCell="J35" sqref="J35"/>
    </sheetView>
  </sheetViews>
  <sheetFormatPr defaultRowHeight="15" x14ac:dyDescent="0.25"/>
  <cols>
    <col min="1" max="1" width="35.7109375" style="61" customWidth="1"/>
    <col min="2" max="2" width="17.85546875" style="44" customWidth="1"/>
    <col min="3" max="12" width="11.42578125" customWidth="1"/>
    <col min="13" max="13" width="8.140625" customWidth="1"/>
    <col min="14" max="14" width="12.85546875" bestFit="1" customWidth="1"/>
    <col min="15" max="16" width="12.7109375" bestFit="1" customWidth="1"/>
    <col min="17" max="18" width="10.28515625" bestFit="1" customWidth="1"/>
  </cols>
  <sheetData>
    <row r="1" spans="1:18" ht="18.75" x14ac:dyDescent="0.25">
      <c r="A1" s="56" t="s">
        <v>245</v>
      </c>
      <c r="B1" s="42" t="s">
        <v>200</v>
      </c>
      <c r="C1" s="39">
        <f>'Profit &amp; Loss'!C3</f>
        <v>39172</v>
      </c>
      <c r="D1" s="39">
        <f>'Profit &amp; Loss'!D3</f>
        <v>39538</v>
      </c>
      <c r="E1" s="39">
        <f>'Profit &amp; Loss'!E3</f>
        <v>39903</v>
      </c>
      <c r="F1" s="39">
        <f>'Profit &amp; Loss'!F3</f>
        <v>40268</v>
      </c>
      <c r="G1" s="39">
        <f>'Profit &amp; Loss'!G3</f>
        <v>40633</v>
      </c>
      <c r="H1" s="39">
        <f>'Profit &amp; Loss'!H3</f>
        <v>40999</v>
      </c>
      <c r="I1" s="39">
        <f>'Profit &amp; Loss'!I3</f>
        <v>41364</v>
      </c>
      <c r="J1" s="39">
        <f>'Profit &amp; Loss'!J3</f>
        <v>41729</v>
      </c>
      <c r="K1" s="39">
        <f>'Profit &amp; Loss'!K3</f>
        <v>42094</v>
      </c>
      <c r="L1" s="39">
        <f>'Profit &amp; Loss'!L3</f>
        <v>42430</v>
      </c>
      <c r="M1" s="39"/>
      <c r="N1" s="38" t="s">
        <v>262</v>
      </c>
      <c r="O1" s="38" t="s">
        <v>263</v>
      </c>
      <c r="P1" s="38" t="s">
        <v>264</v>
      </c>
      <c r="Q1" s="45" t="s">
        <v>144</v>
      </c>
      <c r="R1" s="45" t="s">
        <v>145</v>
      </c>
    </row>
    <row r="2" spans="1:18" ht="17.25" x14ac:dyDescent="0.25">
      <c r="A2" s="57" t="s">
        <v>248</v>
      </c>
      <c r="B2" s="42"/>
      <c r="C2" s="39"/>
      <c r="D2" s="39"/>
      <c r="E2" s="39"/>
      <c r="F2" s="39"/>
      <c r="G2" s="39"/>
      <c r="H2" s="39"/>
      <c r="I2" s="39"/>
      <c r="J2" s="39"/>
      <c r="K2" s="39"/>
      <c r="L2" s="39"/>
      <c r="M2" s="39"/>
      <c r="N2" s="38"/>
      <c r="O2" s="38"/>
      <c r="P2" s="38"/>
      <c r="Q2" s="45"/>
      <c r="R2" s="45"/>
    </row>
    <row r="3" spans="1:18" x14ac:dyDescent="0.25">
      <c r="A3" s="58" t="s">
        <v>88</v>
      </c>
      <c r="B3" s="41" t="s">
        <v>146</v>
      </c>
      <c r="C3" s="32">
        <f>IFERROR(('Profit &amp; Loss'!C4-'Profit &amp; Loss'!B4)/'Profit &amp; Loss'!B4,"NA")</f>
        <v>0.46070038910505839</v>
      </c>
      <c r="D3" s="32">
        <f>IFERROR(('Profit &amp; Loss'!D4-'Profit &amp; Loss'!C4)/'Profit &amp; Loss'!C4,"NA")</f>
        <v>0.29888119339371333</v>
      </c>
      <c r="E3" s="32">
        <f>IFERROR(('Profit &amp; Loss'!E4-'Profit &amp; Loss'!D4)/'Profit &amp; Loss'!D4,"NA")</f>
        <v>-0.49302707136997537</v>
      </c>
      <c r="F3" s="32">
        <f>IFERROR(('Profit &amp; Loss'!F4-'Profit &amp; Loss'!E4)/'Profit &amp; Loss'!E4,"NA")</f>
        <v>-0.31229773462783167</v>
      </c>
      <c r="G3" s="32">
        <f>IFERROR(('Profit &amp; Loss'!G4-'Profit &amp; Loss'!F4)/'Profit &amp; Loss'!F4,"NA")</f>
        <v>1.2482352941176469</v>
      </c>
      <c r="H3" s="32">
        <f>IFERROR(('Profit &amp; Loss'!H4-'Profit &amp; Loss'!G4)/'Profit &amp; Loss'!G4,"NA")</f>
        <v>0.35949764521193101</v>
      </c>
      <c r="I3" s="32">
        <f>IFERROR(('Profit &amp; Loss'!I4-'Profit &amp; Loss'!H4)/'Profit &amp; Loss'!H4,"NA")</f>
        <v>9.3148575827559588E-2</v>
      </c>
      <c r="J3" s="32">
        <f>IFERROR(('Profit &amp; Loss'!J4-'Profit &amp; Loss'!I4)/'Profit &amp; Loss'!I4,"NA")</f>
        <v>-0.31232394366197175</v>
      </c>
      <c r="K3" s="32">
        <f>IFERROR(('Profit &amp; Loss'!K4-'Profit &amp; Loss'!J4)/'Profit &amp; Loss'!J4,"NA")</f>
        <v>1.2754736303123397</v>
      </c>
      <c r="L3" s="32">
        <f>IFERROR(('Profit &amp; Loss'!L4-'Profit &amp; Loss'!K4)/'Profit &amp; Loss'!K4,"NA")</f>
        <v>0.48177317731773173</v>
      </c>
      <c r="N3" s="32">
        <f>('Profit &amp; Loss'!L4/'Profit &amp; Loss'!C4)^(1/(9-1))-1</f>
        <v>0.16986685969129178</v>
      </c>
      <c r="O3" s="32">
        <f>('Profit &amp; Loss'!L4/'Profit &amp; Loss'!G4)^(1/(5-1))-1</f>
        <v>0.36246003836432461</v>
      </c>
      <c r="P3" s="32">
        <f>('Profit &amp; Loss'!L4/'Profit &amp; Loss'!I4)^(1/(3-1))-1</f>
        <v>0.52271532855980207</v>
      </c>
      <c r="Q3" t="str">
        <f>IF(N3&gt;0.15,"Excellent",IF(N3&lt;0.1,"Bad","Good"))</f>
        <v>Excellent</v>
      </c>
    </row>
    <row r="4" spans="1:18" x14ac:dyDescent="0.25">
      <c r="A4" s="58" t="s">
        <v>89</v>
      </c>
      <c r="B4" s="41" t="s">
        <v>146</v>
      </c>
      <c r="C4" s="32">
        <f>IFERROR(('Profit &amp; Loss'!C5-'Profit &amp; Loss'!B5)/'Profit &amp; Loss'!B5,"NA")</f>
        <v>0.58111111111111091</v>
      </c>
      <c r="D4" s="32">
        <f>IFERROR(('Profit &amp; Loss'!D5-'Profit &amp; Loss'!C5)/'Profit &amp; Loss'!C5,"NA")</f>
        <v>0.42796907940969775</v>
      </c>
      <c r="E4" s="32">
        <f>IFERROR(('Profit &amp; Loss'!E5-'Profit &amp; Loss'!D5)/'Profit &amp; Loss'!D5,"NA")</f>
        <v>-0.3031496062992125</v>
      </c>
      <c r="F4" s="32">
        <f>IFERROR(('Profit &amp; Loss'!F5-'Profit &amp; Loss'!E5)/'Profit &amp; Loss'!E5,"NA")</f>
        <v>-0.31144067796610181</v>
      </c>
      <c r="G4" s="32">
        <f>IFERROR(('Profit &amp; Loss'!G5-'Profit &amp; Loss'!F5)/'Profit &amp; Loss'!F5,"NA")</f>
        <v>0.6933333333333338</v>
      </c>
      <c r="H4" s="32">
        <f>IFERROR(('Profit &amp; Loss'!H5-'Profit &amp; Loss'!G5)/'Profit &amp; Loss'!G5,"NA")</f>
        <v>0.40944881889763762</v>
      </c>
      <c r="I4" s="32">
        <f>IFERROR(('Profit &amp; Loss'!I5-'Profit &amp; Loss'!H5)/'Profit &amp; Loss'!H5,"NA")</f>
        <v>9.6261280618822456E-2</v>
      </c>
      <c r="J4" s="32">
        <f>IFERROR(('Profit &amp; Loss'!J5-'Profit &amp; Loss'!I5)/'Profit &amp; Loss'!I5,"NA")</f>
        <v>-0.31203449627597024</v>
      </c>
      <c r="K4" s="32">
        <f>IFERROR(('Profit &amp; Loss'!K5-'Profit &amp; Loss'!J5)/'Profit &amp; Loss'!J5,"NA")</f>
        <v>0.80113960113960136</v>
      </c>
      <c r="L4" s="32">
        <f>IFERROR(('Profit &amp; Loss'!L5-'Profit &amp; Loss'!K5)/'Profit &amp; Loss'!K5,"NA")</f>
        <v>0.19266055045871572</v>
      </c>
      <c r="N4" s="32">
        <f>('Profit &amp; Loss'!L5/'Profit &amp; Loss'!C5)^(1/(9-1))-1</f>
        <v>0.1295151392057321</v>
      </c>
      <c r="O4" s="32">
        <f>('Profit &amp; Loss'!L5/'Profit &amp; Loss'!G5)^(1/(5-1))-1</f>
        <v>0.2292736409427647</v>
      </c>
      <c r="P4" s="32">
        <f>('Profit &amp; Loss'!L5/'Profit &amp; Loss'!I5)^(1/(3-1))-1</f>
        <v>0.21566929006806079</v>
      </c>
      <c r="Q4" t="str">
        <f>IF(N4&gt;N3+0.1,"Bad",IF(N4&lt;N3,"Excellent","Good"))</f>
        <v>Excellent</v>
      </c>
    </row>
    <row r="5" spans="1:18" x14ac:dyDescent="0.25">
      <c r="A5" s="58" t="s">
        <v>90</v>
      </c>
      <c r="B5" s="41" t="s">
        <v>146</v>
      </c>
      <c r="C5" s="32">
        <f>IFERROR(('Profit &amp; Loss'!C6-'Profit &amp; Loss'!B6)/'Profit &amp; Loss'!B6,"NA")</f>
        <v>0.17922077922077956</v>
      </c>
      <c r="D5" s="32">
        <f>IFERROR(('Profit &amp; Loss'!D6-'Profit &amp; Loss'!C6)/'Profit &amp; Loss'!C6,"NA")</f>
        <v>-0.10572687224669572</v>
      </c>
      <c r="E5" s="32">
        <f>IFERROR(('Profit &amp; Loss'!E6-'Profit &amp; Loss'!D6)/'Profit &amp; Loss'!D6,"NA")</f>
        <v>-1.4433497536945812</v>
      </c>
      <c r="F5" s="32">
        <f>IFERROR(('Profit &amp; Loss'!F6-'Profit &amp; Loss'!E6)/'Profit &amp; Loss'!E6,"NA")</f>
        <v>-0.3055555555555568</v>
      </c>
      <c r="G5" s="32">
        <f>IFERROR(('Profit &amp; Loss'!G6-'Profit &amp; Loss'!F6)/'Profit &amp; Loss'!F6,"NA")</f>
        <v>-3.0800000000000014</v>
      </c>
      <c r="H5" s="32">
        <f>IFERROR(('Profit &amp; Loss'!H6-'Profit &amp; Loss'!G6)/'Profit &amp; Loss'!G6,"NA")</f>
        <v>4.230769230769349E-2</v>
      </c>
      <c r="I5" s="32">
        <f>IFERROR(('Profit &amp; Loss'!I6-'Profit &amp; Loss'!H6)/'Profit &amp; Loss'!H6,"NA")</f>
        <v>6.6420664206641944E-2</v>
      </c>
      <c r="J5" s="32">
        <f>IFERROR(('Profit &amp; Loss'!J6-'Profit &amp; Loss'!I6)/'Profit &amp; Loss'!I6,"NA")</f>
        <v>-0.31487889273356279</v>
      </c>
      <c r="K5" s="32">
        <f>IFERROR(('Profit &amp; Loss'!K6-'Profit &amp; Loss'!J6)/'Profit &amp; Loss'!J6,"NA")</f>
        <v>5.4797979797979659</v>
      </c>
      <c r="L5" s="32">
        <f>IFERROR(('Profit &amp; Loss'!L6-'Profit &amp; Loss'!K6)/'Profit &amp; Loss'!K6,"NA")</f>
        <v>1.1940763834762278</v>
      </c>
      <c r="N5" s="32">
        <f>('Profit &amp; Loss'!L6/'Profit &amp; Loss'!C6)^(1/(9-1))-1</f>
        <v>0.25618272960276012</v>
      </c>
      <c r="O5" s="32">
        <f>('Profit &amp; Loss'!L6/'Profit &amp; Loss'!G6)^(1/(5-1))-1</f>
        <v>0.81395397159764249</v>
      </c>
      <c r="P5" s="32">
        <f>('Profit &amp; Loss'!L6/'Profit &amp; Loss'!I6)^(1/(3-1))-1</f>
        <v>2.1209749164428962</v>
      </c>
      <c r="Q5" t="str">
        <f>IF(N5&gt;0.15,"Excellent",IF(N5&lt;0.1,"Bad","Good"))</f>
        <v>Excellent</v>
      </c>
    </row>
    <row r="6" spans="1:18" x14ac:dyDescent="0.25">
      <c r="A6" s="58" t="s">
        <v>91</v>
      </c>
      <c r="B6" s="41" t="s">
        <v>146</v>
      </c>
      <c r="C6" s="32">
        <f>IFERROR(('Profit &amp; Loss'!C10-'Profit &amp; Loss'!B10)/'Profit &amp; Loss'!B10,"NA")</f>
        <v>-0.19793814432989681</v>
      </c>
      <c r="D6" s="32">
        <f>IFERROR(('Profit &amp; Loss'!D10-'Profit &amp; Loss'!C10)/'Profit &amp; Loss'!C10,"NA")</f>
        <v>-0.3521850899742931</v>
      </c>
      <c r="E6" s="32">
        <f>IFERROR(('Profit &amp; Loss'!E10-'Profit &amp; Loss'!D10)/'Profit &amp; Loss'!D10,"NA")</f>
        <v>-2.5277777777777777</v>
      </c>
      <c r="F6" s="32">
        <f>IFERROR(('Profit &amp; Loss'!F10-'Profit &amp; Loss'!E10)/'Profit &amp; Loss'!E10,"NA")</f>
        <v>-0.1792207792207792</v>
      </c>
      <c r="G6" s="32">
        <f>IFERROR(('Profit &amp; Loss'!G10-'Profit &amp; Loss'!F10)/'Profit &amp; Loss'!F10,"NA")</f>
        <v>-1.1772151898734178</v>
      </c>
      <c r="H6" s="32">
        <f>IFERROR(('Profit &amp; Loss'!H10-'Profit &amp; Loss'!G10)/'Profit &amp; Loss'!G10,"NA")</f>
        <v>0.28571428571428553</v>
      </c>
      <c r="I6" s="32">
        <f>IFERROR(('Profit &amp; Loss'!I10-'Profit &amp; Loss'!H10)/'Profit &amp; Loss'!H10,"NA")</f>
        <v>0.90277777777777801</v>
      </c>
      <c r="J6" s="32">
        <f>IFERROR(('Profit &amp; Loss'!J10-'Profit &amp; Loss'!I10)/'Profit &amp; Loss'!I10,"NA")</f>
        <v>-0.92700729927007297</v>
      </c>
      <c r="K6" s="32">
        <f>IFERROR(('Profit &amp; Loss'!K10-'Profit &amp; Loss'!J10)/'Profit &amp; Loss'!J10,"NA")</f>
        <v>113.39999999999999</v>
      </c>
      <c r="L6" s="32">
        <f>IFERROR(('Profit &amp; Loss'!L10-'Profit &amp; Loss'!K10)/'Profit &amp; Loss'!K10,"NA")</f>
        <v>1.3094405594405596</v>
      </c>
      <c r="N6" s="32">
        <f>('Profit &amp; Loss'!L10/'Profit &amp; Loss'!C10)^(1/(9-1))-1</f>
        <v>0.2705679658240332</v>
      </c>
      <c r="O6" s="32">
        <f>('Profit &amp; Loss'!L10/'Profit &amp; Loss'!G10)^(1/(5-1))-1</f>
        <v>1.6208139791490477</v>
      </c>
      <c r="P6" s="32">
        <f>('Profit &amp; Loss'!L10/'Profit &amp; Loss'!I10)^(1/(3-1))-1</f>
        <v>3.3914316040269501</v>
      </c>
      <c r="Q6" t="str">
        <f>IF(N6&gt;0.15,"Excellent",IF(N6&lt;0.1,"Bad","Good"))</f>
        <v>Excellent</v>
      </c>
    </row>
    <row r="7" spans="1:18" x14ac:dyDescent="0.25">
      <c r="A7" s="58" t="s">
        <v>92</v>
      </c>
      <c r="B7" s="41" t="s">
        <v>146</v>
      </c>
      <c r="C7" s="32">
        <f>IFERROR(('Profit &amp; Loss'!C12-'Profit &amp; Loss'!B12)/'Profit &amp; Loss'!B12,"NA")</f>
        <v>-0.10561056105610557</v>
      </c>
      <c r="D7" s="32">
        <f>IFERROR(('Profit &amp; Loss'!D12-'Profit &amp; Loss'!C12)/'Profit &amp; Loss'!C12,"NA")</f>
        <v>-0.59778597785977861</v>
      </c>
      <c r="E7" s="32">
        <f>IFERROR(('Profit &amp; Loss'!E12-'Profit &amp; Loss'!D12)/'Profit &amp; Loss'!D12,"NA")</f>
        <v>-3.4954128440366974</v>
      </c>
      <c r="F7" s="32">
        <f>IFERROR(('Profit &amp; Loss'!F12-'Profit &amp; Loss'!E12)/'Profit &amp; Loss'!E12,"NA")</f>
        <v>-0.28676470588235303</v>
      </c>
      <c r="G7" s="32">
        <f>IFERROR(('Profit &amp; Loss'!G12-'Profit &amp; Loss'!F12)/'Profit &amp; Loss'!F12,"NA")</f>
        <v>-1.2010309278350517</v>
      </c>
      <c r="H7" s="32">
        <f>IFERROR(('Profit &amp; Loss'!H12-'Profit &amp; Loss'!G12)/'Profit &amp; Loss'!G12,"NA")</f>
        <v>0.51282051282051266</v>
      </c>
      <c r="I7" s="32">
        <f>IFERROR(('Profit &amp; Loss'!I12-'Profit &amp; Loss'!H12)/'Profit &amp; Loss'!H12,"NA")</f>
        <v>0.45762711864406785</v>
      </c>
      <c r="J7" s="32">
        <f>IFERROR(('Profit &amp; Loss'!J12-'Profit &amp; Loss'!I12)/'Profit &amp; Loss'!I12,"NA")</f>
        <v>-0.94186046511627897</v>
      </c>
      <c r="K7" s="32">
        <f>IFERROR(('Profit &amp; Loss'!K12-'Profit &amp; Loss'!J12)/'Profit &amp; Loss'!J12,"NA")</f>
        <v>153.19999999999999</v>
      </c>
      <c r="L7" s="32">
        <f>IFERROR(('Profit &amp; Loss'!L12-'Profit &amp; Loss'!K12)/'Profit &amp; Loss'!K12,"NA")</f>
        <v>1.1725032425421529</v>
      </c>
      <c r="N7" s="32">
        <f>('Profit &amp; Loss'!L12/'Profit &amp; Loss'!C12)^(1/(9-1))-1</f>
        <v>0.2556849529236056</v>
      </c>
      <c r="O7" s="32">
        <f>('Profit &amp; Loss'!L12/'Profit &amp; Loss'!G12)^(1/(5-1))-1</f>
        <v>1.5599857691042818</v>
      </c>
      <c r="P7" s="32">
        <f>('Profit &amp; Loss'!L12/'Profit &amp; Loss'!I12)^(1/(3-1))-1</f>
        <v>3.4132464451972897</v>
      </c>
      <c r="Q7" t="str">
        <f>IF(N7&gt;0.15,"Excellent",IF(N7&lt;0.1,"Bad","Good"))</f>
        <v>Excellent</v>
      </c>
    </row>
    <row r="8" spans="1:18" x14ac:dyDescent="0.25">
      <c r="A8" s="58" t="s">
        <v>105</v>
      </c>
      <c r="B8" s="41" t="s">
        <v>146</v>
      </c>
      <c r="C8" s="32">
        <f>IFERROR(('Profit &amp; Loss'!C13-'Profit &amp; Loss'!B13)/'Profit &amp; Loss'!B13,"NA")</f>
        <v>-0.18503055267451238</v>
      </c>
      <c r="D8" s="32">
        <f>IFERROR(('Profit &amp; Loss'!D13-'Profit &amp; Loss'!C13)/'Profit &amp; Loss'!C13,"NA")</f>
        <v>-0.62026573927807704</v>
      </c>
      <c r="E8" s="32">
        <f>IFERROR(('Profit &amp; Loss'!E13-'Profit &amp; Loss'!D13)/'Profit &amp; Loss'!D13,"NA")</f>
        <v>-3.4954128440366974</v>
      </c>
      <c r="F8" s="32">
        <f>IFERROR(('Profit &amp; Loss'!F13-'Profit &amp; Loss'!E13)/'Profit &amp; Loss'!E13,"NA")</f>
        <v>-0.33667853792432528</v>
      </c>
      <c r="G8" s="32">
        <f>IFERROR(('Profit &amp; Loss'!G13-'Profit &amp; Loss'!F13)/'Profit &amp; Loss'!F13,"NA")</f>
        <v>-1.1896518187123128</v>
      </c>
      <c r="H8" s="32">
        <f>IFERROR(('Profit &amp; Loss'!H13-'Profit &amp; Loss'!G13)/'Profit &amp; Loss'!G13,"NA")</f>
        <v>0.39798014206871046</v>
      </c>
      <c r="I8" s="32">
        <f>IFERROR(('Profit &amp; Loss'!I13-'Profit &amp; Loss'!H13)/'Profit &amp; Loss'!H13,"NA")</f>
        <v>0.27337465785280257</v>
      </c>
      <c r="J8" s="32">
        <f>IFERROR(('Profit &amp; Loss'!J13-'Profit &amp; Loss'!I13)/'Profit &amp; Loss'!I13,"NA")</f>
        <v>-0.94186046511627908</v>
      </c>
      <c r="K8" s="32">
        <f>IFERROR(('Profit &amp; Loss'!K13-'Profit &amp; Loss'!J13)/'Profit &amp; Loss'!J13,"NA")</f>
        <v>153.19999999999999</v>
      </c>
      <c r="L8" s="32">
        <f>IFERROR(('Profit &amp; Loss'!L13-'Profit &amp; Loss'!K13)/'Profit &amp; Loss'!K13,"NA")</f>
        <v>1.171534993975309</v>
      </c>
      <c r="N8" s="32">
        <f>('Profit &amp; Loss'!L13/'Profit &amp; Loss'!C13)^(1/(9-1))-1</f>
        <v>0.19401670174496877</v>
      </c>
      <c r="O8" s="32">
        <f>('Profit &amp; Loss'!L13/'Profit &amp; Loss'!G13)^(1/(5-1))-1</f>
        <v>1.4263027531331027</v>
      </c>
      <c r="P8" s="32">
        <f>('Profit &amp; Loss'!L13/'Profit &amp; Loss'!I13)^(1/(3-1))-1</f>
        <v>3.4122628803209025</v>
      </c>
      <c r="Q8" t="str">
        <f>IF(N8&gt;0.15,"Excellent",IF(N8&lt;0.1,"Bad","Good"))</f>
        <v>Excellent</v>
      </c>
    </row>
    <row r="9" spans="1:18" ht="17.25" x14ac:dyDescent="0.25">
      <c r="A9" s="57" t="s">
        <v>249</v>
      </c>
      <c r="B9" s="41"/>
      <c r="C9" s="32"/>
      <c r="D9" s="32"/>
      <c r="E9" s="32"/>
      <c r="F9" s="32"/>
      <c r="G9" s="32"/>
      <c r="H9" s="32"/>
      <c r="I9" s="32"/>
      <c r="J9" s="32"/>
      <c r="K9" s="32"/>
      <c r="L9" s="32"/>
      <c r="N9" s="32"/>
      <c r="O9" s="32"/>
      <c r="P9" s="32"/>
    </row>
    <row r="10" spans="1:18" x14ac:dyDescent="0.25">
      <c r="A10" s="59" t="s">
        <v>204</v>
      </c>
      <c r="B10" s="41" t="s">
        <v>146</v>
      </c>
      <c r="C10" s="32">
        <f>IFERROR(('Cash Flow'!C4-'Cash Flow'!B4)/'Cash Flow'!B4,"NA")</f>
        <v>-0.43145161290322581</v>
      </c>
      <c r="D10" s="32">
        <f>IFERROR(('Cash Flow'!D4-'Cash Flow'!C4)/'Cash Flow'!C4,"NA")</f>
        <v>1.7588652482269507</v>
      </c>
      <c r="E10" s="32">
        <f>IFERROR(('Cash Flow'!E4-'Cash Flow'!D4)/'Cash Flow'!D4,"NA")</f>
        <v>-0.88431876606683801</v>
      </c>
      <c r="F10" s="32">
        <f>IFERROR(('Cash Flow'!F4-'Cash Flow'!E4)/'Cash Flow'!E4,"NA")</f>
        <v>0.42222222222222222</v>
      </c>
      <c r="G10" s="32">
        <f>IFERROR(('Cash Flow'!G4-'Cash Flow'!F4)/'Cash Flow'!F4,"NA")</f>
        <v>1.28125</v>
      </c>
      <c r="H10" s="32">
        <f>IFERROR(('Cash Flow'!H4-'Cash Flow'!G4)/'Cash Flow'!G4,"NA")</f>
        <v>0.30821917808219174</v>
      </c>
      <c r="I10" s="32">
        <f>IFERROR(('Cash Flow'!I4-'Cash Flow'!H4)/'Cash Flow'!H4,"NA")</f>
        <v>0</v>
      </c>
      <c r="J10" s="32">
        <f>IFERROR(('Cash Flow'!J4-'Cash Flow'!I4)/'Cash Flow'!I4,"NA")</f>
        <v>-1.1518324607329842</v>
      </c>
      <c r="K10" s="32">
        <f>IFERROR(('Cash Flow'!K4-'Cash Flow'!J4)/'Cash Flow'!J4,"NA")</f>
        <v>-24.620689655172413</v>
      </c>
      <c r="L10" s="32">
        <f>IFERROR(('Cash Flow'!L4-'Cash Flow'!K4)/'Cash Flow'!K4,"NA")</f>
        <v>1.0437956204379564</v>
      </c>
      <c r="N10" s="32"/>
      <c r="O10" s="32"/>
      <c r="P10" s="32"/>
    </row>
    <row r="11" spans="1:18" x14ac:dyDescent="0.25">
      <c r="A11" s="59" t="s">
        <v>205</v>
      </c>
      <c r="B11" s="41" t="s">
        <v>146</v>
      </c>
      <c r="C11" s="32">
        <f>IFERROR(('Cash Flow'!C5-'Cash Flow'!B5)/'Cash Flow'!B5,"NA")</f>
        <v>6.3152173913043477</v>
      </c>
      <c r="D11" s="32">
        <f>IFERROR(('Cash Flow'!D5-'Cash Flow'!C5)/'Cash Flow'!C5,"NA")</f>
        <v>-0.3209509658246657</v>
      </c>
      <c r="E11" s="32">
        <f>IFERROR(('Cash Flow'!E5-'Cash Flow'!D5)/'Cash Flow'!D5,"NA")</f>
        <v>-0.3216630196936543</v>
      </c>
      <c r="F11" s="32">
        <f>IFERROR(('Cash Flow'!F5-'Cash Flow'!E5)/'Cash Flow'!E5,"NA")</f>
        <v>-1.0258064516129033</v>
      </c>
      <c r="G11" s="32">
        <f>IFERROR(('Cash Flow'!G5-'Cash Flow'!F5)/'Cash Flow'!F5,"NA")</f>
        <v>-5.375</v>
      </c>
      <c r="H11" s="32">
        <f>IFERROR(('Cash Flow'!H5-'Cash Flow'!G5)/'Cash Flow'!G5,"NA")</f>
        <v>0.40000000000000008</v>
      </c>
      <c r="I11" s="32">
        <f>IFERROR(('Cash Flow'!I5-'Cash Flow'!H5)/'Cash Flow'!H5,"NA")</f>
        <v>-2.0408163265306142E-2</v>
      </c>
      <c r="J11" s="32">
        <f>IFERROR(('Cash Flow'!J5-'Cash Flow'!I5)/'Cash Flow'!I5,"NA")</f>
        <v>-0.77083333333333337</v>
      </c>
      <c r="K11" s="32">
        <f>IFERROR(('Cash Flow'!K5-'Cash Flow'!J5)/'Cash Flow'!J5,"NA")</f>
        <v>10.363636363636363</v>
      </c>
      <c r="L11" s="32">
        <f>IFERROR(('Cash Flow'!L5-'Cash Flow'!K5)/'Cash Flow'!K5,"NA")</f>
        <v>0.6</v>
      </c>
      <c r="N11" s="32"/>
      <c r="O11" s="32"/>
      <c r="P11" s="32"/>
    </row>
    <row r="12" spans="1:18" ht="17.25" x14ac:dyDescent="0.25">
      <c r="A12" s="57" t="s">
        <v>250</v>
      </c>
      <c r="B12" s="41"/>
      <c r="C12" s="32"/>
      <c r="D12" s="32"/>
      <c r="E12" s="32"/>
      <c r="F12" s="32"/>
      <c r="G12" s="32"/>
      <c r="H12" s="32"/>
      <c r="I12" s="32"/>
      <c r="J12" s="32"/>
      <c r="K12" s="32"/>
      <c r="N12" s="32"/>
      <c r="O12" s="32"/>
      <c r="P12" s="32"/>
    </row>
    <row r="13" spans="1:18" x14ac:dyDescent="0.25">
      <c r="A13" s="58" t="s">
        <v>127</v>
      </c>
      <c r="B13" s="41" t="s">
        <v>146</v>
      </c>
      <c r="C13" s="32">
        <f>IFERROR(('Data Sheet'!C67-'Data Sheet'!B67)/'Data Sheet'!B67,"NA")</f>
        <v>0.20817843866171007</v>
      </c>
      <c r="D13" s="32">
        <f>IFERROR(('Data Sheet'!D67-'Data Sheet'!C67)/'Data Sheet'!C67,"NA")</f>
        <v>-0.76923076923076927</v>
      </c>
      <c r="E13" s="32">
        <f>IFERROR(('Data Sheet'!E67-'Data Sheet'!D67)/'Data Sheet'!D67,"NA")</f>
        <v>3.1199999999999997</v>
      </c>
      <c r="F13" s="32">
        <f>IFERROR(('Data Sheet'!F67-'Data Sheet'!E67)/'Data Sheet'!E67,"NA")</f>
        <v>-0.45307443365695793</v>
      </c>
      <c r="G13" s="32">
        <f>IFERROR(('Data Sheet'!G67-'Data Sheet'!F67)/'Data Sheet'!F67,"NA")</f>
        <v>0.10650887573964507</v>
      </c>
      <c r="H13" s="32">
        <f>IFERROR(('Data Sheet'!H67-'Data Sheet'!G67)/'Data Sheet'!G67,"NA")</f>
        <v>0.44385026737967914</v>
      </c>
      <c r="I13" s="32">
        <f>IFERROR(('Data Sheet'!I67-'Data Sheet'!H67)/'Data Sheet'!H67,"NA")</f>
        <v>-0.52592592592592591</v>
      </c>
      <c r="J13" s="32">
        <f>IFERROR(('Data Sheet'!J67-'Data Sheet'!I67)/'Data Sheet'!I67,"NA")</f>
        <v>1.4765625</v>
      </c>
      <c r="K13" s="32">
        <f>IFERROR(('Data Sheet'!K67-'Data Sheet'!J67)/'Data Sheet'!J67,"NA")</f>
        <v>1.5804416403785488</v>
      </c>
      <c r="L13" s="32">
        <f>IFERROR(('Data Sheet'!L67-'Data Sheet'!K67)/'Data Sheet'!K67,"NA")</f>
        <v>0.62224938875305624</v>
      </c>
      <c r="N13" s="32">
        <f>IFERROR(('Data Sheet'!L67/'Data Sheet'!C67)^(1/(9-1))-1,"NA")</f>
        <v>0.1922667849762294</v>
      </c>
      <c r="O13" s="32">
        <f>IFERROR(('Data Sheet'!L57/'Data Sheet'!H67)^(1/(5-1))-1,"NA")</f>
        <v>0.4245747939075013</v>
      </c>
      <c r="P13" s="32">
        <f>IFERROR(('Data Sheet'!L67/'Data Sheet'!J67)^(1/(3-1))-1,"NA")</f>
        <v>1.0460009466803859</v>
      </c>
      <c r="Q13" t="str">
        <f>IF(N13&gt;$N$3+0.1,"Bad",IF(N13&lt;$N$3,"Excellent",IF(N13="NA","NA","Good")))</f>
        <v>Good</v>
      </c>
    </row>
    <row r="14" spans="1:18" x14ac:dyDescent="0.25">
      <c r="A14" s="58" t="s">
        <v>126</v>
      </c>
      <c r="B14" s="41" t="s">
        <v>146</v>
      </c>
      <c r="C14" s="32">
        <f>IFERROR(('Data Sheet'!C68-'Data Sheet'!B68)/'Data Sheet'!B68,"NA")</f>
        <v>1.4146341463414636</v>
      </c>
      <c r="D14" s="32">
        <f>IFERROR(('Data Sheet'!D68-'Data Sheet'!C68)/'Data Sheet'!C68,"NA")</f>
        <v>-0.21885521885521897</v>
      </c>
      <c r="E14" s="32">
        <f>IFERROR(('Data Sheet'!E68-'Data Sheet'!D68)/'Data Sheet'!D68,"NA")</f>
        <v>-9.9137931034482762E-2</v>
      </c>
      <c r="F14" s="32">
        <f>IFERROR(('Data Sheet'!F68-'Data Sheet'!E68)/'Data Sheet'!E68,"NA")</f>
        <v>-4.7846889952153047E-2</v>
      </c>
      <c r="G14" s="32">
        <f>IFERROR(('Data Sheet'!G68-'Data Sheet'!F68)/'Data Sheet'!F68,"NA")</f>
        <v>0.47738693467336679</v>
      </c>
      <c r="H14" s="32">
        <f>IFERROR(('Data Sheet'!H68-'Data Sheet'!G68)/'Data Sheet'!G68,"NA")</f>
        <v>0.3435374149659865</v>
      </c>
      <c r="I14" s="32">
        <f>IFERROR(('Data Sheet'!I68-'Data Sheet'!H68)/'Data Sheet'!H68,"NA")</f>
        <v>-0.2481012658227848</v>
      </c>
      <c r="J14" s="32">
        <f>IFERROR(('Data Sheet'!J68-'Data Sheet'!I68)/'Data Sheet'!I68,"NA")</f>
        <v>0.58585858585858575</v>
      </c>
      <c r="K14" s="32">
        <f>IFERROR(('Data Sheet'!K68-'Data Sheet'!J68)/'Data Sheet'!J68,"NA")</f>
        <v>-0.26326963906581735</v>
      </c>
      <c r="L14" s="32">
        <f>IFERROR(('Data Sheet'!L68-'Data Sheet'!K68)/'Data Sheet'!K68,"NA")</f>
        <v>-1.4409221902017367E-2</v>
      </c>
      <c r="N14" s="32">
        <f>IFERROR(('Data Sheet'!L68/'Data Sheet'!C68)^(1/(9-1))-1,"NA")</f>
        <v>1.7791236382678211E-2</v>
      </c>
      <c r="O14" s="32">
        <f>IFERROR(('Data Sheet'!L68/'Data Sheet'!H68)^(1/(5-1))-1,"NA")</f>
        <v>-3.5377800066228038E-2</v>
      </c>
      <c r="P14" s="32">
        <f>IFERROR(('Data Sheet'!L68/'Data Sheet'!H68)^(1/(3-1))-1,"NA")</f>
        <v>-6.950401139493001E-2</v>
      </c>
      <c r="Q14" t="str">
        <f>IF(N14&gt;$N$3+0.1,"Bad",IF(N14&lt;$N$3,"Excellent",IF(N14="NA","NA","Good")))</f>
        <v>Excellent</v>
      </c>
    </row>
    <row r="15" spans="1:18" x14ac:dyDescent="0.25">
      <c r="A15" s="58" t="s">
        <v>251</v>
      </c>
      <c r="B15" s="41"/>
      <c r="C15" s="32">
        <f>IFERROR(('Data Sheet'!C57-'Data Sheet'!B57)/'Data Sheet'!B57,"NA")</f>
        <v>9.7488921713441687E-2</v>
      </c>
      <c r="D15" s="32">
        <f>IFERROR(('Data Sheet'!D57-'Data Sheet'!C57)/'Data Sheet'!C57,"NA")</f>
        <v>5.9219380888290769E-2</v>
      </c>
      <c r="E15" s="32">
        <f>IFERROR(('Data Sheet'!E57-'Data Sheet'!D57)/'Data Sheet'!D57,"NA")</f>
        <v>0</v>
      </c>
      <c r="F15" s="32">
        <f>IFERROR(('Data Sheet'!F57-'Data Sheet'!E57)/'Data Sheet'!E57,"NA")</f>
        <v>7.6238881829733235E-2</v>
      </c>
      <c r="G15" s="32">
        <f>IFERROR(('Data Sheet'!G57-'Data Sheet'!F57)/'Data Sheet'!F57,"NA")</f>
        <v>5.9031877213695391E-2</v>
      </c>
      <c r="H15" s="32">
        <f>IFERROR(('Data Sheet'!H57-'Data Sheet'!G57)/'Data Sheet'!G57,"NA")</f>
        <v>8.2497212931995564E-2</v>
      </c>
      <c r="I15" s="32">
        <f>IFERROR(('Data Sheet'!I57-'Data Sheet'!H57)/'Data Sheet'!H57,"NA")</f>
        <v>0.14521112255406779</v>
      </c>
      <c r="J15" s="32">
        <f>IFERROR(('Data Sheet'!J57-'Data Sheet'!I57)/'Data Sheet'!I57,"NA")</f>
        <v>0</v>
      </c>
      <c r="K15" s="32">
        <f>IFERROR(('Data Sheet'!K57-'Data Sheet'!J57)/'Data Sheet'!J57,"NA")</f>
        <v>0</v>
      </c>
      <c r="L15" s="32">
        <f>IFERROR(('Data Sheet'!L57-'Data Sheet'!K57)/'Data Sheet'!K57,"NA")</f>
        <v>0</v>
      </c>
      <c r="N15" s="32">
        <f>IFERROR(('Data Sheet'!L57/'Data Sheet'!C57)^(1/(9-1))-1,"NA")</f>
        <v>5.1694243238963766E-2</v>
      </c>
      <c r="O15" s="32">
        <f>IFERROR(('Data Sheet'!L57/'Data Sheet'!H57)^(1/(5-1))-1,"NA")</f>
        <v>3.4478310306928828E-2</v>
      </c>
      <c r="P15" s="32">
        <f>IFERROR(('Data Sheet'!L57/'Data Sheet'!J57)^(1/(3-1))-1,"NA")</f>
        <v>0</v>
      </c>
    </row>
    <row r="16" spans="1:18" x14ac:dyDescent="0.25">
      <c r="A16" s="58" t="s">
        <v>252</v>
      </c>
      <c r="B16" s="41"/>
      <c r="C16" s="32">
        <f>IFERROR(('Data Sheet'!C58-'Data Sheet'!B58)/'Data Sheet'!B58,"NA")</f>
        <v>1.2347826086956522</v>
      </c>
      <c r="D16" s="32">
        <f>IFERROR(('Data Sheet'!D58-'Data Sheet'!C58)/'Data Sheet'!C58,"NA")</f>
        <v>0.27496757457846954</v>
      </c>
      <c r="E16" s="32">
        <f>IFERROR(('Data Sheet'!E58-'Data Sheet'!D58)/'Data Sheet'!D58,"NA")</f>
        <v>-0.27670396744659204</v>
      </c>
      <c r="F16" s="32">
        <f>IFERROR(('Data Sheet'!F58-'Data Sheet'!E58)/'Data Sheet'!E58,"NA")</f>
        <v>-0.21940928270042201</v>
      </c>
      <c r="G16" s="32">
        <f>IFERROR(('Data Sheet'!G58-'Data Sheet'!F58)/'Data Sheet'!F58,"NA")</f>
        <v>7.3873873873873896E-2</v>
      </c>
      <c r="H16" s="32">
        <f>IFERROR(('Data Sheet'!H58-'Data Sheet'!G58)/'Data Sheet'!G58,"NA")</f>
        <v>0.10402684563758391</v>
      </c>
      <c r="I16" s="32">
        <f>IFERROR(('Data Sheet'!I58-'Data Sheet'!H58)/'Data Sheet'!H58,"NA")</f>
        <v>0.1306990881458967</v>
      </c>
      <c r="J16" s="32">
        <f>IFERROR(('Data Sheet'!J58-'Data Sheet'!I58)/'Data Sheet'!I58,"NA")</f>
        <v>6.7204301075268575E-3</v>
      </c>
      <c r="K16" s="32">
        <f>IFERROR(('Data Sheet'!K58-'Data Sheet'!J58)/'Data Sheet'!J58,"NA")</f>
        <v>0.74632843791722292</v>
      </c>
      <c r="L16" s="32">
        <f>IFERROR(('Data Sheet'!L58-'Data Sheet'!K58)/'Data Sheet'!K58,"NA")</f>
        <v>0.91207951070336402</v>
      </c>
      <c r="N16" s="32">
        <f>IFERROR(('Data Sheet'!L58/'Data Sheet'!C58)^(1/(9-1))-1,"NA")</f>
        <v>0.15846365816319885</v>
      </c>
      <c r="O16" s="32">
        <f>IFERROR(('Data Sheet'!L58/'Data Sheet'!H58)^(1/(5-1))-1,"NA")</f>
        <v>0.39627817449645586</v>
      </c>
      <c r="P16" s="32">
        <f>IFERROR(('Data Sheet'!L58/'Data Sheet'!J58)^(1/(3-1))-1,"NA")</f>
        <v>0.82732559362039626</v>
      </c>
    </row>
    <row r="17" spans="1:17" x14ac:dyDescent="0.25">
      <c r="A17" s="58" t="s">
        <v>253</v>
      </c>
      <c r="B17" s="41"/>
      <c r="C17" s="32">
        <f>IFERROR(('Data Sheet'!C57+'Data Sheet'!C58-'Data Sheet'!B57-'Data Sheet'!B58)/('Data Sheet'!B57+'Data Sheet'!B58),"NA")</f>
        <v>0.4814090019569473</v>
      </c>
      <c r="D17" s="32">
        <f>IFERROR(('Data Sheet'!D57+'Data Sheet'!D58-'Data Sheet'!C57-'Data Sheet'!C58)/('Data Sheet'!C57+'Data Sheet'!C58),"NA")</f>
        <v>0.16908850726552177</v>
      </c>
      <c r="E17" s="32">
        <f>IFERROR(('Data Sheet'!E57+'Data Sheet'!E58-'Data Sheet'!D57-'Data Sheet'!D58)/('Data Sheet'!D57+'Data Sheet'!D58),"NA")</f>
        <v>-0.15367231638418077</v>
      </c>
      <c r="F17" s="32">
        <f>IFERROR(('Data Sheet'!F57+'Data Sheet'!F58-'Data Sheet'!E57-'Data Sheet'!E58)/('Data Sheet'!E57+'Data Sheet'!E58),"NA")</f>
        <v>-6.4085447263017417E-2</v>
      </c>
      <c r="G17" s="32">
        <f>IFERROR(('Data Sheet'!G57+'Data Sheet'!G58-'Data Sheet'!F57-'Data Sheet'!F58)/('Data Sheet'!F57+'Data Sheet'!F58),"NA")</f>
        <v>6.4907275320969987E-2</v>
      </c>
      <c r="H17" s="32">
        <f>IFERROR(('Data Sheet'!H57+'Data Sheet'!H58-'Data Sheet'!G57-'Data Sheet'!G58)/('Data Sheet'!G57+'Data Sheet'!G58),"NA")</f>
        <v>9.1091761553918196E-2</v>
      </c>
      <c r="I17" s="32">
        <f>IFERROR(('Data Sheet'!I57+'Data Sheet'!I58-'Data Sheet'!H57-'Data Sheet'!H58)/('Data Sheet'!H57+'Data Sheet'!H58),"NA")</f>
        <v>0.13934929404542651</v>
      </c>
      <c r="J17" s="32">
        <f>IFERROR(('Data Sheet'!J57+'Data Sheet'!J58-'Data Sheet'!I57-'Data Sheet'!I58)/('Data Sheet'!I57+'Data Sheet'!I58),"NA")</f>
        <v>2.6939655172413699E-3</v>
      </c>
      <c r="K17" s="32">
        <f>IFERROR(('Data Sheet'!K57+'Data Sheet'!K58-'Data Sheet'!J57-'Data Sheet'!J58)/('Data Sheet'!J57+'Data Sheet'!J58),"NA")</f>
        <v>0.30037614185921546</v>
      </c>
      <c r="L17" s="32">
        <f>IFERROR(('Data Sheet'!L57+'Data Sheet'!L58-'Data Sheet'!K57-'Data Sheet'!K58)/('Data Sheet'!K57+'Data Sheet'!K58),"NA")</f>
        <v>0.49297520661157046</v>
      </c>
      <c r="N17" s="32">
        <f>IFERROR((('Data Sheet'!L57+'Data Sheet'!L58)/('Data Sheet'!C57+'Data Sheet'!C58))^(1/(9-1))-1,"NA")</f>
        <v>0.11485339520229054</v>
      </c>
      <c r="O17" s="32">
        <f>IFERROR((('Data Sheet'!L57+'Data Sheet'!L58)/('Data Sheet'!H57+'Data Sheet'!H58))^(1/(5-1))-1,"NA")</f>
        <v>0.22035650178466937</v>
      </c>
      <c r="P17" s="32"/>
    </row>
    <row r="18" spans="1:17" x14ac:dyDescent="0.25">
      <c r="A18" s="58" t="s">
        <v>254</v>
      </c>
      <c r="B18" s="41"/>
      <c r="C18" s="32">
        <f>IFERROR(('Data Sheet'!C66-'Data Sheet'!B66)/'Data Sheet'!B66,"NA")</f>
        <v>0.43872113676731794</v>
      </c>
      <c r="D18" s="32">
        <f>IFERROR(('Data Sheet'!D66-'Data Sheet'!C66)/'Data Sheet'!C66,"NA")</f>
        <v>0.14650205761316867</v>
      </c>
      <c r="E18" s="32">
        <f>IFERROR(('Data Sheet'!E66-'Data Sheet'!D66)/'Data Sheet'!D66,"NA")</f>
        <v>5.4917444364680587E-2</v>
      </c>
      <c r="F18" s="32">
        <f>IFERROR(('Data Sheet'!F66-'Data Sheet'!E66)/'Data Sheet'!E66,"NA")</f>
        <v>-7.9618917999319486E-2</v>
      </c>
      <c r="G18" s="32">
        <f>IFERROR(('Data Sheet'!G66-'Data Sheet'!F66)/'Data Sheet'!F66,"NA")</f>
        <v>-9.2421441774491672E-3</v>
      </c>
      <c r="H18" s="32">
        <f>IFERROR(('Data Sheet'!H66-'Data Sheet'!G66)/'Data Sheet'!G66,"NA")</f>
        <v>4.6268656716417854E-2</v>
      </c>
      <c r="I18" s="32">
        <f>IFERROR(('Data Sheet'!I66-'Data Sheet'!H66)/'Data Sheet'!H66,"NA")</f>
        <v>-7.8459343794579153E-2</v>
      </c>
      <c r="J18" s="32">
        <f>IFERROR(('Data Sheet'!J66-'Data Sheet'!I66)/'Data Sheet'!I66,"NA")</f>
        <v>6.6563467492260012E-2</v>
      </c>
      <c r="K18" s="32">
        <f>IFERROR(('Data Sheet'!K66-'Data Sheet'!J66)/'Data Sheet'!J66,"NA")</f>
        <v>0.26923076923076916</v>
      </c>
      <c r="L18" s="32">
        <f>IFERROR(('Data Sheet'!L66-'Data Sheet'!K66)/'Data Sheet'!K66,"NA")</f>
        <v>0.44596912521440829</v>
      </c>
      <c r="N18" s="32">
        <f>IFERROR(('Data Sheet'!L66/'Data Sheet'!C66)^(1/(9-1))-1,"NA")</f>
        <v>9.596470699661408E-2</v>
      </c>
      <c r="O18" s="32">
        <f>IFERROR(('Data Sheet'!L66/'Data Sheet'!H66)^(1/(5-1))-1,"NA")</f>
        <v>0.15891131718965967</v>
      </c>
      <c r="P18" s="32">
        <f>IFERROR(('Data Sheet'!L66/'Data Sheet'!J66)^(1/(3-1))-1,"NA")</f>
        <v>0.35472082182264608</v>
      </c>
    </row>
    <row r="19" spans="1:17" x14ac:dyDescent="0.25">
      <c r="A19" s="58" t="s">
        <v>255</v>
      </c>
      <c r="B19" s="41"/>
      <c r="C19" s="32">
        <f>IFERROR(('Data Sheet'!C62-'Data Sheet'!B62)/'Data Sheet'!B62,"NA")</f>
        <v>0.46608315098468267</v>
      </c>
      <c r="D19" s="32">
        <f>IFERROR(('Data Sheet'!D62-'Data Sheet'!C62)/'Data Sheet'!C62,"NA")</f>
        <v>0.32462686567164173</v>
      </c>
      <c r="E19" s="32">
        <f>IFERROR(('Data Sheet'!E62-'Data Sheet'!D62)/'Data Sheet'!D62,"NA")</f>
        <v>0.14816901408450697</v>
      </c>
      <c r="F19" s="32">
        <f>IFERROR(('Data Sheet'!F62-'Data Sheet'!E62)/'Data Sheet'!E62,"NA")</f>
        <v>-6.526005888125605E-2</v>
      </c>
      <c r="G19" s="32">
        <f>IFERROR(('Data Sheet'!G62-'Data Sheet'!F62)/'Data Sheet'!F62,"NA")</f>
        <v>-6.2992125984251926E-2</v>
      </c>
      <c r="H19" s="32">
        <f>IFERROR(('Data Sheet'!H62-'Data Sheet'!G62)/'Data Sheet'!G62,"NA")</f>
        <v>-5.9943977591036424E-2</v>
      </c>
      <c r="I19" s="32">
        <f>IFERROR(('Data Sheet'!I62-'Data Sheet'!H62)/'Data Sheet'!H62,"NA")</f>
        <v>2.5029797377830638E-2</v>
      </c>
      <c r="J19" s="32">
        <f>IFERROR(('Data Sheet'!J62-'Data Sheet'!I62)/'Data Sheet'!I62,"NA")</f>
        <v>-5.3488372093023151E-2</v>
      </c>
      <c r="K19" s="32">
        <f>IFERROR(('Data Sheet'!K62-'Data Sheet'!J62)/'Data Sheet'!J62,"NA")</f>
        <v>-4.1154791154791259E-2</v>
      </c>
      <c r="L19" s="32">
        <f>IFERROR(('Data Sheet'!L62-'Data Sheet'!K62)/'Data Sheet'!K62,"NA")</f>
        <v>-3.8436899423445691E-3</v>
      </c>
      <c r="N19" s="32">
        <f>IFERROR(('Data Sheet'!L62/'Data Sheet'!C62)^(1/(9-1))-1,"NA")</f>
        <v>1.8774812860635315E-2</v>
      </c>
      <c r="O19" s="32">
        <f>IFERROR(('Data Sheet'!L62/'Data Sheet'!H62)^(1/(5-1))-1,"NA")</f>
        <v>-1.8851805016706469E-2</v>
      </c>
      <c r="P19" s="32">
        <f>IFERROR(('Data Sheet'!L62/'Data Sheet'!J62)^(1/(3-1))-1,"NA")</f>
        <v>-2.2677276863110496E-2</v>
      </c>
    </row>
    <row r="20" spans="1:17" x14ac:dyDescent="0.25">
      <c r="A20" s="58" t="s">
        <v>256</v>
      </c>
      <c r="B20" s="41"/>
      <c r="C20" s="32">
        <f>IFERROR(('Data Sheet'!C65-'Data Sheet'!B65)/'Data Sheet'!B65,"NA")</f>
        <v>0.19624819624819617</v>
      </c>
      <c r="D20" s="32">
        <f>IFERROR(('Data Sheet'!D65-'Data Sheet'!C65)/'Data Sheet'!C65,"NA")</f>
        <v>1.4475271411339084E-2</v>
      </c>
      <c r="E20" s="32">
        <f>IFERROR(('Data Sheet'!E65-'Data Sheet'!D65)/'Data Sheet'!D65,"NA")</f>
        <v>2.2592152199762128E-2</v>
      </c>
      <c r="F20" s="32">
        <f>IFERROR(('Data Sheet'!F65-'Data Sheet'!E65)/'Data Sheet'!E65,"NA")</f>
        <v>-7.9069767441860436E-2</v>
      </c>
      <c r="G20" s="32">
        <f>IFERROR(('Data Sheet'!G65-'Data Sheet'!F65)/'Data Sheet'!F65,"NA")</f>
        <v>9.0909090909090995E-2</v>
      </c>
      <c r="H20" s="32">
        <f>IFERROR(('Data Sheet'!H65-'Data Sheet'!G65)/'Data Sheet'!G65,"NA")</f>
        <v>0.24074074074074073</v>
      </c>
      <c r="I20" s="32">
        <f>IFERROR(('Data Sheet'!I65-'Data Sheet'!H65)/'Data Sheet'!H65,"NA")</f>
        <v>-0.20802238805970152</v>
      </c>
      <c r="J20" s="32">
        <f>IFERROR(('Data Sheet'!J65-'Data Sheet'!I65)/'Data Sheet'!I65,"NA")</f>
        <v>0.32037691401649004</v>
      </c>
      <c r="K20" s="32">
        <f>IFERROR(('Data Sheet'!K65-'Data Sheet'!J65)/'Data Sheet'!J65,"NA")</f>
        <v>0.72256913470115947</v>
      </c>
      <c r="L20" s="32">
        <f>IFERROR(('Data Sheet'!L65-'Data Sheet'!K65)/'Data Sheet'!K65,"NA")</f>
        <v>0.81253236664940454</v>
      </c>
      <c r="N20" s="32">
        <f>IFERROR(('Data Sheet'!L65/'Data Sheet'!C65)^(1/(9-1))-1,"NA")</f>
        <v>0.19726197411893076</v>
      </c>
      <c r="O20" s="32">
        <f>IFERROR(('Data Sheet'!L65/'Data Sheet'!H65)^(1/(5-1))-1,"NA")</f>
        <v>0.34421369196721363</v>
      </c>
      <c r="P20" s="32">
        <f>IFERROR(('Data Sheet'!L65/'Data Sheet'!J65)^(1/(3-1))-1,"NA")</f>
        <v>0.76697829936790951</v>
      </c>
    </row>
    <row r="21" spans="1:17" x14ac:dyDescent="0.25">
      <c r="A21" s="58" t="s">
        <v>257</v>
      </c>
      <c r="B21" s="41"/>
      <c r="C21" s="32">
        <f>IFERROR(('Data Sheet'!C59+'Data Sheet'!C60-'Data Sheet'!B59-'Data Sheet'!B60)/('Data Sheet'!B59+'Data Sheet'!B60),"NA")</f>
        <v>0.37331334332833588</v>
      </c>
      <c r="D21" s="32">
        <f>IFERROR(('Data Sheet'!D59+'Data Sheet'!D60-'Data Sheet'!C59-'Data Sheet'!C60)/('Data Sheet'!C59+'Data Sheet'!C60),"NA")</f>
        <v>0.1091703056768559</v>
      </c>
      <c r="E21" s="32">
        <f>IFERROR(('Data Sheet'!E59+'Data Sheet'!E60-'Data Sheet'!D59-'Data Sheet'!D60)/('Data Sheet'!D59+'Data Sheet'!D60),"NA")</f>
        <v>0.41830708661417332</v>
      </c>
      <c r="F21" s="32">
        <f>IFERROR(('Data Sheet'!F59+'Data Sheet'!F60-'Data Sheet'!E59-'Data Sheet'!E60)/('Data Sheet'!E59+'Data Sheet'!E60),"NA")</f>
        <v>-9.5766828591256126E-2</v>
      </c>
      <c r="G21" s="32">
        <f>IFERROR(('Data Sheet'!G59+'Data Sheet'!G60-'Data Sheet'!F59-'Data Sheet'!F60)/('Data Sheet'!F59+'Data Sheet'!F60),"NA")</f>
        <v>-8.9025326170375937E-2</v>
      </c>
      <c r="H21" s="32">
        <f>IFERROR(('Data Sheet'!H59+'Data Sheet'!H60-'Data Sheet'!G59-'Data Sheet'!G60)/('Data Sheet'!G59+'Data Sheet'!G60),"NA")</f>
        <v>-1.0109519797809613E-2</v>
      </c>
      <c r="I21" s="32">
        <f>IFERROR(('Data Sheet'!I59+'Data Sheet'!I60-'Data Sheet'!H59-'Data Sheet'!H60)/('Data Sheet'!H59+'Data Sheet'!H60),"NA")</f>
        <v>-0.38042553191489359</v>
      </c>
      <c r="J21" s="32">
        <f>IFERROR(('Data Sheet'!J59+'Data Sheet'!J60-'Data Sheet'!I59-'Data Sheet'!I60)/('Data Sheet'!I59+'Data Sheet'!I60),"NA")</f>
        <v>0.22939560439560425</v>
      </c>
      <c r="K21" s="32">
        <f>IFERROR(('Data Sheet'!K59+'Data Sheet'!K60-'Data Sheet'!J59-'Data Sheet'!J60)/('Data Sheet'!J59+'Data Sheet'!J60),"NA")</f>
        <v>0.20446927374301668</v>
      </c>
      <c r="L21" s="32">
        <f>IFERROR(('Data Sheet'!L59+'Data Sheet'!L60-'Data Sheet'!K59-'Data Sheet'!K60)/('Data Sheet'!K59+'Data Sheet'!K60),"NA")</f>
        <v>0.2987012987012988</v>
      </c>
      <c r="N21" s="32">
        <f>IFERROR((('Data Sheet'!L59+'Data Sheet'!L60)/('Data Sheet'!C59+'Data Sheet'!C60))^(1/(9-1))-1,"NA")</f>
        <v>5.445747596155659E-2</v>
      </c>
      <c r="O21" s="32">
        <f>IFERROR((('Data Sheet'!L59+'Data Sheet'!L60)/('Data Sheet'!H59+'Data Sheet'!H60))^(1/(5-1))-1,"NA")</f>
        <v>4.4774447342406321E-2</v>
      </c>
      <c r="P21" s="32"/>
    </row>
    <row r="22" spans="1:17" x14ac:dyDescent="0.25">
      <c r="A22" s="58" t="s">
        <v>258</v>
      </c>
      <c r="B22" s="41"/>
      <c r="C22" s="32">
        <f>IFERROR(('Data Sheet'!C59-'Data Sheet'!B59)/'Data Sheet'!B59,"NA")</f>
        <v>2.2983870967741931</v>
      </c>
      <c r="D22" s="32">
        <f>IFERROR(('Data Sheet'!D59-'Data Sheet'!C59)/'Data Sheet'!C59,"NA")</f>
        <v>0.39853300733496333</v>
      </c>
      <c r="E22" s="32">
        <f>IFERROR(('Data Sheet'!E59-'Data Sheet'!D59)/'Data Sheet'!D59,"NA")</f>
        <v>0.38636363636363635</v>
      </c>
      <c r="F22" s="32">
        <f>IFERROR(('Data Sheet'!F59-'Data Sheet'!E59)/'Data Sheet'!E59,"NA")</f>
        <v>-9.4577553593947039E-2</v>
      </c>
      <c r="G22" s="32">
        <f>IFERROR(('Data Sheet'!G59-'Data Sheet'!F59)/'Data Sheet'!F59,"NA")</f>
        <v>-0.16016713091922</v>
      </c>
      <c r="H22" s="32">
        <f>IFERROR(('Data Sheet'!H59-'Data Sheet'!G59)/'Data Sheet'!G59,"NA")</f>
        <v>-0.18905472636815929</v>
      </c>
      <c r="I22" s="32">
        <f>IFERROR(('Data Sheet'!I59-'Data Sheet'!H59)/'Data Sheet'!H59,"NA")</f>
        <v>-0.4887525562372188</v>
      </c>
      <c r="J22" s="32">
        <f>IFERROR(('Data Sheet'!J59-'Data Sheet'!I59)/'Data Sheet'!I59,"NA")</f>
        <v>0.3</v>
      </c>
      <c r="K22" s="32">
        <f>IFERROR(('Data Sheet'!K59-'Data Sheet'!J59)/'Data Sheet'!J59,"NA")</f>
        <v>-0.32615384615384618</v>
      </c>
      <c r="L22" s="32">
        <f>IFERROR(('Data Sheet'!L59-'Data Sheet'!K59)/'Data Sheet'!K59,"NA")</f>
        <v>-1</v>
      </c>
      <c r="N22" s="32">
        <f>IFERROR(('Data Sheet'!L59/'Data Sheet'!C59)^(1/(9-1))-1,"NA")</f>
        <v>-1</v>
      </c>
      <c r="O22" s="32">
        <f>IFERROR(('Data Sheet'!L59/'Data Sheet'!H59)^(1/(5-1))-1,"NA")</f>
        <v>-1</v>
      </c>
      <c r="P22" s="32">
        <f>IFERROR(('Data Sheet'!L59/'Data Sheet'!J59)^(1/(3-1))-1,"NA")</f>
        <v>-1</v>
      </c>
    </row>
    <row r="23" spans="1:17" x14ac:dyDescent="0.25">
      <c r="A23" s="58" t="s">
        <v>259</v>
      </c>
      <c r="B23" s="41"/>
      <c r="C23" s="32">
        <f>IFERROR(('Data Sheet'!C60-'Data Sheet'!B60)/'Data Sheet'!B60,"NA")</f>
        <v>-6.6298342541436364E-2</v>
      </c>
      <c r="D23" s="32">
        <f>IFERROR(('Data Sheet'!D60-'Data Sheet'!C60)/'Data Sheet'!C60,"NA")</f>
        <v>-0.12426035502958577</v>
      </c>
      <c r="E23" s="32">
        <f>IFERROR(('Data Sheet'!E60-'Data Sheet'!D60)/'Data Sheet'!D60,"NA")</f>
        <v>0.45945945945945943</v>
      </c>
      <c r="F23" s="32">
        <f>IFERROR(('Data Sheet'!F60-'Data Sheet'!E60)/'Data Sheet'!E60,"NA")</f>
        <v>-9.7222222222222335E-2</v>
      </c>
      <c r="G23" s="32">
        <f>IFERROR(('Data Sheet'!G60-'Data Sheet'!F60)/'Data Sheet'!F60,"NA")</f>
        <v>-1.709401709401673E-3</v>
      </c>
      <c r="H23" s="32">
        <f>IFERROR(('Data Sheet'!H60-'Data Sheet'!G60)/'Data Sheet'!G60,"NA")</f>
        <v>0.17465753424657543</v>
      </c>
      <c r="I23" s="32">
        <f>IFERROR(('Data Sheet'!I60-'Data Sheet'!H60)/'Data Sheet'!H60,"NA")</f>
        <v>-0.30320699708454812</v>
      </c>
      <c r="J23" s="32">
        <f>IFERROR(('Data Sheet'!J60-'Data Sheet'!I60)/'Data Sheet'!I60,"NA")</f>
        <v>0.1924686192468619</v>
      </c>
      <c r="K23" s="32">
        <f>IFERROR(('Data Sheet'!K60-'Data Sheet'!J60)/'Data Sheet'!J60,"NA")</f>
        <v>0.50701754385964903</v>
      </c>
      <c r="L23" s="32">
        <f>IFERROR(('Data Sheet'!L60-'Data Sheet'!K60)/'Data Sheet'!K60,"NA")</f>
        <v>0.62980209545983701</v>
      </c>
      <c r="N23" s="32">
        <f>IFERROR(('Data Sheet'!L60/'Data Sheet'!C60)^(1/(9-1))-1,"NA")</f>
        <v>0.13537678385863994</v>
      </c>
      <c r="O23" s="32">
        <f>IFERROR(('Data Sheet'!L60/'Data Sheet'!H60)^(1/(5-1))-1,"NA")</f>
        <v>0.19522860933439357</v>
      </c>
      <c r="P23" s="32">
        <f>IFERROR(('Data Sheet'!L60/'Data Sheet'!J60)^(1/(3-1))-1,"NA")</f>
        <v>0.56720781993875757</v>
      </c>
    </row>
    <row r="24" spans="1:17" x14ac:dyDescent="0.25">
      <c r="A24" s="58" t="s">
        <v>936</v>
      </c>
      <c r="B24" s="41"/>
      <c r="C24" s="32">
        <f>'Data Sheet'!C26/Other_input_data!C49</f>
        <v>5.3731343283582089E-2</v>
      </c>
      <c r="D24" s="32">
        <f>'Data Sheet'!D26/Other_input_data!D49</f>
        <v>6.0845070422535216E-2</v>
      </c>
      <c r="E24" s="32">
        <f>'Data Sheet'!E26/Other_input_data!E49</f>
        <v>6.7713444553483812E-2</v>
      </c>
      <c r="F24" s="32">
        <f>'Data Sheet'!F26/Other_input_data!F49</f>
        <v>7.2965879265091863E-2</v>
      </c>
      <c r="G24" s="32">
        <f>'Data Sheet'!G26/Other_input_data!G49</f>
        <v>7.7310924369747888E-2</v>
      </c>
      <c r="H24" s="32">
        <f>'Data Sheet'!H26/Other_input_data!H49</f>
        <v>8.1644815256257455E-2</v>
      </c>
      <c r="I24" s="32">
        <f>'Data Sheet'!I26/Other_input_data!I49</f>
        <v>8.2558139534883723E-2</v>
      </c>
      <c r="J24" s="32">
        <f>'Data Sheet'!J26/Other_input_data!J49</f>
        <v>9.2751842751842742E-2</v>
      </c>
      <c r="K24" s="32">
        <f>'Data Sheet'!K26/Other_input_data!K49</f>
        <v>0.11723254324151186</v>
      </c>
      <c r="L24" s="32">
        <f>'Data Sheet'!L26/Other_input_data!L49</f>
        <v>0.12411575562700963</v>
      </c>
      <c r="N24" s="32"/>
      <c r="O24" s="32"/>
      <c r="P24" s="32"/>
    </row>
    <row r="25" spans="1:17" x14ac:dyDescent="0.25">
      <c r="A25" s="58"/>
      <c r="B25" s="41"/>
      <c r="C25" s="32"/>
      <c r="D25" s="32"/>
      <c r="E25" s="32"/>
      <c r="F25" s="32"/>
      <c r="G25" s="32"/>
      <c r="H25" s="32"/>
      <c r="I25" s="32"/>
      <c r="J25" s="32"/>
      <c r="K25" s="32"/>
      <c r="L25" s="32"/>
      <c r="N25" s="32"/>
      <c r="O25" s="32"/>
      <c r="P25" s="32"/>
    </row>
    <row r="26" spans="1:17" ht="18.75" x14ac:dyDescent="0.25">
      <c r="A26" s="56" t="s">
        <v>246</v>
      </c>
      <c r="B26" s="41"/>
      <c r="C26" s="53">
        <f>C1</f>
        <v>39172</v>
      </c>
      <c r="D26" s="53">
        <f t="shared" ref="D26:L26" si="0">D1</f>
        <v>39538</v>
      </c>
      <c r="E26" s="53">
        <f t="shared" si="0"/>
        <v>39903</v>
      </c>
      <c r="F26" s="53">
        <f t="shared" si="0"/>
        <v>40268</v>
      </c>
      <c r="G26" s="53">
        <f t="shared" si="0"/>
        <v>40633</v>
      </c>
      <c r="H26" s="53">
        <f t="shared" si="0"/>
        <v>40999</v>
      </c>
      <c r="I26" s="53">
        <f t="shared" si="0"/>
        <v>41364</v>
      </c>
      <c r="J26" s="53">
        <f t="shared" si="0"/>
        <v>41729</v>
      </c>
      <c r="K26" s="53">
        <f t="shared" si="0"/>
        <v>42094</v>
      </c>
      <c r="L26" s="53">
        <f t="shared" si="0"/>
        <v>42430</v>
      </c>
      <c r="N26" s="45" t="s">
        <v>555</v>
      </c>
      <c r="O26" s="45" t="s">
        <v>552</v>
      </c>
      <c r="P26" s="45" t="s">
        <v>553</v>
      </c>
      <c r="Q26" s="45" t="s">
        <v>554</v>
      </c>
    </row>
    <row r="27" spans="1:17" ht="23.25" x14ac:dyDescent="0.25">
      <c r="A27" s="58" t="s">
        <v>93</v>
      </c>
      <c r="B27" s="41" t="s">
        <v>147</v>
      </c>
      <c r="C27" s="32">
        <f>IFERROR('Profit &amp; Loss'!C5/'Profit &amp; Loss'!C4,"NA")</f>
        <v>0.75812466702184333</v>
      </c>
      <c r="D27" s="32">
        <f>IFERROR('Profit &amp; Loss'!D5/'Profit &amp; Loss'!D4,"NA")</f>
        <v>0.83347005742411806</v>
      </c>
      <c r="E27" s="32">
        <f>IFERROR('Profit &amp; Loss'!E5/'Profit &amp; Loss'!E4,"NA")</f>
        <v>1.1456310679611652</v>
      </c>
      <c r="F27" s="32">
        <f>IFERROR('Profit &amp; Loss'!F5/'Profit &amp; Loss'!F4,"NA")</f>
        <v>1.1470588235294115</v>
      </c>
      <c r="G27" s="32">
        <f>IFERROR('Profit &amp; Loss'!G5/'Profit &amp; Loss'!G4,"NA")</f>
        <v>0.86394557823129259</v>
      </c>
      <c r="H27" s="32">
        <f>IFERROR('Profit &amp; Loss'!H5/'Profit &amp; Loss'!H4,"NA")</f>
        <v>0.89568899153194759</v>
      </c>
      <c r="I27" s="32">
        <f>IFERROR('Profit &amp; Loss'!I5/'Profit &amp; Loss'!I4,"NA")</f>
        <v>0.89823943661971828</v>
      </c>
      <c r="J27" s="32">
        <f>IFERROR('Profit &amp; Loss'!J5/'Profit &amp; Loss'!J4,"NA")</f>
        <v>0.8986175115207371</v>
      </c>
      <c r="K27" s="32">
        <f>IFERROR('Profit &amp; Loss'!K5/'Profit &amp; Loss'!K4,"NA")</f>
        <v>0.71129612961296129</v>
      </c>
      <c r="L27" s="32">
        <f>IFERROR('Profit &amp; Loss'!L5/'Profit &amp; Loss'!L4,"NA")</f>
        <v>0.5725132877752469</v>
      </c>
      <c r="N27" s="32">
        <f>(L27/C27)^(1/(9-1))-1</f>
        <v>-3.449257507491732E-2</v>
      </c>
      <c r="O27" s="32">
        <f>MIN(C27:L27)</f>
        <v>0.5725132877752469</v>
      </c>
      <c r="P27" s="32">
        <f>MAX(C27:L27)</f>
        <v>1.1470588235294115</v>
      </c>
      <c r="Q27" s="34">
        <f>AVERAGE(C27:L27)</f>
        <v>0.8724585551228442</v>
      </c>
    </row>
    <row r="28" spans="1:17" ht="34.5" x14ac:dyDescent="0.25">
      <c r="A28" s="58" t="s">
        <v>95</v>
      </c>
      <c r="B28" s="41" t="s">
        <v>148</v>
      </c>
      <c r="C28" s="34">
        <f>IFERROR((1-C27),"NA")</f>
        <v>0.24187533297815667</v>
      </c>
      <c r="D28" s="34">
        <f t="shared" ref="D28:L28" si="1">IFERROR((1-D27),"NA")</f>
        <v>0.16652994257588194</v>
      </c>
      <c r="E28" s="34">
        <f t="shared" si="1"/>
        <v>-0.14563106796116521</v>
      </c>
      <c r="F28" s="34">
        <f t="shared" si="1"/>
        <v>-0.14705882352941146</v>
      </c>
      <c r="G28" s="34">
        <f t="shared" si="1"/>
        <v>0.13605442176870741</v>
      </c>
      <c r="H28" s="34">
        <f t="shared" si="1"/>
        <v>0.10431100846805241</v>
      </c>
      <c r="I28" s="34">
        <f t="shared" si="1"/>
        <v>0.10176056338028172</v>
      </c>
      <c r="J28" s="34">
        <f t="shared" si="1"/>
        <v>0.1013824884792629</v>
      </c>
      <c r="K28" s="34">
        <f t="shared" si="1"/>
        <v>0.28870387038703871</v>
      </c>
      <c r="L28" s="34">
        <f t="shared" si="1"/>
        <v>0.4274867122247531</v>
      </c>
      <c r="N28" s="32">
        <f>(L28/C28)^(1/(9-1))-1</f>
        <v>7.3782643893550048E-2</v>
      </c>
      <c r="O28" s="32">
        <f>MIN(C28:L28)</f>
        <v>-0.14705882352941146</v>
      </c>
      <c r="P28" s="32">
        <f>MAX(C28:L28)</f>
        <v>0.4274867122247531</v>
      </c>
      <c r="Q28" s="34">
        <f>AVERAGE(C28:L28)</f>
        <v>0.12754144487715582</v>
      </c>
    </row>
    <row r="29" spans="1:17" ht="23.25" x14ac:dyDescent="0.25">
      <c r="A29" s="58" t="s">
        <v>94</v>
      </c>
      <c r="B29" s="41" t="s">
        <v>149</v>
      </c>
      <c r="C29" s="32">
        <f>IFERROR('Profit &amp; Loss'!C9/'Profit &amp; Loss'!C4,"NA")</f>
        <v>5.3276505061267982E-3</v>
      </c>
      <c r="D29" s="32">
        <f>IFERROR('Profit &amp; Loss'!D9/'Profit &amp; Loss'!D4,"NA")</f>
        <v>2.6661197703035277E-2</v>
      </c>
      <c r="E29" s="32">
        <f>IFERROR('Profit &amp; Loss'!E9/'Profit &amp; Loss'!E4,"NA")</f>
        <v>8.4951456310679616E-2</v>
      </c>
      <c r="F29" s="32">
        <f>IFERROR('Profit &amp; Loss'!F9/'Profit &amp; Loss'!F4,"NA")</f>
        <v>0.11529411764705882</v>
      </c>
      <c r="G29" s="32">
        <f>IFERROR('Profit &amp; Loss'!G9/'Profit &amp; Loss'!G4,"NA")</f>
        <v>4.9188906331763475E-2</v>
      </c>
      <c r="H29" s="32">
        <f>IFERROR('Profit &amp; Loss'!H9/'Profit &amp; Loss'!H4,"NA")</f>
        <v>3.3102386451116239E-2</v>
      </c>
      <c r="I29" s="32">
        <f>IFERROR('Profit &amp; Loss'!I9/'Profit &amp; Loss'!I4,"NA")</f>
        <v>1.7253521126760565E-2</v>
      </c>
      <c r="J29" s="32">
        <f>IFERROR('Profit &amp; Loss'!J9/'Profit &amp; Loss'!J4,"NA")</f>
        <v>2.4065540194572448E-2</v>
      </c>
      <c r="K29" s="32">
        <f>IFERROR('Profit &amp; Loss'!K9/'Profit &amp; Loss'!K4,"NA")</f>
        <v>5.8505850585058514E-3</v>
      </c>
      <c r="L29" s="32">
        <f>IFERROR('Profit &amp; Loss'!L9/'Profit &amp; Loss'!L4,"NA")</f>
        <v>2.733485193621868E-3</v>
      </c>
      <c r="N29" s="32">
        <f>(L29/C29)^(1/(9-1))-1</f>
        <v>-8.0032204171620491E-2</v>
      </c>
      <c r="O29" s="32">
        <f>MIN(C29:L29)</f>
        <v>2.733485193621868E-3</v>
      </c>
      <c r="P29" s="32">
        <f>MAX(C29:L29)</f>
        <v>0.11529411764705882</v>
      </c>
      <c r="Q29" s="34">
        <f>AVERAGE(C29:L29)</f>
        <v>3.6442884652324092E-2</v>
      </c>
    </row>
    <row r="30" spans="1:17" ht="23.25" x14ac:dyDescent="0.25">
      <c r="A30" s="58" t="s">
        <v>96</v>
      </c>
      <c r="B30" s="41" t="s">
        <v>150</v>
      </c>
      <c r="C30" s="32">
        <f>IFERROR('Profit &amp; Loss'!C10/'Profit &amp; Loss'!C4,"NA")</f>
        <v>0.20724560468833245</v>
      </c>
      <c r="D30" s="32">
        <f>IFERROR('Profit &amp; Loss'!D10/'Profit &amp; Loss'!D4,"NA")</f>
        <v>0.10336341263330599</v>
      </c>
      <c r="E30" s="32">
        <f>IFERROR('Profit &amp; Loss'!E10/'Profit &amp; Loss'!E4,"NA")</f>
        <v>-0.31148867313915862</v>
      </c>
      <c r="F30" s="32">
        <f>IFERROR('Profit &amp; Loss'!F10/'Profit &amp; Loss'!F4,"NA")</f>
        <v>-0.37176470588235294</v>
      </c>
      <c r="G30" s="32">
        <f>IFERROR('Profit &amp; Loss'!G10/'Profit &amp; Loss'!G4,"NA")</f>
        <v>2.9304029304029307E-2</v>
      </c>
      <c r="H30" s="32">
        <f>IFERROR('Profit &amp; Loss'!H10/'Profit &amp; Loss'!H4,"NA")</f>
        <v>2.7713625866050806E-2</v>
      </c>
      <c r="I30" s="32">
        <f>IFERROR('Profit &amp; Loss'!I10/'Profit &amp; Loss'!I4,"NA")</f>
        <v>4.8239436619718315E-2</v>
      </c>
      <c r="J30" s="32">
        <f>IFERROR('Profit &amp; Loss'!J10/'Profit &amp; Loss'!J4,"NA")</f>
        <v>5.1203277009728623E-3</v>
      </c>
      <c r="K30" s="32">
        <f>IFERROR('Profit &amp; Loss'!K10/'Profit &amp; Loss'!K4,"NA")</f>
        <v>0.25742574257425743</v>
      </c>
      <c r="L30" s="32">
        <f>IFERROR('Profit &amp; Loss'!L10/'Profit &amp; Loss'!L4,"NA")</f>
        <v>0.40121488230827645</v>
      </c>
      <c r="N30" s="32">
        <f>(L30/C30)^(1/(9-1))-1</f>
        <v>8.6079116865755756E-2</v>
      </c>
      <c r="O30" s="32">
        <f>MIN(C30:L30)</f>
        <v>-0.37176470588235294</v>
      </c>
      <c r="P30" s="32">
        <f>MAX(C30:L30)</f>
        <v>0.40121488230827645</v>
      </c>
      <c r="Q30" s="34">
        <f>AVERAGE(C30:L30)</f>
        <v>3.9637368267343202E-2</v>
      </c>
    </row>
    <row r="31" spans="1:17" ht="23.25" x14ac:dyDescent="0.25">
      <c r="A31" s="58" t="s">
        <v>97</v>
      </c>
      <c r="B31" s="41" t="s">
        <v>151</v>
      </c>
      <c r="C31" s="32">
        <f>IFERROR('Profit &amp; Loss'!C12/'Profit &amp; Loss'!C4,"NA")</f>
        <v>0.14437932871603623</v>
      </c>
      <c r="D31" s="32">
        <f>IFERROR('Profit &amp; Loss'!D12/'Profit &amp; Loss'!D4,"NA")</f>
        <v>4.4708777686628391E-2</v>
      </c>
      <c r="E31" s="32">
        <f>IFERROR('Profit &amp; Loss'!E12/'Profit &amp; Loss'!E4,"NA")</f>
        <v>-0.22006472491909387</v>
      </c>
      <c r="F31" s="32">
        <f>IFERROR('Profit &amp; Loss'!F12/'Profit &amp; Loss'!F4,"NA")</f>
        <v>-0.22823529411764706</v>
      </c>
      <c r="G31" s="32">
        <f>IFERROR('Profit &amp; Loss'!G12/'Profit &amp; Loss'!G4,"NA")</f>
        <v>2.0408163265306124E-2</v>
      </c>
      <c r="H31" s="32">
        <f>IFERROR('Profit &amp; Loss'!H12/'Profit &amp; Loss'!H4,"NA")</f>
        <v>2.270977675134719E-2</v>
      </c>
      <c r="I31" s="32">
        <f>IFERROR('Profit &amp; Loss'!I12/'Profit &amp; Loss'!I4,"NA")</f>
        <v>3.0281690140845072E-2</v>
      </c>
      <c r="J31" s="32">
        <f>IFERROR('Profit &amp; Loss'!J12/'Profit &amp; Loss'!J4,"NA")</f>
        <v>2.5601638504864311E-3</v>
      </c>
      <c r="K31" s="32">
        <f>IFERROR('Profit &amp; Loss'!K12/'Profit &amp; Loss'!K4,"NA")</f>
        <v>0.17349234923492349</v>
      </c>
      <c r="L31" s="32">
        <f>IFERROR('Profit &amp; Loss'!L12/'Profit &amp; Loss'!L4,"NA")</f>
        <v>0.2543659832953683</v>
      </c>
      <c r="M31" s="72">
        <f>AVERAGE(J31:L31)</f>
        <v>0.14347283212692608</v>
      </c>
      <c r="N31" s="32">
        <f>(L31/C31)^(1/(9-1))-1</f>
        <v>7.3357145320758654E-2</v>
      </c>
      <c r="O31" s="32">
        <f>MIN(C31:L31)</f>
        <v>-0.22823529411764706</v>
      </c>
      <c r="P31" s="32">
        <f>MAX(C31:L31)</f>
        <v>0.2543659832953683</v>
      </c>
      <c r="Q31" s="34">
        <f>AVERAGE(C31:L31)</f>
        <v>2.4460621390420035E-2</v>
      </c>
    </row>
    <row r="32" spans="1:17" x14ac:dyDescent="0.25">
      <c r="A32" s="58" t="s">
        <v>368</v>
      </c>
      <c r="B32" s="41"/>
      <c r="C32" s="32">
        <f>'Data Sheet'!C29/'Data Sheet'!C28</f>
        <v>0.30334190231362468</v>
      </c>
      <c r="D32" s="32">
        <f>'Data Sheet'!D29/'Data Sheet'!D28</f>
        <v>0.56746031746031744</v>
      </c>
      <c r="E32" s="32">
        <f>'Data Sheet'!E29/'Data Sheet'!E28</f>
        <v>0.29350649350649349</v>
      </c>
      <c r="F32" s="32">
        <f>'Data Sheet'!F29/'Data Sheet'!F28</f>
        <v>0.38607594936708856</v>
      </c>
      <c r="G32" s="32">
        <f>'Data Sheet'!G29/'Data Sheet'!G28</f>
        <v>0.30357142857142855</v>
      </c>
      <c r="H32" s="32">
        <f>'Data Sheet'!H29/'Data Sheet'!H28</f>
        <v>0.18055555555555558</v>
      </c>
      <c r="I32" s="32">
        <f>'Data Sheet'!I29/'Data Sheet'!I28</f>
        <v>0.37226277372262773</v>
      </c>
      <c r="J32" s="32">
        <f>'Data Sheet'!J29/'Data Sheet'!J28</f>
        <v>0.6</v>
      </c>
      <c r="K32" s="32">
        <f>'Data Sheet'!K29/'Data Sheet'!K28</f>
        <v>0.32604895104895104</v>
      </c>
      <c r="L32" s="32">
        <f>'Data Sheet'!L29/'Data Sheet'!L28</f>
        <v>0.36623690572119255</v>
      </c>
      <c r="N32" s="32"/>
      <c r="O32" s="32"/>
      <c r="P32" s="32"/>
      <c r="Q32" s="34"/>
    </row>
    <row r="33" spans="1:17" x14ac:dyDescent="0.25">
      <c r="A33" s="58" t="s">
        <v>590</v>
      </c>
      <c r="B33" s="41"/>
      <c r="C33" s="32">
        <f>'Data Sheet'!C67/'Data Sheet'!C17</f>
        <v>0.17314864144912095</v>
      </c>
      <c r="D33" s="32">
        <f>'Data Sheet'!D67/'Data Sheet'!D17</f>
        <v>3.0762920426579164E-2</v>
      </c>
      <c r="E33" s="32">
        <f>'Data Sheet'!E67/'Data Sheet'!E17</f>
        <v>0.25</v>
      </c>
      <c r="F33" s="32">
        <f>'Data Sheet'!F67/'Data Sheet'!F17</f>
        <v>0.1988235294117647</v>
      </c>
      <c r="G33" s="32">
        <f>'Data Sheet'!G67/'Data Sheet'!G17</f>
        <v>9.7854526425955005E-2</v>
      </c>
      <c r="H33" s="32">
        <f>'Data Sheet'!H67/'Data Sheet'!H17</f>
        <v>0.10392609699769054</v>
      </c>
      <c r="I33" s="32">
        <f>'Data Sheet'!I67/'Data Sheet'!I17</f>
        <v>4.507042253521127E-2</v>
      </c>
      <c r="J33" s="32">
        <f>'Data Sheet'!J67/'Data Sheet'!J17</f>
        <v>0.16231438812083973</v>
      </c>
      <c r="K33" s="32">
        <f>'Data Sheet'!K67/'Data Sheet'!K17</f>
        <v>0.18406840684068407</v>
      </c>
      <c r="L33" s="32">
        <f>'Data Sheet'!L67/'Data Sheet'!L17</f>
        <v>0.21704285246974156</v>
      </c>
      <c r="N33" s="32"/>
      <c r="O33" s="32"/>
      <c r="P33" s="32"/>
      <c r="Q33" s="34">
        <f>AVERAGE(H33:L33)</f>
        <v>0.14248443339283343</v>
      </c>
    </row>
    <row r="34" spans="1:17" x14ac:dyDescent="0.25">
      <c r="A34" s="58" t="s">
        <v>591</v>
      </c>
      <c r="B34" s="41"/>
      <c r="C34" s="32">
        <f>'Data Sheet'!C68/'Data Sheet'!C17</f>
        <v>0.15823122003196591</v>
      </c>
      <c r="D34" s="32">
        <f>'Data Sheet'!D68/'Data Sheet'!D17</f>
        <v>9.5159967186218206E-2</v>
      </c>
      <c r="E34" s="32">
        <f>'Data Sheet'!E68/'Data Sheet'!E17</f>
        <v>0.16909385113268607</v>
      </c>
      <c r="F34" s="32">
        <f>'Data Sheet'!F68/'Data Sheet'!F17</f>
        <v>0.23411764705882354</v>
      </c>
      <c r="G34" s="32">
        <f>'Data Sheet'!G68/'Data Sheet'!G17</f>
        <v>0.15384615384615385</v>
      </c>
      <c r="H34" s="32">
        <f>'Data Sheet'!H68/'Data Sheet'!H17</f>
        <v>0.15204003079291764</v>
      </c>
      <c r="I34" s="32">
        <f>'Data Sheet'!I68/'Data Sheet'!I17</f>
        <v>0.10457746478873241</v>
      </c>
      <c r="J34" s="32">
        <f>'Data Sheet'!J68/'Data Sheet'!J17</f>
        <v>0.2411674347158218</v>
      </c>
      <c r="K34" s="32">
        <f>'Data Sheet'!K68/'Data Sheet'!K17</f>
        <v>7.8082808280828087E-2</v>
      </c>
      <c r="L34" s="32">
        <f>'Data Sheet'!L68/'Data Sheet'!L17</f>
        <v>5.5937193326790972E-2</v>
      </c>
      <c r="N34" s="32"/>
      <c r="O34" s="32"/>
      <c r="P34" s="32"/>
      <c r="Q34" s="34">
        <f>AVERAGE(H34:L34)</f>
        <v>0.12636098638101817</v>
      </c>
    </row>
    <row r="35" spans="1:17" x14ac:dyDescent="0.25">
      <c r="A35" s="58" t="s">
        <v>955</v>
      </c>
      <c r="B35" s="41"/>
      <c r="C35" s="32">
        <f>C48/'Data Sheet'!C17</f>
        <v>0.17155034629728283</v>
      </c>
      <c r="D35" s="32">
        <f>D48/'Data Sheet'!D17</f>
        <v>0.16283839212469237</v>
      </c>
      <c r="E35" s="32">
        <f>E48/'Data Sheet'!E17</f>
        <v>0.17152103559870543</v>
      </c>
      <c r="F35" s="32">
        <f>F48/'Data Sheet'!F17</f>
        <v>0.24352941176470591</v>
      </c>
      <c r="G35" s="32">
        <f>G48/'Data Sheet'!G17</f>
        <v>0.14652014652014655</v>
      </c>
      <c r="H35" s="32">
        <f>H48/'Data Sheet'!H17</f>
        <v>0.14857582755966128</v>
      </c>
      <c r="I35" s="32">
        <f>I48/'Data Sheet'!I17</f>
        <v>0.1306338028169014</v>
      </c>
      <c r="J35" s="32">
        <f>J48/'Data Sheet'!J17</f>
        <v>0.28213005632360472</v>
      </c>
      <c r="K35" s="32">
        <f>K48/'Data Sheet'!K17</f>
        <v>0.2412241224122412</v>
      </c>
      <c r="L35" s="32">
        <f>L48/'Data Sheet'!L17</f>
        <v>0.3434739941118744</v>
      </c>
      <c r="N35" s="32">
        <f>IFERROR((L35/G35)^(1/(5-1))-1,-0.1)</f>
        <v>0.23736870836639734</v>
      </c>
      <c r="O35" s="32"/>
      <c r="P35" s="32"/>
      <c r="Q35" s="34"/>
    </row>
    <row r="36" spans="1:17" ht="18.75" x14ac:dyDescent="0.25">
      <c r="A36" s="56" t="s">
        <v>238</v>
      </c>
      <c r="B36" s="41"/>
      <c r="C36" s="52">
        <f>C1</f>
        <v>39172</v>
      </c>
      <c r="D36" s="52">
        <f t="shared" ref="D36:L36" si="2">D1</f>
        <v>39538</v>
      </c>
      <c r="E36" s="52">
        <f t="shared" si="2"/>
        <v>39903</v>
      </c>
      <c r="F36" s="52">
        <f t="shared" si="2"/>
        <v>40268</v>
      </c>
      <c r="G36" s="52">
        <f t="shared" si="2"/>
        <v>40633</v>
      </c>
      <c r="H36" s="52">
        <f t="shared" si="2"/>
        <v>40999</v>
      </c>
      <c r="I36" s="52">
        <f t="shared" si="2"/>
        <v>41364</v>
      </c>
      <c r="J36" s="52">
        <f t="shared" si="2"/>
        <v>41729</v>
      </c>
      <c r="K36" s="52">
        <f t="shared" si="2"/>
        <v>42094</v>
      </c>
      <c r="L36" s="52">
        <f t="shared" si="2"/>
        <v>42430</v>
      </c>
      <c r="N36" s="32"/>
      <c r="O36" s="32"/>
      <c r="P36" s="32"/>
    </row>
    <row r="37" spans="1:17" x14ac:dyDescent="0.25">
      <c r="A37" s="58" t="s">
        <v>318</v>
      </c>
      <c r="B37" s="41"/>
      <c r="C37" s="106"/>
      <c r="D37" s="106"/>
      <c r="E37" s="106"/>
      <c r="F37" s="106"/>
      <c r="G37" s="180"/>
      <c r="H37" s="180"/>
      <c r="I37" s="180"/>
      <c r="J37" s="180"/>
      <c r="K37" s="180"/>
      <c r="L37" s="180"/>
      <c r="N37" s="32"/>
      <c r="O37" s="32"/>
      <c r="P37" s="32"/>
    </row>
    <row r="38" spans="1:17" x14ac:dyDescent="0.25">
      <c r="A38" s="58" t="s">
        <v>319</v>
      </c>
      <c r="B38" s="41"/>
      <c r="C38" s="106"/>
      <c r="D38" s="106"/>
      <c r="E38" s="106"/>
      <c r="F38" s="106"/>
      <c r="G38" s="180"/>
      <c r="H38" s="180"/>
      <c r="I38" s="180"/>
      <c r="J38" s="180"/>
      <c r="K38" s="180"/>
      <c r="L38" s="180"/>
      <c r="N38" s="32"/>
      <c r="O38" s="32"/>
      <c r="P38" s="32"/>
    </row>
    <row r="39" spans="1:17" x14ac:dyDescent="0.25">
      <c r="A39" s="58" t="s">
        <v>215</v>
      </c>
      <c r="B39" s="41" t="s">
        <v>216</v>
      </c>
      <c r="C39" s="52"/>
      <c r="D39" s="52"/>
      <c r="E39" s="52"/>
      <c r="F39" s="52"/>
      <c r="G39" s="52"/>
      <c r="H39" s="52"/>
      <c r="I39" s="52"/>
      <c r="J39" s="52"/>
      <c r="K39" s="52"/>
      <c r="L39" s="52"/>
      <c r="N39" s="32"/>
      <c r="O39" s="32"/>
      <c r="P39" s="32"/>
    </row>
    <row r="40" spans="1:17" ht="23.25" x14ac:dyDescent="0.25">
      <c r="A40" s="58" t="s">
        <v>140</v>
      </c>
      <c r="B40" s="41" t="s">
        <v>159</v>
      </c>
      <c r="C40" s="48">
        <f>'Data Sheet'!C90</f>
        <v>47.32</v>
      </c>
      <c r="D40" s="48">
        <f>'Data Sheet'!D90</f>
        <v>17.940000000000001</v>
      </c>
      <c r="E40" s="48">
        <f>'Data Sheet'!E90</f>
        <v>6.19</v>
      </c>
      <c r="F40" s="48">
        <f>'Data Sheet'!F90</f>
        <v>10.24</v>
      </c>
      <c r="G40" s="48">
        <f>'Data Sheet'!G90</f>
        <v>8.16</v>
      </c>
      <c r="H40" s="48">
        <f>'Data Sheet'!H90</f>
        <v>6.75</v>
      </c>
      <c r="I40" s="48">
        <f>'Data Sheet'!I90</f>
        <v>9.27</v>
      </c>
      <c r="J40" s="48">
        <f>'Data Sheet'!J90</f>
        <v>9.89</v>
      </c>
      <c r="K40" s="48">
        <f>'Data Sheet'!K90</f>
        <v>100.07</v>
      </c>
      <c r="L40" s="48">
        <f>'Data Sheet'!L90</f>
        <v>273</v>
      </c>
      <c r="N40" s="32">
        <f>(L40/I40)^(1/(3-1))-1</f>
        <v>4.4267705117963363</v>
      </c>
      <c r="O40" s="32"/>
      <c r="P40" s="32"/>
    </row>
    <row r="41" spans="1:17" x14ac:dyDescent="0.25">
      <c r="A41" s="58" t="s">
        <v>221</v>
      </c>
      <c r="B41" s="44" t="s">
        <v>222</v>
      </c>
      <c r="C41" s="49">
        <f>'Data Sheet'!C70/10000000</f>
        <v>0.74326000000000003</v>
      </c>
      <c r="D41" s="49">
        <f>'Data Sheet'!D70/10000000</f>
        <v>0.78725999999999996</v>
      </c>
      <c r="E41" s="49">
        <f>'Data Sheet'!E70/10000000</f>
        <v>0.78725999999999996</v>
      </c>
      <c r="F41" s="49">
        <f>'Data Sheet'!F70/10000000</f>
        <v>0.84650000000000003</v>
      </c>
      <c r="G41" s="49">
        <f>'Data Sheet'!G70/10000000</f>
        <v>0.89729000000000003</v>
      </c>
      <c r="H41" s="49">
        <f>'Data Sheet'!H70/10000000</f>
        <v>0.97099999999999997</v>
      </c>
      <c r="I41" s="49">
        <f>'Data Sheet'!I70/10000000</f>
        <v>1.1114999999999999</v>
      </c>
      <c r="J41" s="49">
        <f>'Data Sheet'!J70/10000000</f>
        <v>1.1114999999999999</v>
      </c>
      <c r="K41" s="49">
        <f>'Data Sheet'!K70/10000000</f>
        <v>1.1114999999999999</v>
      </c>
      <c r="L41" s="49">
        <f>'Data Sheet'!L70/10000000</f>
        <v>1.1114999999999999</v>
      </c>
      <c r="N41" s="32">
        <f>(L41/C41)^(1/(9-1))-1</f>
        <v>5.1589129956788105E-2</v>
      </c>
      <c r="O41" s="32"/>
      <c r="P41" s="32"/>
    </row>
    <row r="42" spans="1:17" ht="23.25" x14ac:dyDescent="0.25">
      <c r="A42" s="58" t="s">
        <v>143</v>
      </c>
      <c r="B42" s="41" t="s">
        <v>160</v>
      </c>
      <c r="C42" s="50">
        <f>'Data Sheet'!C70*'Financial Analysis'!C40/10000000</f>
        <v>35.171063199999999</v>
      </c>
      <c r="D42" s="50">
        <f>'Data Sheet'!D70*'Financial Analysis'!D40/10000000</f>
        <v>14.1234444</v>
      </c>
      <c r="E42" s="50">
        <f>'Data Sheet'!E70*'Financial Analysis'!E40/10000000</f>
        <v>4.8731394000000003</v>
      </c>
      <c r="F42" s="50">
        <f>'Data Sheet'!F70*'Financial Analysis'!F40/10000000</f>
        <v>8.6681600000000003</v>
      </c>
      <c r="G42" s="50">
        <f>'Data Sheet'!G70*'Financial Analysis'!G40/10000000</f>
        <v>7.3218864000000004</v>
      </c>
      <c r="H42" s="50">
        <f>'Data Sheet'!H70*'Financial Analysis'!H40/10000000</f>
        <v>6.5542499999999997</v>
      </c>
      <c r="I42" s="50">
        <f>'Data Sheet'!I70*'Financial Analysis'!I40/10000000</f>
        <v>10.303604999999999</v>
      </c>
      <c r="J42" s="50">
        <f>'Data Sheet'!J70*'Financial Analysis'!J40/10000000</f>
        <v>10.992735</v>
      </c>
      <c r="K42" s="50">
        <f>'Data Sheet'!K70*'Financial Analysis'!K40/10000000</f>
        <v>111.227805</v>
      </c>
      <c r="L42" s="50">
        <f>'Data Sheet'!L70*'Financial Analysis'!L40/10000000</f>
        <v>303.43950000000001</v>
      </c>
      <c r="N42" s="32">
        <f>(L42/I42)^(1/(3-1))-1</f>
        <v>4.4267705117963363</v>
      </c>
      <c r="O42" s="32" t="s">
        <v>556</v>
      </c>
      <c r="P42" s="32" t="s">
        <v>557</v>
      </c>
      <c r="Q42" s="33" t="s">
        <v>558</v>
      </c>
    </row>
    <row r="43" spans="1:17" x14ac:dyDescent="0.25">
      <c r="A43" s="58" t="s">
        <v>220</v>
      </c>
      <c r="B43" s="41" t="s">
        <v>222</v>
      </c>
      <c r="C43" s="51">
        <f>'Data Sheet'!C31</f>
        <v>0</v>
      </c>
      <c r="D43" s="51">
        <f>'Data Sheet'!D31</f>
        <v>0</v>
      </c>
      <c r="E43" s="51">
        <f>'Data Sheet'!E31</f>
        <v>0</v>
      </c>
      <c r="F43" s="51">
        <f>'Data Sheet'!F31</f>
        <v>0</v>
      </c>
      <c r="G43" s="51">
        <f>'Data Sheet'!G31</f>
        <v>0</v>
      </c>
      <c r="H43" s="51">
        <f>'Data Sheet'!H31</f>
        <v>0</v>
      </c>
      <c r="I43" s="51">
        <f>'Data Sheet'!I31</f>
        <v>0</v>
      </c>
      <c r="J43" s="51">
        <f>'Data Sheet'!J31</f>
        <v>0</v>
      </c>
      <c r="K43" s="51">
        <f>'Data Sheet'!K31</f>
        <v>0.26</v>
      </c>
      <c r="L43" s="51">
        <f>'Data Sheet'!L31</f>
        <v>0.26</v>
      </c>
      <c r="N43" s="32" t="e">
        <f>(L43/C43)^(1/(9-1))-1</f>
        <v>#DIV/0!</v>
      </c>
      <c r="O43" s="47">
        <f t="shared" ref="O43:O55" si="3">SUM(D43:L43)</f>
        <v>0.52</v>
      </c>
      <c r="P43" s="47">
        <f t="shared" ref="P43:P55" si="4">SUM(H43:L43)</f>
        <v>0.52</v>
      </c>
      <c r="Q43" s="105">
        <f t="shared" ref="Q43:Q55" si="5">SUM(J43:L43)</f>
        <v>0.52</v>
      </c>
    </row>
    <row r="44" spans="1:17" x14ac:dyDescent="0.25">
      <c r="A44" s="58" t="s">
        <v>217</v>
      </c>
      <c r="B44" s="41" t="s">
        <v>222</v>
      </c>
      <c r="C44" s="47">
        <f>'Cash Flow'!C4</f>
        <v>1.41</v>
      </c>
      <c r="D44" s="47">
        <f>'Cash Flow'!D4</f>
        <v>3.89</v>
      </c>
      <c r="E44" s="47">
        <f>'Cash Flow'!E4</f>
        <v>0.45</v>
      </c>
      <c r="F44" s="47">
        <f>'Cash Flow'!F4</f>
        <v>0.64</v>
      </c>
      <c r="G44" s="47">
        <f>'Cash Flow'!G4</f>
        <v>1.46</v>
      </c>
      <c r="H44" s="47">
        <f>'Cash Flow'!H4</f>
        <v>1.91</v>
      </c>
      <c r="I44" s="47">
        <f>'Cash Flow'!I4</f>
        <v>1.91</v>
      </c>
      <c r="J44" s="47">
        <f>'Cash Flow'!J4</f>
        <v>-0.28999999999999998</v>
      </c>
      <c r="K44" s="47">
        <f>'Cash Flow'!K4</f>
        <v>6.85</v>
      </c>
      <c r="L44" s="47">
        <f>'Cash Flow'!L4</f>
        <v>14</v>
      </c>
      <c r="N44" s="32">
        <f>(L44/C44)^(1/(9-1))-1</f>
        <v>0.33233554779584273</v>
      </c>
      <c r="O44" s="47">
        <f t="shared" si="3"/>
        <v>30.82</v>
      </c>
      <c r="P44" s="47">
        <f t="shared" si="4"/>
        <v>24.38</v>
      </c>
      <c r="Q44" s="105">
        <f t="shared" si="5"/>
        <v>20.56</v>
      </c>
    </row>
    <row r="45" spans="1:17" ht="34.5" x14ac:dyDescent="0.25">
      <c r="A45" s="58" t="s">
        <v>218</v>
      </c>
      <c r="B45" s="41" t="s">
        <v>237</v>
      </c>
      <c r="C45" s="47"/>
      <c r="D45" s="47">
        <f>('Data Sheet'!D62-'Data Sheet'!C62)+('Data Sheet'!D63-'Data Sheet'!C63)+'Data Sheet'!D26</f>
        <v>5.9499999999999993</v>
      </c>
      <c r="E45" s="47">
        <f>('Data Sheet'!E62-'Data Sheet'!D62)+('Data Sheet'!E63-'Data Sheet'!D63)+'Data Sheet'!E26</f>
        <v>3.2799999999999989</v>
      </c>
      <c r="F45" s="47">
        <f>('Data Sheet'!F62-'Data Sheet'!E62)+('Data Sheet'!F63-'Data Sheet'!E63)+'Data Sheet'!F26</f>
        <v>6.0000000000001608E-2</v>
      </c>
      <c r="G45" s="47">
        <f>('Data Sheet'!G62-'Data Sheet'!F62)+('Data Sheet'!G63-'Data Sheet'!F63)+'Data Sheet'!G26</f>
        <v>0.1800000000000006</v>
      </c>
      <c r="H45" s="47">
        <f>('Data Sheet'!H62-'Data Sheet'!G62)+('Data Sheet'!H63-'Data Sheet'!G63)+'Data Sheet'!H26</f>
        <v>0.36999999999999988</v>
      </c>
      <c r="I45" s="47">
        <f>('Data Sheet'!I62-'Data Sheet'!H62)+('Data Sheet'!I63-'Data Sheet'!H63)+'Data Sheet'!I26</f>
        <v>1.769999999999998</v>
      </c>
      <c r="J45" s="47">
        <f>('Data Sheet'!J62-'Data Sheet'!I62)+('Data Sheet'!J63-'Data Sheet'!I63)+'Data Sheet'!J26</f>
        <v>0.59000000000000186</v>
      </c>
      <c r="K45" s="47">
        <f>('Data Sheet'!K62-'Data Sheet'!J62)+('Data Sheet'!K63-'Data Sheet'!J63)+'Data Sheet'!K26</f>
        <v>1.1599999999999984</v>
      </c>
      <c r="L45" s="47">
        <f>('Data Sheet'!L62-'Data Sheet'!K62)+('Data Sheet'!L63-'Data Sheet'!K63)+'Data Sheet'!L26</f>
        <v>1.8700000000000012</v>
      </c>
      <c r="N45" s="55">
        <f>SUM(D45:L45)/COUNT(D45:L45)</f>
        <v>1.6922222222222223</v>
      </c>
      <c r="O45" s="47">
        <f t="shared" si="3"/>
        <v>15.23</v>
      </c>
      <c r="P45" s="47">
        <f t="shared" si="4"/>
        <v>5.7599999999999989</v>
      </c>
      <c r="Q45" s="105">
        <f t="shared" si="5"/>
        <v>3.6200000000000014</v>
      </c>
    </row>
    <row r="46" spans="1:17" ht="23.25" x14ac:dyDescent="0.25">
      <c r="A46" s="58" t="s">
        <v>768</v>
      </c>
      <c r="B46" s="41" t="s">
        <v>766</v>
      </c>
      <c r="C46" s="47">
        <f>'Data Sheet'!C82-'Financial Analysis'!C45</f>
        <v>1.41</v>
      </c>
      <c r="D46" s="47">
        <f>'Data Sheet'!D82-'Financial Analysis'!D45</f>
        <v>-2.0599999999999992</v>
      </c>
      <c r="E46" s="47">
        <f>'Data Sheet'!E82-'Financial Analysis'!E45</f>
        <v>-2.8299999999999987</v>
      </c>
      <c r="F46" s="47">
        <f>'Data Sheet'!F82-'Financial Analysis'!F45</f>
        <v>0.57999999999999841</v>
      </c>
      <c r="G46" s="47">
        <f>'Data Sheet'!G82-'Financial Analysis'!G45</f>
        <v>1.2799999999999994</v>
      </c>
      <c r="H46" s="47">
        <f>'Data Sheet'!H82-'Financial Analysis'!H45</f>
        <v>1.54</v>
      </c>
      <c r="I46" s="47">
        <f>'Data Sheet'!I82-'Financial Analysis'!I45</f>
        <v>0.1400000000000019</v>
      </c>
      <c r="J46" s="47">
        <f>'Data Sheet'!J82-'Financial Analysis'!J45</f>
        <v>-0.88000000000000189</v>
      </c>
      <c r="K46" s="47">
        <f>'Data Sheet'!K82-'Financial Analysis'!K45</f>
        <v>5.6900000000000013</v>
      </c>
      <c r="L46" s="47">
        <f>'Data Sheet'!L82-'Financial Analysis'!L45</f>
        <v>12.129999999999999</v>
      </c>
      <c r="N46" s="32">
        <f>(AVERAGE(I46:L46)/AVERAGE(E46:H46))^(1/(5-1))-1</f>
        <v>1.3396627068972298</v>
      </c>
      <c r="O46" s="47">
        <f t="shared" si="3"/>
        <v>15.59</v>
      </c>
      <c r="P46" s="47">
        <f t="shared" si="4"/>
        <v>18.62</v>
      </c>
      <c r="Q46" s="105">
        <f t="shared" si="5"/>
        <v>16.939999999999998</v>
      </c>
    </row>
    <row r="47" spans="1:17" ht="34.5" x14ac:dyDescent="0.25">
      <c r="A47" s="58" t="s">
        <v>219</v>
      </c>
      <c r="B47" s="41" t="s">
        <v>758</v>
      </c>
      <c r="C47" s="47">
        <f>'Data Sheet'!C82-'Financial Analysis'!C45-'Data Sheet'!C31</f>
        <v>1.41</v>
      </c>
      <c r="D47" s="47">
        <f>'Data Sheet'!D82-'Financial Analysis'!D45-'Data Sheet'!D31</f>
        <v>-2.0599999999999992</v>
      </c>
      <c r="E47" s="47">
        <f>'Data Sheet'!E82-'Financial Analysis'!E45-'Data Sheet'!E31</f>
        <v>-2.8299999999999987</v>
      </c>
      <c r="F47" s="47">
        <f>'Data Sheet'!F82-'Financial Analysis'!F45-'Data Sheet'!F31</f>
        <v>0.57999999999999841</v>
      </c>
      <c r="G47" s="47">
        <f>'Data Sheet'!G82-'Financial Analysis'!G45-'Data Sheet'!G31</f>
        <v>1.2799999999999994</v>
      </c>
      <c r="H47" s="47">
        <f>'Data Sheet'!H82-'Financial Analysis'!H45-'Data Sheet'!H31</f>
        <v>1.54</v>
      </c>
      <c r="I47" s="47">
        <f>'Data Sheet'!I82-'Financial Analysis'!I45-'Data Sheet'!I31</f>
        <v>0.1400000000000019</v>
      </c>
      <c r="J47" s="47">
        <f>'Data Sheet'!J82-'Financial Analysis'!J45-'Data Sheet'!J31</f>
        <v>-0.88000000000000189</v>
      </c>
      <c r="K47" s="47">
        <f>'Data Sheet'!K82-'Financial Analysis'!K45-'Data Sheet'!K31</f>
        <v>5.4300000000000015</v>
      </c>
      <c r="L47" s="47">
        <f>'Data Sheet'!L82-'Financial Analysis'!L45-'Data Sheet'!L31</f>
        <v>11.87</v>
      </c>
      <c r="N47" s="32">
        <f>(AVERAGE(I47:L47)/AVERAGE(E47:H47))^(1/(5-1))-1</f>
        <v>1.3216479731787727</v>
      </c>
      <c r="O47" s="47">
        <f t="shared" si="3"/>
        <v>15.07</v>
      </c>
      <c r="P47" s="47">
        <f t="shared" si="4"/>
        <v>18.100000000000001</v>
      </c>
      <c r="Q47" s="105">
        <f t="shared" si="5"/>
        <v>16.419999999999998</v>
      </c>
    </row>
    <row r="48" spans="1:17" ht="23.25" x14ac:dyDescent="0.25">
      <c r="A48" s="58" t="s">
        <v>223</v>
      </c>
      <c r="B48" s="41" t="s">
        <v>185</v>
      </c>
      <c r="C48" s="47">
        <f>'Balance Sheet'!C16</f>
        <v>3.2199999999999989</v>
      </c>
      <c r="D48" s="47">
        <f>'Balance Sheet'!D16</f>
        <v>3.9699999999999998</v>
      </c>
      <c r="E48" s="47">
        <f>'Balance Sheet'!E16</f>
        <v>2.1199999999999992</v>
      </c>
      <c r="F48" s="47">
        <f>'Balance Sheet'!F16</f>
        <v>2.0700000000000003</v>
      </c>
      <c r="G48" s="47">
        <f>'Balance Sheet'!G16</f>
        <v>2.8000000000000007</v>
      </c>
      <c r="H48" s="47">
        <f>'Balance Sheet'!H16</f>
        <v>3.8600000000000003</v>
      </c>
      <c r="I48" s="47">
        <f>'Balance Sheet'!I16</f>
        <v>3.71</v>
      </c>
      <c r="J48" s="47">
        <f>'Balance Sheet'!J16</f>
        <v>5.5100000000000007</v>
      </c>
      <c r="K48" s="47">
        <f>'Balance Sheet'!K16</f>
        <v>10.719999999999999</v>
      </c>
      <c r="L48" s="47">
        <f>'Balance Sheet'!L16</f>
        <v>21</v>
      </c>
      <c r="N48" s="32">
        <f t="shared" ref="N48:N55" si="6">(L48/C48)^(1/(9-1))-1</f>
        <v>0.26414074038923041</v>
      </c>
      <c r="O48" s="47">
        <f t="shared" si="3"/>
        <v>55.760000000000005</v>
      </c>
      <c r="P48" s="47">
        <f t="shared" si="4"/>
        <v>44.8</v>
      </c>
      <c r="Q48" s="105">
        <f t="shared" si="5"/>
        <v>37.230000000000004</v>
      </c>
    </row>
    <row r="49" spans="1:17" ht="34.5" x14ac:dyDescent="0.25">
      <c r="A49" s="58" t="s">
        <v>224</v>
      </c>
      <c r="B49" s="41" t="s">
        <v>236</v>
      </c>
      <c r="C49" s="47">
        <f>C48-'Data Sheet'!C69</f>
        <v>3.1399999999999988</v>
      </c>
      <c r="D49" s="47">
        <f>D48-'Data Sheet'!D69</f>
        <v>2.2999999999999998</v>
      </c>
      <c r="E49" s="47">
        <f>E48-'Data Sheet'!E69</f>
        <v>1.8399999999999992</v>
      </c>
      <c r="F49" s="47">
        <f>F48-'Data Sheet'!F69</f>
        <v>1.9200000000000004</v>
      </c>
      <c r="G49" s="47">
        <f>G48-'Data Sheet'!G69</f>
        <v>2.6200000000000006</v>
      </c>
      <c r="H49" s="47">
        <f>H48-'Data Sheet'!H69</f>
        <v>3.62</v>
      </c>
      <c r="I49" s="47">
        <f>I48-'Data Sheet'!I69</f>
        <v>3.32</v>
      </c>
      <c r="J49" s="47">
        <f>J48-'Data Sheet'!J69</f>
        <v>5.2600000000000007</v>
      </c>
      <c r="K49" s="47">
        <f>K48-'Data Sheet'!K69</f>
        <v>7.5199999999999987</v>
      </c>
      <c r="L49" s="47">
        <f>L48-'Data Sheet'!L69</f>
        <v>11.81</v>
      </c>
      <c r="N49" s="32">
        <f t="shared" si="6"/>
        <v>0.18008973097564929</v>
      </c>
      <c r="O49" s="47">
        <f t="shared" si="3"/>
        <v>40.21</v>
      </c>
      <c r="P49" s="47">
        <f t="shared" si="4"/>
        <v>31.53</v>
      </c>
      <c r="Q49" s="105">
        <f t="shared" si="5"/>
        <v>24.59</v>
      </c>
    </row>
    <row r="50" spans="1:17" x14ac:dyDescent="0.25">
      <c r="A50" s="58" t="s">
        <v>225</v>
      </c>
      <c r="B50" s="41"/>
      <c r="C50" s="51">
        <f>SUM('Data Sheet'!C57:C59)</f>
        <v>19.23</v>
      </c>
      <c r="D50" s="51">
        <f>SUM('Data Sheet'!D57:D59)</f>
        <v>23.419999999999998</v>
      </c>
      <c r="E50" s="51">
        <f>SUM('Data Sheet'!E57:E59)</f>
        <v>22.91</v>
      </c>
      <c r="F50" s="51">
        <f>SUM('Data Sheet'!F57:F59)</f>
        <v>21.2</v>
      </c>
      <c r="G50" s="51">
        <f>SUM('Data Sheet'!G57:G59)</f>
        <v>20.96</v>
      </c>
      <c r="H50" s="51">
        <f>SUM('Data Sheet'!H57:H59)</f>
        <v>21.18</v>
      </c>
      <c r="I50" s="51">
        <f>SUM('Data Sheet'!I57:I59)</f>
        <v>21.06</v>
      </c>
      <c r="J50" s="51">
        <f>SUM('Data Sheet'!J57:J59)</f>
        <v>21.86</v>
      </c>
      <c r="K50" s="51">
        <f>SUM('Data Sheet'!K57:K59)</f>
        <v>26.39</v>
      </c>
      <c r="L50" s="51">
        <f>SUM('Data Sheet'!L57:L59)</f>
        <v>36.130000000000003</v>
      </c>
      <c r="N50" s="32">
        <f t="shared" si="6"/>
        <v>8.202198405108696E-2</v>
      </c>
      <c r="O50" s="47">
        <f t="shared" si="3"/>
        <v>215.11</v>
      </c>
      <c r="P50" s="47">
        <f t="shared" si="4"/>
        <v>126.62</v>
      </c>
      <c r="Q50" s="105">
        <f t="shared" si="5"/>
        <v>84.38</v>
      </c>
    </row>
    <row r="51" spans="1:17" x14ac:dyDescent="0.25">
      <c r="A51" s="58" t="s">
        <v>226</v>
      </c>
      <c r="B51" s="41"/>
      <c r="C51" s="51">
        <f>C50-'Data Sheet'!C69</f>
        <v>19.150000000000002</v>
      </c>
      <c r="D51" s="51">
        <f>D50-'Data Sheet'!D69</f>
        <v>21.75</v>
      </c>
      <c r="E51" s="51">
        <f>E50-'Data Sheet'!E69</f>
        <v>22.63</v>
      </c>
      <c r="F51" s="51">
        <f>F50-'Data Sheet'!F69</f>
        <v>21.05</v>
      </c>
      <c r="G51" s="51">
        <f>G50-'Data Sheet'!G69</f>
        <v>20.78</v>
      </c>
      <c r="H51" s="51">
        <f>H50-'Data Sheet'!H69</f>
        <v>20.94</v>
      </c>
      <c r="I51" s="51">
        <f>I50-'Data Sheet'!I69</f>
        <v>20.669999999999998</v>
      </c>
      <c r="J51" s="51">
        <f>J50-'Data Sheet'!J69</f>
        <v>21.61</v>
      </c>
      <c r="K51" s="51">
        <f>K50-'Data Sheet'!K69</f>
        <v>23.19</v>
      </c>
      <c r="L51" s="51">
        <f>L50-'Data Sheet'!L69</f>
        <v>26.940000000000005</v>
      </c>
      <c r="N51" s="32">
        <f t="shared" si="6"/>
        <v>4.3586858694810049E-2</v>
      </c>
      <c r="O51" s="47">
        <f t="shared" si="3"/>
        <v>199.56</v>
      </c>
      <c r="P51" s="47">
        <f t="shared" si="4"/>
        <v>113.35</v>
      </c>
      <c r="Q51" s="105">
        <f t="shared" si="5"/>
        <v>71.740000000000009</v>
      </c>
    </row>
    <row r="52" spans="1:17" x14ac:dyDescent="0.25">
      <c r="A52" s="58" t="s">
        <v>227</v>
      </c>
      <c r="B52" s="41"/>
      <c r="C52" s="51">
        <f>'Data Sheet'!C62+'Data Sheet'!C63+'Financial Analysis'!C49</f>
        <v>16.75</v>
      </c>
      <c r="D52" s="51">
        <f>'Data Sheet'!D62+'Data Sheet'!D63+'Financial Analysis'!D49</f>
        <v>20.78</v>
      </c>
      <c r="E52" s="51">
        <f>'Data Sheet'!E62+'Data Sheet'!E63+'Financial Analysis'!E49</f>
        <v>22.22</v>
      </c>
      <c r="F52" s="51">
        <f>'Data Sheet'!F62+'Data Sheet'!F63+'Financial Analysis'!F49</f>
        <v>20.970000000000002</v>
      </c>
      <c r="G52" s="51">
        <f>'Data Sheet'!G62+'Data Sheet'!G63+'Financial Analysis'!G49</f>
        <v>20.470000000000002</v>
      </c>
      <c r="H52" s="51">
        <f>'Data Sheet'!H62+'Data Sheet'!H63+'Financial Analysis'!H49</f>
        <v>20.470000000000002</v>
      </c>
      <c r="I52" s="51">
        <f>'Data Sheet'!I62+'Data Sheet'!I63+'Financial Analysis'!I49</f>
        <v>20.52</v>
      </c>
      <c r="J52" s="51">
        <f>'Data Sheet'!J62+'Data Sheet'!J63+'Financial Analysis'!J49</f>
        <v>21.540000000000003</v>
      </c>
      <c r="K52" s="51">
        <f>'Data Sheet'!K62+'Data Sheet'!K63+'Financial Analysis'!K49</f>
        <v>23.13</v>
      </c>
      <c r="L52" s="51">
        <f>'Data Sheet'!L62+'Data Sheet'!L63+'Financial Analysis'!L49</f>
        <v>27.36</v>
      </c>
      <c r="N52" s="32">
        <f t="shared" si="6"/>
        <v>6.3255554601356678E-2</v>
      </c>
      <c r="O52" s="47">
        <f t="shared" si="3"/>
        <v>197.45999999999998</v>
      </c>
      <c r="P52" s="47">
        <f t="shared" si="4"/>
        <v>113.02</v>
      </c>
      <c r="Q52" s="105">
        <f t="shared" si="5"/>
        <v>72.03</v>
      </c>
    </row>
    <row r="53" spans="1:17" x14ac:dyDescent="0.25">
      <c r="A53" s="58" t="s">
        <v>228</v>
      </c>
      <c r="B53" s="41"/>
      <c r="C53" s="51">
        <f>'Data Sheet'!C62+'Financial Analysis'!C49</f>
        <v>16.54</v>
      </c>
      <c r="D53" s="51">
        <f>'Data Sheet'!D62+'Financial Analysis'!D49</f>
        <v>20.05</v>
      </c>
      <c r="E53" s="51">
        <f>'Data Sheet'!E62+'Financial Analysis'!E49</f>
        <v>22.22</v>
      </c>
      <c r="F53" s="51">
        <f>'Data Sheet'!F62+'Financial Analysis'!F49</f>
        <v>20.970000000000002</v>
      </c>
      <c r="G53" s="51">
        <f>'Data Sheet'!G62+'Financial Analysis'!G49</f>
        <v>20.470000000000002</v>
      </c>
      <c r="H53" s="51">
        <f>'Data Sheet'!H62+'Financial Analysis'!H49</f>
        <v>20.400000000000002</v>
      </c>
      <c r="I53" s="51">
        <f>'Data Sheet'!I62+'Financial Analysis'!I49</f>
        <v>20.52</v>
      </c>
      <c r="J53" s="51">
        <f>'Data Sheet'!J62+'Financial Analysis'!J49</f>
        <v>21.540000000000003</v>
      </c>
      <c r="K53" s="51">
        <f>'Data Sheet'!K62+'Financial Analysis'!K49</f>
        <v>23.13</v>
      </c>
      <c r="L53" s="51">
        <f>'Data Sheet'!L62+'Financial Analysis'!L49</f>
        <v>27.36</v>
      </c>
      <c r="N53" s="32">
        <f t="shared" si="6"/>
        <v>6.493370712698332E-2</v>
      </c>
      <c r="O53" s="47">
        <f t="shared" si="3"/>
        <v>196.65999999999997</v>
      </c>
      <c r="P53" s="47">
        <f t="shared" si="4"/>
        <v>112.95</v>
      </c>
      <c r="Q53" s="105">
        <f t="shared" si="5"/>
        <v>72.03</v>
      </c>
    </row>
    <row r="54" spans="1:17" x14ac:dyDescent="0.25">
      <c r="A54" s="58" t="s">
        <v>229</v>
      </c>
      <c r="B54" s="41"/>
      <c r="C54" s="51">
        <f>'Data Sheet'!C27+'Data Sheet'!C28</f>
        <v>3.99</v>
      </c>
      <c r="D54" s="51">
        <f>'Data Sheet'!D27+'Data Sheet'!D28</f>
        <v>3.17</v>
      </c>
      <c r="E54" s="51">
        <f>'Data Sheet'!E27+'Data Sheet'!E28</f>
        <v>-2.8</v>
      </c>
      <c r="F54" s="51">
        <f>'Data Sheet'!F27+'Data Sheet'!F28</f>
        <v>-2.1800000000000002</v>
      </c>
      <c r="G54" s="51">
        <f>'Data Sheet'!G27+'Data Sheet'!G28</f>
        <v>1.5</v>
      </c>
      <c r="H54" s="51">
        <f>'Data Sheet'!H27+'Data Sheet'!H28</f>
        <v>1.58</v>
      </c>
      <c r="I54" s="51">
        <f>'Data Sheet'!I27+'Data Sheet'!I28</f>
        <v>1.86</v>
      </c>
      <c r="J54" s="51">
        <f>'Data Sheet'!J27+'Data Sheet'!J28</f>
        <v>0.56999999999999995</v>
      </c>
      <c r="K54" s="51">
        <f>'Data Sheet'!K27+'Data Sheet'!K28</f>
        <v>11.7</v>
      </c>
      <c r="L54" s="51">
        <f>'Data Sheet'!L27+'Data Sheet'!L28</f>
        <v>25.03</v>
      </c>
      <c r="N54" s="32">
        <f t="shared" si="6"/>
        <v>0.25801550625324365</v>
      </c>
      <c r="O54" s="47">
        <f t="shared" si="3"/>
        <v>40.43</v>
      </c>
      <c r="P54" s="47">
        <f t="shared" si="4"/>
        <v>40.74</v>
      </c>
      <c r="Q54" s="105">
        <f t="shared" si="5"/>
        <v>37.299999999999997</v>
      </c>
    </row>
    <row r="55" spans="1:17" ht="45.75" x14ac:dyDescent="0.25">
      <c r="A55" s="58" t="s">
        <v>168</v>
      </c>
      <c r="B55" s="41" t="s">
        <v>174</v>
      </c>
      <c r="C55" s="51">
        <f>'Data Sheet'!C57+'Data Sheet'!C58+'Data Sheet'!C59</f>
        <v>19.23</v>
      </c>
      <c r="D55" s="51">
        <f>'Data Sheet'!D57+'Data Sheet'!D58+'Data Sheet'!D59</f>
        <v>23.419999999999998</v>
      </c>
      <c r="E55" s="51">
        <f>'Data Sheet'!E57+'Data Sheet'!E58+'Data Sheet'!E59</f>
        <v>22.91</v>
      </c>
      <c r="F55" s="51">
        <f>'Data Sheet'!F57+'Data Sheet'!F58+'Data Sheet'!F59</f>
        <v>21.2</v>
      </c>
      <c r="G55" s="51">
        <f>'Data Sheet'!G57+'Data Sheet'!G58+'Data Sheet'!G59</f>
        <v>20.96</v>
      </c>
      <c r="H55" s="51">
        <f>'Data Sheet'!H57+'Data Sheet'!H58+'Data Sheet'!H59</f>
        <v>21.18</v>
      </c>
      <c r="I55" s="51">
        <f>'Data Sheet'!I57+'Data Sheet'!I58+'Data Sheet'!I59</f>
        <v>21.06</v>
      </c>
      <c r="J55" s="51">
        <f>'Data Sheet'!J57+'Data Sheet'!J58+'Data Sheet'!J59</f>
        <v>21.86</v>
      </c>
      <c r="K55" s="51">
        <f>'Data Sheet'!K57+'Data Sheet'!K58+'Data Sheet'!K59</f>
        <v>26.39</v>
      </c>
      <c r="L55" s="51">
        <f>'Data Sheet'!L57+'Data Sheet'!L58+'Data Sheet'!L59</f>
        <v>36.130000000000003</v>
      </c>
      <c r="N55" s="32">
        <f t="shared" si="6"/>
        <v>8.202198405108696E-2</v>
      </c>
      <c r="O55" s="47">
        <f t="shared" si="3"/>
        <v>215.11</v>
      </c>
      <c r="P55" s="47">
        <f t="shared" si="4"/>
        <v>126.62</v>
      </c>
      <c r="Q55" s="105">
        <f t="shared" si="5"/>
        <v>84.38</v>
      </c>
    </row>
    <row r="56" spans="1:17" x14ac:dyDescent="0.25">
      <c r="A56" s="58" t="s">
        <v>547</v>
      </c>
      <c r="B56" s="41"/>
      <c r="C56" s="51"/>
      <c r="D56" s="51"/>
      <c r="E56" s="51"/>
      <c r="F56" s="51"/>
      <c r="G56" s="51"/>
      <c r="H56" s="51"/>
      <c r="I56" s="51"/>
      <c r="J56" s="51"/>
      <c r="K56" s="51"/>
      <c r="L56" s="51"/>
      <c r="N56" s="32"/>
      <c r="O56" s="47"/>
      <c r="P56" s="47"/>
      <c r="Q56" s="105"/>
    </row>
    <row r="57" spans="1:17" x14ac:dyDescent="0.25">
      <c r="A57" s="58" t="s">
        <v>7</v>
      </c>
      <c r="B57" s="41"/>
      <c r="C57" s="51">
        <f>'Data Sheet'!C26</f>
        <v>0.72</v>
      </c>
      <c r="D57" s="51">
        <f>'Data Sheet'!D26</f>
        <v>1.08</v>
      </c>
      <c r="E57" s="51">
        <f>'Data Sheet'!E26</f>
        <v>1.38</v>
      </c>
      <c r="F57" s="51">
        <f>'Data Sheet'!F26</f>
        <v>1.39</v>
      </c>
      <c r="G57" s="51">
        <f>'Data Sheet'!G26</f>
        <v>1.38</v>
      </c>
      <c r="H57" s="51">
        <f>'Data Sheet'!H26</f>
        <v>1.37</v>
      </c>
      <c r="I57" s="51">
        <f>'Data Sheet'!I26</f>
        <v>1.42</v>
      </c>
      <c r="J57" s="51">
        <f>'Data Sheet'!J26</f>
        <v>1.51</v>
      </c>
      <c r="K57" s="51">
        <f>'Data Sheet'!K26</f>
        <v>1.83</v>
      </c>
      <c r="L57" s="51">
        <f>'Data Sheet'!L26</f>
        <v>1.93</v>
      </c>
      <c r="M57" s="55">
        <f>AVERAGE(H57:L57)</f>
        <v>1.6120000000000001</v>
      </c>
      <c r="O57" s="47">
        <f>SUM(D57:L57)</f>
        <v>13.29</v>
      </c>
      <c r="P57" s="47">
        <f>SUM(H57:L57)</f>
        <v>8.06</v>
      </c>
      <c r="Q57" s="105">
        <f>SUM(J57:L57)</f>
        <v>5.27</v>
      </c>
    </row>
    <row r="58" spans="1:17" x14ac:dyDescent="0.25">
      <c r="A58" s="58" t="s">
        <v>548</v>
      </c>
      <c r="B58" s="41"/>
      <c r="C58" s="51">
        <f>'Data Sheet'!C62</f>
        <v>13.4</v>
      </c>
      <c r="D58" s="51">
        <f>'Data Sheet'!D62</f>
        <v>17.75</v>
      </c>
      <c r="E58" s="51">
        <f>'Data Sheet'!E62</f>
        <v>20.38</v>
      </c>
      <c r="F58" s="51">
        <f>'Data Sheet'!F62</f>
        <v>19.05</v>
      </c>
      <c r="G58" s="51">
        <f>'Data Sheet'!G62</f>
        <v>17.850000000000001</v>
      </c>
      <c r="H58" s="51">
        <f>'Data Sheet'!H62</f>
        <v>16.78</v>
      </c>
      <c r="I58" s="51">
        <f>'Data Sheet'!I62</f>
        <v>17.2</v>
      </c>
      <c r="J58" s="51">
        <f>'Data Sheet'!J62</f>
        <v>16.28</v>
      </c>
      <c r="K58" s="51">
        <f>'Data Sheet'!K62</f>
        <v>15.61</v>
      </c>
      <c r="L58" s="51">
        <f>'Data Sheet'!L62</f>
        <v>15.55</v>
      </c>
      <c r="M58" s="55">
        <f>AVERAGE(H58:L58)</f>
        <v>16.283999999999999</v>
      </c>
      <c r="O58" s="47">
        <f>SUM(D58:L58)</f>
        <v>156.45000000000002</v>
      </c>
      <c r="P58" s="47">
        <f>SUM(H58:L58)</f>
        <v>81.42</v>
      </c>
      <c r="Q58" s="105">
        <f>SUM(J58:L58)</f>
        <v>47.44</v>
      </c>
    </row>
    <row r="59" spans="1:17" x14ac:dyDescent="0.25">
      <c r="A59" s="58" t="s">
        <v>549</v>
      </c>
      <c r="B59" s="41"/>
      <c r="C59" s="184">
        <f>C57/C58</f>
        <v>5.3731343283582089E-2</v>
      </c>
      <c r="D59" s="184">
        <f t="shared" ref="D59:L59" si="7">D57/D58</f>
        <v>6.0845070422535216E-2</v>
      </c>
      <c r="E59" s="184">
        <f t="shared" si="7"/>
        <v>6.7713444553483812E-2</v>
      </c>
      <c r="F59" s="184">
        <f t="shared" si="7"/>
        <v>7.2965879265091863E-2</v>
      </c>
      <c r="G59" s="184">
        <f t="shared" si="7"/>
        <v>7.7310924369747888E-2</v>
      </c>
      <c r="H59" s="184">
        <f t="shared" si="7"/>
        <v>8.1644815256257455E-2</v>
      </c>
      <c r="I59" s="184">
        <f t="shared" si="7"/>
        <v>8.2558139534883723E-2</v>
      </c>
      <c r="J59" s="184">
        <f t="shared" si="7"/>
        <v>9.2751842751842742E-2</v>
      </c>
      <c r="K59" s="184">
        <f t="shared" si="7"/>
        <v>0.11723254324151186</v>
      </c>
      <c r="L59" s="184">
        <f t="shared" si="7"/>
        <v>0.12411575562700963</v>
      </c>
      <c r="M59" s="32">
        <f>AVERAGE(H59:L59)</f>
        <v>9.9660619282301077E-2</v>
      </c>
      <c r="O59" s="47"/>
      <c r="P59" s="47"/>
      <c r="Q59" s="105"/>
    </row>
    <row r="60" spans="1:17" x14ac:dyDescent="0.25">
      <c r="A60" s="58" t="s">
        <v>550</v>
      </c>
      <c r="B60" s="41"/>
      <c r="C60" s="185" t="e">
        <f>'Data Sheet'!C17/B58</f>
        <v>#DIV/0!</v>
      </c>
      <c r="D60" s="185">
        <f>'Data Sheet'!D17/C58</f>
        <v>1.8194029850746267</v>
      </c>
      <c r="E60" s="185">
        <f>'Data Sheet'!E17/D58</f>
        <v>0.69633802816901402</v>
      </c>
      <c r="F60" s="185">
        <f>'Data Sheet'!F17/E58</f>
        <v>0.41707556427870462</v>
      </c>
      <c r="G60" s="185">
        <f>'Data Sheet'!G17/F58</f>
        <v>1.0031496062992125</v>
      </c>
      <c r="H60" s="185">
        <f>'Data Sheet'!H17/G58</f>
        <v>1.4554621848739495</v>
      </c>
      <c r="I60" s="185">
        <f>'Data Sheet'!I17/H58</f>
        <v>1.6924910607866506</v>
      </c>
      <c r="J60" s="185">
        <f>'Data Sheet'!J17/I58</f>
        <v>1.1354651162790699</v>
      </c>
      <c r="K60" s="185">
        <f>'Data Sheet'!K17/J58</f>
        <v>2.7297297297297294</v>
      </c>
      <c r="L60" s="185">
        <f>'Data Sheet'!L17/K58</f>
        <v>3.9167200512491993</v>
      </c>
      <c r="M60" s="47">
        <f>AVERAGE(H60:L60)</f>
        <v>2.1859736285837199</v>
      </c>
      <c r="O60" s="47">
        <f>SUM(D60:L60)</f>
        <v>14.865834326740156</v>
      </c>
      <c r="P60" s="47">
        <f>SUM(H60:L60)</f>
        <v>10.9298681429186</v>
      </c>
      <c r="Q60" s="105">
        <f>SUM(J60:L60)</f>
        <v>7.7819148972579981</v>
      </c>
    </row>
    <row r="61" spans="1:17" x14ac:dyDescent="0.25">
      <c r="A61" s="58" t="s">
        <v>545</v>
      </c>
      <c r="B61" s="41"/>
      <c r="C61" s="51"/>
      <c r="D61" s="184">
        <f>((1-D59)+(D60*D31*(1-D78)))-1</f>
        <v>2.0498213159554357E-2</v>
      </c>
      <c r="E61" s="184">
        <f t="shared" ref="E61:M61" si="8">((1-E59)+(E60*E31*(1-E78)))-1</f>
        <v>-0.22095288117320211</v>
      </c>
      <c r="F61" s="184">
        <f t="shared" si="8"/>
        <v>-0.16815724334752569</v>
      </c>
      <c r="G61" s="184">
        <f t="shared" si="8"/>
        <v>-5.6838483424865971E-2</v>
      </c>
      <c r="H61" s="184">
        <f t="shared" si="8"/>
        <v>-4.8591593967742042E-2</v>
      </c>
      <c r="I61" s="184">
        <f t="shared" si="8"/>
        <v>-3.1306649665992281E-2</v>
      </c>
      <c r="J61" s="184">
        <f t="shared" si="8"/>
        <v>-8.9844866007656732E-2</v>
      </c>
      <c r="K61" s="184">
        <f t="shared" si="8"/>
        <v>0.3403841643751957</v>
      </c>
      <c r="L61" s="184">
        <f t="shared" ref="L61" si="9">((1-L59)+(L60*L31*(1-L78)))-1</f>
        <v>0.85590389531502065</v>
      </c>
      <c r="M61" s="184">
        <f t="shared" si="8"/>
        <v>0.21082817971710988</v>
      </c>
      <c r="N61" s="32"/>
      <c r="O61" s="32"/>
      <c r="P61" s="32"/>
    </row>
    <row r="62" spans="1:17" x14ac:dyDescent="0.25">
      <c r="A62" s="58"/>
      <c r="B62" s="41"/>
      <c r="C62" s="51"/>
      <c r="D62" s="51"/>
      <c r="E62" s="51"/>
      <c r="F62" s="51"/>
      <c r="G62" s="51"/>
      <c r="H62" s="51"/>
      <c r="I62" s="51"/>
      <c r="J62" s="51"/>
      <c r="K62" s="51"/>
      <c r="L62" s="51"/>
      <c r="N62" s="32"/>
      <c r="O62" s="32"/>
      <c r="P62" s="32"/>
    </row>
    <row r="63" spans="1:17" ht="18.75" x14ac:dyDescent="0.25">
      <c r="A63" s="56" t="s">
        <v>239</v>
      </c>
      <c r="B63" s="41"/>
      <c r="C63" s="52">
        <f>C36</f>
        <v>39172</v>
      </c>
      <c r="D63" s="52">
        <f t="shared" ref="D63:L63" si="10">D36</f>
        <v>39538</v>
      </c>
      <c r="E63" s="52">
        <f t="shared" si="10"/>
        <v>39903</v>
      </c>
      <c r="F63" s="52">
        <f t="shared" si="10"/>
        <v>40268</v>
      </c>
      <c r="G63" s="52">
        <f t="shared" si="10"/>
        <v>40633</v>
      </c>
      <c r="H63" s="52">
        <f t="shared" si="10"/>
        <v>40999</v>
      </c>
      <c r="I63" s="52">
        <f t="shared" si="10"/>
        <v>41364</v>
      </c>
      <c r="J63" s="52">
        <f t="shared" si="10"/>
        <v>41729</v>
      </c>
      <c r="K63" s="52">
        <f t="shared" si="10"/>
        <v>42094</v>
      </c>
      <c r="L63" s="52">
        <f t="shared" si="10"/>
        <v>42430</v>
      </c>
      <c r="N63" s="32"/>
      <c r="O63" s="186" t="str">
        <f>O26</f>
        <v>Min</v>
      </c>
      <c r="P63" s="186" t="str">
        <f t="shared" ref="P63:Q63" si="11">P26</f>
        <v>Max</v>
      </c>
      <c r="Q63" s="186" t="str">
        <f t="shared" si="11"/>
        <v>Avg.</v>
      </c>
    </row>
    <row r="64" spans="1:17" x14ac:dyDescent="0.25">
      <c r="A64" s="58" t="s">
        <v>230</v>
      </c>
      <c r="C64" s="35">
        <f>(C54/C50)*(1-('Data Sheet'!C29/'Data Sheet'!C28))</f>
        <v>0.14454840404413091</v>
      </c>
      <c r="D64" s="35">
        <f>(D54/D50)*(1-('Data Sheet'!D29/'Data Sheet'!D28))</f>
        <v>5.8546148319846017E-2</v>
      </c>
      <c r="E64" s="35">
        <f>(E54/E50)*(1-('Data Sheet'!E29/'Data Sheet'!E28))</f>
        <v>-8.6345779929367886E-2</v>
      </c>
      <c r="F64" s="35">
        <f>(F54/F50)*(1-('Data Sheet'!F29/'Data Sheet'!F28))</f>
        <v>-6.3129925961308828E-2</v>
      </c>
      <c r="G64" s="35">
        <f>(G54/G50)*(1-('Data Sheet'!G29/'Data Sheet'!G28))</f>
        <v>4.9839830970556158E-2</v>
      </c>
      <c r="H64" s="35">
        <f>(H54/H50)*(1-('Data Sheet'!H29/'Data Sheet'!H28))</f>
        <v>6.1129472248452423E-2</v>
      </c>
      <c r="I64" s="35">
        <f>(I54/I50)*(1-('Data Sheet'!I29/'Data Sheet'!I28))</f>
        <v>5.5441179528770777E-2</v>
      </c>
      <c r="J64" s="35">
        <f>(J54/J50)*(1-('Data Sheet'!J29/'Data Sheet'!J28))</f>
        <v>1.0430009149130833E-2</v>
      </c>
      <c r="K64" s="35">
        <f>(K54/K50)*(1-('Data Sheet'!K29/'Data Sheet'!K28))</f>
        <v>0.29879603155465223</v>
      </c>
      <c r="L64" s="35">
        <f>(L54/L50)*(1-('Data Sheet'!L29/'Data Sheet'!L28))</f>
        <v>0.4390559161305993</v>
      </c>
      <c r="N64" s="32">
        <f>(L64/C64)^(1/(9-1))-1</f>
        <v>0.1489822420668363</v>
      </c>
      <c r="O64" s="32">
        <f>MIN(C64:L64)</f>
        <v>-8.6345779929367886E-2</v>
      </c>
      <c r="P64" s="32">
        <f>MAX(C64:L64)</f>
        <v>0.4390559161305993</v>
      </c>
      <c r="Q64" s="34">
        <f>AVERAGE(C64:L64)</f>
        <v>9.6831128605546185E-2</v>
      </c>
    </row>
    <row r="65" spans="1:17" x14ac:dyDescent="0.25">
      <c r="A65" s="58" t="s">
        <v>231</v>
      </c>
      <c r="C65" s="35">
        <f>(C54/C51)*(1-('Data Sheet'!C29/'Data Sheet'!C28))</f>
        <v>0.14515226160671735</v>
      </c>
      <c r="D65" s="35">
        <f>(D54/D51)*(1-('Data Sheet'!D29/'Data Sheet'!D28))</f>
        <v>6.3041415800036499E-2</v>
      </c>
      <c r="E65" s="35">
        <f>(E54/E51)*(1-('Data Sheet'!E29/'Data Sheet'!E28))</f>
        <v>-8.7414132487044549E-2</v>
      </c>
      <c r="F65" s="35">
        <f>(F54/F51)*(1-('Data Sheet'!F29/'Data Sheet'!F28))</f>
        <v>-6.3579782915902466E-2</v>
      </c>
      <c r="G65" s="35">
        <f>(G54/G51)*(1-('Data Sheet'!G29/'Data Sheet'!G28))</f>
        <v>5.0271552316788121E-2</v>
      </c>
      <c r="H65" s="35">
        <f>(H54/H51)*(1-('Data Sheet'!H29/'Data Sheet'!H28))</f>
        <v>6.1830096572216914E-2</v>
      </c>
      <c r="I65" s="35">
        <f>(I54/I51)*(1-('Data Sheet'!I29/'Data Sheet'!I28))</f>
        <v>5.6487239519879662E-2</v>
      </c>
      <c r="J65" s="35">
        <f>(J54/J51)*(1-('Data Sheet'!J29/'Data Sheet'!J28))</f>
        <v>1.055067098565479E-2</v>
      </c>
      <c r="K65" s="35">
        <f>(K54/K51)*(1-('Data Sheet'!K29/'Data Sheet'!K28))</f>
        <v>0.34002704927672583</v>
      </c>
      <c r="L65" s="35">
        <f>(L54/L51)*(1-('Data Sheet'!L29/'Data Sheet'!L28))</f>
        <v>0.58883037304374719</v>
      </c>
      <c r="N65" s="32">
        <f>(L65/C65)^(1/(9-1))-1</f>
        <v>0.19129906135028962</v>
      </c>
      <c r="O65" s="32">
        <f>MIN(C65:L65)</f>
        <v>-8.7414132487044549E-2</v>
      </c>
      <c r="P65" s="32">
        <f>MAX(C65:L65)</f>
        <v>0.58883037304374719</v>
      </c>
      <c r="Q65" s="34">
        <f>AVERAGE(C65:L65)</f>
        <v>0.11651967437188193</v>
      </c>
    </row>
    <row r="66" spans="1:17" x14ac:dyDescent="0.25">
      <c r="A66" s="58" t="s">
        <v>232</v>
      </c>
      <c r="C66" s="35">
        <f>(C54/C52)*(1-('Data Sheet'!C29/'Data Sheet'!C28))</f>
        <v>0.16595019759812762</v>
      </c>
      <c r="D66" s="35">
        <f>(D54/D52)*(1-('Data Sheet'!D29/'Data Sheet'!D28))</f>
        <v>6.5984157538536745E-2</v>
      </c>
      <c r="E66" s="35">
        <f>(E54/E52)*(1-('Data Sheet'!E29/'Data Sheet'!E28))</f>
        <v>-8.9027084526634478E-2</v>
      </c>
      <c r="F66" s="35">
        <f>(F54/F52)*(1-('Data Sheet'!F29/'Data Sheet'!F28))</f>
        <v>-6.3822338120159611E-2</v>
      </c>
      <c r="G66" s="35">
        <f>(G54/G52)*(1-('Data Sheet'!G29/'Data Sheet'!G28))</f>
        <v>5.1032870402679877E-2</v>
      </c>
      <c r="H66" s="35">
        <f>(H54/H52)*(1-('Data Sheet'!H29/'Data Sheet'!H28))</f>
        <v>6.3249742170113435E-2</v>
      </c>
      <c r="I66" s="35">
        <f>(I54/I52)*(1-('Data Sheet'!I29/'Data Sheet'!I28))</f>
        <v>5.6900157937422639E-2</v>
      </c>
      <c r="J66" s="35">
        <f>(J54/J52)*(1-('Data Sheet'!J29/'Data Sheet'!J28))</f>
        <v>1.0584958217270193E-2</v>
      </c>
      <c r="K66" s="35">
        <f>(K54/K52)*(1-('Data Sheet'!K29/'Data Sheet'!K28))</f>
        <v>0.34090909090909088</v>
      </c>
      <c r="L66" s="35">
        <f>(L54/L52)*(1-('Data Sheet'!L29/'Data Sheet'!L28))</f>
        <v>0.57979131029965469</v>
      </c>
      <c r="N66" s="32">
        <f>(L66/C66)^(1/(9-1))-1</f>
        <v>0.16926174504373304</v>
      </c>
      <c r="O66" s="32">
        <f>MIN(C66:L66)</f>
        <v>-8.9027084526634478E-2</v>
      </c>
      <c r="P66" s="32">
        <f>MAX(C66:L66)</f>
        <v>0.57979131029965469</v>
      </c>
      <c r="Q66" s="34">
        <f>AVERAGE(C66:L66)</f>
        <v>0.11815530624261021</v>
      </c>
    </row>
    <row r="67" spans="1:17" x14ac:dyDescent="0.25">
      <c r="A67" s="58" t="s">
        <v>233</v>
      </c>
      <c r="C67" s="35">
        <f>(C54/C53)*(1-('Data Sheet'!C29/'Data Sheet'!C28))</f>
        <v>0.16805718317827315</v>
      </c>
      <c r="D67" s="35">
        <f>(D54/D53)*(1-('Data Sheet'!D29/'Data Sheet'!D28))</f>
        <v>6.8386573249416147E-2</v>
      </c>
      <c r="E67" s="35">
        <f>(E54/E53)*(1-('Data Sheet'!E29/'Data Sheet'!E28))</f>
        <v>-8.9027084526634478E-2</v>
      </c>
      <c r="F67" s="35">
        <f>(F54/F53)*(1-('Data Sheet'!F29/'Data Sheet'!F28))</f>
        <v>-6.3822338120159611E-2</v>
      </c>
      <c r="G67" s="35">
        <f>(G54/G53)*(1-('Data Sheet'!G29/'Data Sheet'!G28))</f>
        <v>5.1032870402679877E-2</v>
      </c>
      <c r="H67" s="35">
        <f>(H54/H53)*(1-('Data Sheet'!H29/'Data Sheet'!H28))</f>
        <v>6.3466775599128528E-2</v>
      </c>
      <c r="I67" s="35">
        <f>(I54/I53)*(1-('Data Sheet'!I29/'Data Sheet'!I28))</f>
        <v>5.6900157937422639E-2</v>
      </c>
      <c r="J67" s="35">
        <f>(J54/J53)*(1-('Data Sheet'!J29/'Data Sheet'!J28))</f>
        <v>1.0584958217270193E-2</v>
      </c>
      <c r="K67" s="35">
        <f>(K54/K53)*(1-('Data Sheet'!K29/'Data Sheet'!K28))</f>
        <v>0.34090909090909088</v>
      </c>
      <c r="L67" s="35">
        <f>(L54/L53)*(1-('Data Sheet'!L29/'Data Sheet'!L28))</f>
        <v>0.57979131029965469</v>
      </c>
      <c r="N67" s="32">
        <f>(L67/C67)^(1/(9-1))-1</f>
        <v>0.16741918945794221</v>
      </c>
      <c r="O67" s="32">
        <f>MIN(C67:L67)</f>
        <v>-8.9027084526634478E-2</v>
      </c>
      <c r="P67" s="32">
        <f>MAX(C67:L67)</f>
        <v>0.57979131029965469</v>
      </c>
      <c r="Q67" s="34">
        <f>AVERAGE(C67:L67)</f>
        <v>0.11862794971461418</v>
      </c>
    </row>
    <row r="68" spans="1:17" x14ac:dyDescent="0.25">
      <c r="A68" s="58" t="s">
        <v>109</v>
      </c>
      <c r="B68" s="41" t="s">
        <v>152</v>
      </c>
      <c r="C68" s="35">
        <f>'Data Sheet'!C30/'Data Sheet'!C66</f>
        <v>0.11152263374485596</v>
      </c>
      <c r="D68" s="35">
        <f>'Data Sheet'!D30/'Data Sheet'!D66</f>
        <v>3.9124192390524053E-2</v>
      </c>
      <c r="E68" s="35">
        <f>'Data Sheet'!E30/'Data Sheet'!E66</f>
        <v>-9.2548485879550876E-2</v>
      </c>
      <c r="F68" s="35">
        <f>'Data Sheet'!F30/'Data Sheet'!F66</f>
        <v>-7.1719038817005545E-2</v>
      </c>
      <c r="G68" s="35">
        <f>'Data Sheet'!G30/'Data Sheet'!G66</f>
        <v>1.4552238805970149E-2</v>
      </c>
      <c r="H68" s="35">
        <f>'Data Sheet'!H30/'Data Sheet'!H66</f>
        <v>2.1041369472182596E-2</v>
      </c>
      <c r="I68" s="35">
        <f>'Data Sheet'!I30/'Data Sheet'!I66</f>
        <v>3.3281733746130034E-2</v>
      </c>
      <c r="J68" s="35">
        <f>'Data Sheet'!J30/'Data Sheet'!J66</f>
        <v>1.8142235123367201E-3</v>
      </c>
      <c r="K68" s="35">
        <f>'Data Sheet'!K30/'Data Sheet'!K66</f>
        <v>0.22041166380789023</v>
      </c>
      <c r="L68" s="35">
        <f>'Data Sheet'!L30/'Data Sheet'!L66</f>
        <v>0.31494661921708184</v>
      </c>
      <c r="N68" s="32">
        <f>(L68/C68)^(1/(9-1))-1</f>
        <v>0.13856870285754064</v>
      </c>
      <c r="O68" s="32">
        <f>MIN(C68:L68)</f>
        <v>-9.2548485879550876E-2</v>
      </c>
      <c r="P68" s="32">
        <f>MAX(C68:L68)</f>
        <v>0.31494661921708184</v>
      </c>
      <c r="Q68" s="34">
        <f>AVERAGE(C68:L68)</f>
        <v>5.9242715000041524E-2</v>
      </c>
    </row>
    <row r="69" spans="1:17" x14ac:dyDescent="0.25">
      <c r="A69" s="58" t="s">
        <v>153</v>
      </c>
      <c r="B69" s="41"/>
      <c r="C69" s="35"/>
      <c r="D69" s="35"/>
      <c r="E69" s="35"/>
      <c r="F69" s="35"/>
      <c r="G69" s="35"/>
      <c r="H69" s="35"/>
      <c r="I69" s="35"/>
      <c r="J69" s="35"/>
      <c r="K69" s="35"/>
      <c r="L69" s="35"/>
      <c r="N69" s="32"/>
      <c r="O69" s="32"/>
      <c r="P69" s="32"/>
      <c r="Q69" s="34"/>
    </row>
    <row r="70" spans="1:17" x14ac:dyDescent="0.25">
      <c r="A70" s="58" t="s">
        <v>98</v>
      </c>
      <c r="B70" s="41" t="s">
        <v>173</v>
      </c>
      <c r="C70" s="35">
        <f>C54/C55</f>
        <v>0.20748829953198128</v>
      </c>
      <c r="D70" s="35">
        <f t="shared" ref="D70:L70" si="12">D54/D55</f>
        <v>0.13535439795046969</v>
      </c>
      <c r="E70" s="35">
        <f t="shared" si="12"/>
        <v>-0.12221737232649497</v>
      </c>
      <c r="F70" s="35">
        <f t="shared" si="12"/>
        <v>-0.10283018867924529</v>
      </c>
      <c r="G70" s="35">
        <f t="shared" si="12"/>
        <v>7.15648854961832E-2</v>
      </c>
      <c r="H70" s="35">
        <f t="shared" si="12"/>
        <v>7.4598677998111429E-2</v>
      </c>
      <c r="I70" s="35">
        <f t="shared" si="12"/>
        <v>8.8319088319088329E-2</v>
      </c>
      <c r="J70" s="35">
        <f t="shared" si="12"/>
        <v>2.6075022872827081E-2</v>
      </c>
      <c r="K70" s="35">
        <f t="shared" si="12"/>
        <v>0.44334975369458124</v>
      </c>
      <c r="L70" s="35">
        <f t="shared" si="12"/>
        <v>0.69277608635482979</v>
      </c>
      <c r="N70" s="32">
        <f>(L70/C70)^(1/(9-1))-1</f>
        <v>0.16265244588029293</v>
      </c>
      <c r="O70" s="32">
        <f>MIN(C70:L70)</f>
        <v>-0.12221737232649497</v>
      </c>
      <c r="P70" s="32">
        <f>MAX(C70:L70)</f>
        <v>0.69277608635482979</v>
      </c>
      <c r="Q70" s="34">
        <f>AVERAGE(C70:L70)</f>
        <v>0.15144786512123318</v>
      </c>
    </row>
    <row r="71" spans="1:17" x14ac:dyDescent="0.25">
      <c r="A71" s="58" t="s">
        <v>99</v>
      </c>
      <c r="B71" s="43"/>
      <c r="C71" s="33"/>
      <c r="D71" s="33"/>
      <c r="E71" s="33"/>
      <c r="F71" s="33"/>
      <c r="G71" s="33"/>
      <c r="H71" s="33"/>
      <c r="I71" s="33"/>
      <c r="J71" s="33"/>
      <c r="K71" s="33"/>
      <c r="L71" s="33"/>
      <c r="N71" s="32"/>
      <c r="O71" s="32"/>
      <c r="P71" s="32"/>
      <c r="Q71" s="34"/>
    </row>
    <row r="72" spans="1:17" x14ac:dyDescent="0.25">
      <c r="A72" s="58" t="s">
        <v>55</v>
      </c>
      <c r="B72" s="41" t="s">
        <v>154</v>
      </c>
      <c r="C72" s="35">
        <f>'Data Sheet'!C30/('Data Sheet'!C57+'Data Sheet'!C58)</f>
        <v>0.17899603698811095</v>
      </c>
      <c r="D72" s="35">
        <f>'Data Sheet'!D30/('Data Sheet'!D57+'Data Sheet'!D58)</f>
        <v>6.1581920903954812E-2</v>
      </c>
      <c r="E72" s="35">
        <f>'Data Sheet'!E30/('Data Sheet'!E57+'Data Sheet'!E58)</f>
        <v>-0.18157543391188252</v>
      </c>
      <c r="F72" s="35">
        <f>'Data Sheet'!F30/('Data Sheet'!F57+'Data Sheet'!F58)</f>
        <v>-0.13837375178316691</v>
      </c>
      <c r="G72" s="35">
        <f>'Data Sheet'!G30/('Data Sheet'!G57+'Data Sheet'!G58)</f>
        <v>2.6121902210314803E-2</v>
      </c>
      <c r="H72" s="35">
        <f>'Data Sheet'!H30/('Data Sheet'!H57+'Data Sheet'!H58)</f>
        <v>3.6218538980969918E-2</v>
      </c>
      <c r="I72" s="35">
        <f>'Data Sheet'!I30/('Data Sheet'!I57+'Data Sheet'!I58)</f>
        <v>4.6336206896551727E-2</v>
      </c>
      <c r="J72" s="35">
        <f>'Data Sheet'!J30/('Data Sheet'!J57+'Data Sheet'!J58)</f>
        <v>2.6867275658248257E-3</v>
      </c>
      <c r="K72" s="35">
        <f>'Data Sheet'!K30/('Data Sheet'!K57+'Data Sheet'!K58)</f>
        <v>0.31859504132231403</v>
      </c>
      <c r="L72" s="35">
        <f>'Data Sheet'!L30/('Data Sheet'!L57+'Data Sheet'!L58)</f>
        <v>0.4409078328259064</v>
      </c>
      <c r="N72" s="32">
        <f>(L72/C72)^(1/(9-1))-1</f>
        <v>0.11927821199877142</v>
      </c>
      <c r="O72" s="32">
        <f t="shared" ref="O72:O78" si="13">MIN(C72:L72)</f>
        <v>-0.18157543391188252</v>
      </c>
      <c r="P72" s="32">
        <f t="shared" ref="P72:P78" si="14">MAX(C72:L72)</f>
        <v>0.4409078328259064</v>
      </c>
      <c r="Q72" s="34">
        <f t="shared" ref="Q72:Q78" si="15">AVERAGE(C72:L72)</f>
        <v>7.914950219988981E-2</v>
      </c>
    </row>
    <row r="73" spans="1:17" x14ac:dyDescent="0.25">
      <c r="A73" s="58" t="s">
        <v>100</v>
      </c>
      <c r="B73" s="41" t="s">
        <v>165</v>
      </c>
      <c r="C73" s="34">
        <f t="shared" ref="C73" si="16">C31</f>
        <v>0.14437932871603623</v>
      </c>
      <c r="D73" s="34">
        <f t="shared" ref="D73:L73" si="17">D31</f>
        <v>4.4708777686628391E-2</v>
      </c>
      <c r="E73" s="34">
        <f t="shared" si="17"/>
        <v>-0.22006472491909387</v>
      </c>
      <c r="F73" s="34">
        <f t="shared" si="17"/>
        <v>-0.22823529411764706</v>
      </c>
      <c r="G73" s="34">
        <f t="shared" si="17"/>
        <v>2.0408163265306124E-2</v>
      </c>
      <c r="H73" s="34">
        <f t="shared" si="17"/>
        <v>2.270977675134719E-2</v>
      </c>
      <c r="I73" s="34">
        <f t="shared" si="17"/>
        <v>3.0281690140845072E-2</v>
      </c>
      <c r="J73" s="34">
        <f t="shared" si="17"/>
        <v>2.5601638504864311E-3</v>
      </c>
      <c r="K73" s="34">
        <f t="shared" si="17"/>
        <v>0.17349234923492349</v>
      </c>
      <c r="L73" s="34">
        <f t="shared" si="17"/>
        <v>0.2543659832953683</v>
      </c>
      <c r="N73" s="32">
        <f>(L73/C73)^(1/(9-1))-1</f>
        <v>7.3357145320758654E-2</v>
      </c>
      <c r="O73" s="32">
        <f t="shared" si="13"/>
        <v>-0.22823529411764706</v>
      </c>
      <c r="P73" s="32">
        <f t="shared" si="14"/>
        <v>0.2543659832953683</v>
      </c>
      <c r="Q73" s="34">
        <f t="shared" si="15"/>
        <v>2.4460621390420035E-2</v>
      </c>
    </row>
    <row r="74" spans="1:17" x14ac:dyDescent="0.25">
      <c r="A74" s="58" t="s">
        <v>101</v>
      </c>
      <c r="B74" s="41" t="s">
        <v>166</v>
      </c>
      <c r="C74" s="36">
        <f>'Data Sheet'!C17/'Data Sheet'!C66</f>
        <v>0.77242798353909459</v>
      </c>
      <c r="D74" s="36">
        <f>'Data Sheet'!D17/'Data Sheet'!D66</f>
        <v>0.87508973438621673</v>
      </c>
      <c r="E74" s="36">
        <f>'Data Sheet'!E17/'Data Sheet'!E66</f>
        <v>0.42055120789384143</v>
      </c>
      <c r="F74" s="36">
        <f>'Data Sheet'!F17/'Data Sheet'!F66</f>
        <v>0.3142329020332717</v>
      </c>
      <c r="G74" s="36">
        <f>'Data Sheet'!G17/'Data Sheet'!G66</f>
        <v>0.71305970149253728</v>
      </c>
      <c r="H74" s="36">
        <f>'Data Sheet'!H17/'Data Sheet'!H66</f>
        <v>0.92653352353780316</v>
      </c>
      <c r="I74" s="36">
        <f>'Data Sheet'!I17/'Data Sheet'!I66</f>
        <v>1.0990712074303406</v>
      </c>
      <c r="J74" s="36">
        <f>'Data Sheet'!J17/'Data Sheet'!J66</f>
        <v>0.70863570391872288</v>
      </c>
      <c r="K74" s="36">
        <f>'Data Sheet'!K17/'Data Sheet'!K66</f>
        <v>1.270440251572327</v>
      </c>
      <c r="L74" s="36">
        <f>'Data Sheet'!L17/'Data Sheet'!L66</f>
        <v>1.2087781731909846</v>
      </c>
      <c r="M74" s="163">
        <f>(L74/G74)^(1/(5-1))-1</f>
        <v>0.14105132360974415</v>
      </c>
      <c r="N74" s="32">
        <f>(L74/C74)^(1/(9-1))-1</f>
        <v>5.7574757246221964E-2</v>
      </c>
      <c r="O74" s="46">
        <f t="shared" si="13"/>
        <v>0.3142329020332717</v>
      </c>
      <c r="P74" s="46">
        <f t="shared" si="14"/>
        <v>1.270440251572327</v>
      </c>
      <c r="Q74" s="36">
        <f t="shared" si="15"/>
        <v>0.83088203889951395</v>
      </c>
    </row>
    <row r="75" spans="1:17" ht="23.25" x14ac:dyDescent="0.25">
      <c r="A75" s="58" t="s">
        <v>102</v>
      </c>
      <c r="B75" s="41" t="s">
        <v>167</v>
      </c>
      <c r="C75" s="37">
        <f>'Data Sheet'!C66/('Data Sheet'!C57+'Data Sheet'!C58)</f>
        <v>1.6050198150594452</v>
      </c>
      <c r="D75" s="37">
        <f>'Data Sheet'!D66/('Data Sheet'!D57+'Data Sheet'!D58)</f>
        <v>1.5740112994350284</v>
      </c>
      <c r="E75" s="37">
        <f>'Data Sheet'!E66/('Data Sheet'!E57+'Data Sheet'!E58)</f>
        <v>1.9619492656875834</v>
      </c>
      <c r="F75" s="37">
        <f>'Data Sheet'!F66/('Data Sheet'!F57+'Data Sheet'!F58)</f>
        <v>1.9293865905848788</v>
      </c>
      <c r="G75" s="37">
        <f>'Data Sheet'!G66/('Data Sheet'!G57+'Data Sheet'!G58)</f>
        <v>1.7950435365036839</v>
      </c>
      <c r="H75" s="37">
        <f>'Data Sheet'!H66/('Data Sheet'!H57+'Data Sheet'!H58)</f>
        <v>1.7213014119091468</v>
      </c>
      <c r="I75" s="37">
        <f>'Data Sheet'!I66/('Data Sheet'!I57+'Data Sheet'!I58)</f>
        <v>1.392241379310345</v>
      </c>
      <c r="J75" s="37">
        <f>'Data Sheet'!J66/('Data Sheet'!J57+'Data Sheet'!J58)</f>
        <v>1.4809242342826436</v>
      </c>
      <c r="K75" s="37">
        <f>'Data Sheet'!K66/('Data Sheet'!K57+'Data Sheet'!K58)</f>
        <v>1.4454545454545453</v>
      </c>
      <c r="L75" s="37">
        <f>'Data Sheet'!L66/('Data Sheet'!L57+'Data Sheet'!L58)</f>
        <v>1.3999446443398835</v>
      </c>
      <c r="N75" s="32">
        <f>(L75/C75)^(1/(9-1))-1</f>
        <v>-1.6942755242046137E-2</v>
      </c>
      <c r="O75" s="46">
        <f t="shared" si="13"/>
        <v>1.392241379310345</v>
      </c>
      <c r="P75" s="46">
        <f t="shared" si="14"/>
        <v>1.9619492656875834</v>
      </c>
      <c r="Q75" s="36">
        <f t="shared" si="15"/>
        <v>1.6305276722567186</v>
      </c>
    </row>
    <row r="76" spans="1:17" ht="34.5" x14ac:dyDescent="0.25">
      <c r="A76" s="58" t="s">
        <v>141</v>
      </c>
      <c r="B76" s="41" t="s">
        <v>157</v>
      </c>
      <c r="C76" s="35">
        <f>C73*C74*C75</f>
        <v>0.17899603698811098</v>
      </c>
      <c r="D76" s="35">
        <f t="shared" ref="D76:L76" si="18">D73*D74*D75</f>
        <v>6.1581920903954812E-2</v>
      </c>
      <c r="E76" s="35">
        <f t="shared" si="18"/>
        <v>-0.18157543391188252</v>
      </c>
      <c r="F76" s="35">
        <f t="shared" si="18"/>
        <v>-0.13837375178316691</v>
      </c>
      <c r="G76" s="35">
        <f t="shared" si="18"/>
        <v>2.6121902210314806E-2</v>
      </c>
      <c r="H76" s="35">
        <f t="shared" si="18"/>
        <v>3.6218538980969918E-2</v>
      </c>
      <c r="I76" s="35">
        <f t="shared" si="18"/>
        <v>4.6336206896551733E-2</v>
      </c>
      <c r="J76" s="35">
        <f t="shared" si="18"/>
        <v>2.6867275658248257E-3</v>
      </c>
      <c r="K76" s="35">
        <f t="shared" si="18"/>
        <v>0.31859504132231398</v>
      </c>
      <c r="L76" s="35">
        <f t="shared" si="18"/>
        <v>0.43044384773536715</v>
      </c>
      <c r="N76" s="32">
        <f>(L76/C76)^(1/(9-1))-1</f>
        <v>0.1159227619176757</v>
      </c>
      <c r="O76" s="32">
        <f t="shared" si="13"/>
        <v>-0.18157543391188252</v>
      </c>
      <c r="P76" s="32">
        <f t="shared" si="14"/>
        <v>0.43044384773536715</v>
      </c>
      <c r="Q76" s="34">
        <f t="shared" si="15"/>
        <v>7.8103103690835882E-2</v>
      </c>
    </row>
    <row r="77" spans="1:17" ht="23.25" x14ac:dyDescent="0.25">
      <c r="A77" s="58" t="s">
        <v>103</v>
      </c>
      <c r="B77" s="41" t="s">
        <v>156</v>
      </c>
      <c r="C77" s="35">
        <f>IFERROR((C43/C41)/C40,"NA")</f>
        <v>0</v>
      </c>
      <c r="D77" s="35">
        <f t="shared" ref="D77:L77" si="19">IFERROR((D43/D41)/D40,"NA")</f>
        <v>0</v>
      </c>
      <c r="E77" s="35">
        <f t="shared" si="19"/>
        <v>0</v>
      </c>
      <c r="F77" s="35">
        <f t="shared" si="19"/>
        <v>0</v>
      </c>
      <c r="G77" s="35">
        <f t="shared" si="19"/>
        <v>0</v>
      </c>
      <c r="H77" s="35">
        <f t="shared" si="19"/>
        <v>0</v>
      </c>
      <c r="I77" s="35">
        <f t="shared" si="19"/>
        <v>0</v>
      </c>
      <c r="J77" s="35">
        <f t="shared" si="19"/>
        <v>0</v>
      </c>
      <c r="K77" s="35">
        <f t="shared" si="19"/>
        <v>2.3375450050461756E-3</v>
      </c>
      <c r="L77" s="35">
        <f t="shared" si="19"/>
        <v>8.5684296210612005E-4</v>
      </c>
      <c r="N77" s="32"/>
      <c r="O77" s="32">
        <f t="shared" si="13"/>
        <v>0</v>
      </c>
      <c r="P77" s="32">
        <f t="shared" si="14"/>
        <v>2.3375450050461756E-3</v>
      </c>
      <c r="Q77" s="34">
        <f t="shared" si="15"/>
        <v>3.1943879671522956E-4</v>
      </c>
    </row>
    <row r="78" spans="1:17" ht="34.5" x14ac:dyDescent="0.25">
      <c r="A78" s="58" t="s">
        <v>104</v>
      </c>
      <c r="B78" s="41" t="s">
        <v>155</v>
      </c>
      <c r="C78" s="32">
        <f>'Data Sheet'!C31/'Data Sheet'!C30</f>
        <v>0</v>
      </c>
      <c r="D78" s="32">
        <f>'Data Sheet'!D31/'Data Sheet'!D30</f>
        <v>0</v>
      </c>
      <c r="E78" s="32">
        <f>'Data Sheet'!E31/'Data Sheet'!E30</f>
        <v>0</v>
      </c>
      <c r="F78" s="32">
        <f>'Data Sheet'!F31/'Data Sheet'!F30</f>
        <v>0</v>
      </c>
      <c r="G78" s="32">
        <f>'Data Sheet'!G31/'Data Sheet'!G30</f>
        <v>0</v>
      </c>
      <c r="H78" s="32">
        <f>'Data Sheet'!H31/'Data Sheet'!H30</f>
        <v>0</v>
      </c>
      <c r="I78" s="32">
        <f>'Data Sheet'!I31/'Data Sheet'!I30</f>
        <v>0</v>
      </c>
      <c r="J78" s="32">
        <f>'Data Sheet'!J31/'Data Sheet'!J30</f>
        <v>0</v>
      </c>
      <c r="K78" s="32">
        <f>'Data Sheet'!K31/'Data Sheet'!K30</f>
        <v>3.372243839169909E-2</v>
      </c>
      <c r="L78" s="32">
        <f>'Data Sheet'!L31/'Data Sheet'!L30</f>
        <v>1.6321406151914627E-2</v>
      </c>
      <c r="M78" s="72">
        <f>AVERAGE(H78:L78)</f>
        <v>1.0008768908722742E-2</v>
      </c>
      <c r="N78" s="32"/>
      <c r="O78" s="32">
        <f t="shared" si="13"/>
        <v>0</v>
      </c>
      <c r="P78" s="32">
        <f t="shared" si="14"/>
        <v>3.372243839169909E-2</v>
      </c>
      <c r="Q78" s="34">
        <f t="shared" si="15"/>
        <v>5.0043844543613712E-3</v>
      </c>
    </row>
    <row r="79" spans="1:17" x14ac:dyDescent="0.25">
      <c r="A79" s="58"/>
      <c r="B79" s="41"/>
      <c r="C79" s="32"/>
      <c r="D79" s="32"/>
      <c r="E79" s="32"/>
      <c r="F79" s="32"/>
      <c r="G79" s="32"/>
      <c r="H79" s="32"/>
      <c r="I79" s="32"/>
      <c r="J79" s="32"/>
      <c r="K79" s="32"/>
      <c r="L79" s="32"/>
      <c r="N79" s="32"/>
      <c r="O79" s="32"/>
      <c r="P79" s="32"/>
      <c r="Q79" s="34"/>
    </row>
    <row r="80" spans="1:17" ht="18.75" x14ac:dyDescent="0.25">
      <c r="A80" s="56" t="s">
        <v>240</v>
      </c>
      <c r="C80" s="53">
        <f>C63</f>
        <v>39172</v>
      </c>
      <c r="D80" s="53">
        <f t="shared" ref="D80:L80" si="20">D63</f>
        <v>39538</v>
      </c>
      <c r="E80" s="53">
        <f t="shared" si="20"/>
        <v>39903</v>
      </c>
      <c r="F80" s="53">
        <f t="shared" si="20"/>
        <v>40268</v>
      </c>
      <c r="G80" s="53">
        <f t="shared" si="20"/>
        <v>40633</v>
      </c>
      <c r="H80" s="53">
        <f t="shared" si="20"/>
        <v>40999</v>
      </c>
      <c r="I80" s="53">
        <f t="shared" si="20"/>
        <v>41364</v>
      </c>
      <c r="J80" s="53">
        <f t="shared" si="20"/>
        <v>41729</v>
      </c>
      <c r="K80" s="53">
        <f t="shared" si="20"/>
        <v>42094</v>
      </c>
      <c r="L80" s="53">
        <f t="shared" si="20"/>
        <v>42430</v>
      </c>
      <c r="N80" s="32"/>
      <c r="O80" s="186" t="str">
        <f>O63</f>
        <v>Min</v>
      </c>
      <c r="P80" s="186" t="str">
        <f t="shared" ref="P80:Q80" si="21">P63</f>
        <v>Max</v>
      </c>
      <c r="Q80" s="186" t="str">
        <f t="shared" si="21"/>
        <v>Avg.</v>
      </c>
    </row>
    <row r="81" spans="1:17" ht="23.25" x14ac:dyDescent="0.25">
      <c r="A81" s="58" t="s">
        <v>265</v>
      </c>
      <c r="B81" s="41" t="s">
        <v>266</v>
      </c>
      <c r="C81" s="54">
        <f>'Data Sheet'!C67/'Data Sheet'!C17</f>
        <v>0.17314864144912095</v>
      </c>
      <c r="D81" s="54">
        <f>'Data Sheet'!D67/'Data Sheet'!D17</f>
        <v>3.0762920426579164E-2</v>
      </c>
      <c r="E81" s="54">
        <f>'Data Sheet'!E67/'Data Sheet'!E17</f>
        <v>0.25</v>
      </c>
      <c r="F81" s="54">
        <f>'Data Sheet'!F67/'Data Sheet'!F17</f>
        <v>0.1988235294117647</v>
      </c>
      <c r="G81" s="54">
        <f>'Data Sheet'!G67/'Data Sheet'!G17</f>
        <v>9.7854526425955005E-2</v>
      </c>
      <c r="H81" s="54">
        <f>'Data Sheet'!H67/'Data Sheet'!H17</f>
        <v>0.10392609699769054</v>
      </c>
      <c r="I81" s="54">
        <f>'Data Sheet'!I67/'Data Sheet'!I17</f>
        <v>4.507042253521127E-2</v>
      </c>
      <c r="J81" s="54">
        <f>'Data Sheet'!J67/'Data Sheet'!J17</f>
        <v>0.16231438812083973</v>
      </c>
      <c r="K81" s="54">
        <f>'Data Sheet'!K67/'Data Sheet'!K17</f>
        <v>0.18406840684068407</v>
      </c>
      <c r="L81" s="54">
        <f>'Data Sheet'!L67/'Data Sheet'!L17</f>
        <v>0.21704285246974156</v>
      </c>
      <c r="N81" s="32">
        <f>AVERAGE(C81:L81)</f>
        <v>0.14630117846775872</v>
      </c>
      <c r="O81" s="32">
        <f>MIN(C81:L81)</f>
        <v>3.0762920426579164E-2</v>
      </c>
      <c r="P81" s="32">
        <f>MAX(C81:L81)</f>
        <v>0.25</v>
      </c>
      <c r="Q81" s="34">
        <f>AVERAGE(C81:L81)</f>
        <v>0.14630117846775872</v>
      </c>
    </row>
    <row r="82" spans="1:17" x14ac:dyDescent="0.25">
      <c r="A82" s="58" t="s">
        <v>267</v>
      </c>
      <c r="B82" s="41" t="s">
        <v>268</v>
      </c>
      <c r="C82" s="54">
        <f>'Data Sheet'!C68/'Data Sheet'!C17</f>
        <v>0.15823122003196591</v>
      </c>
      <c r="D82" s="54">
        <f>'Data Sheet'!D68/'Data Sheet'!D17</f>
        <v>9.5159967186218206E-2</v>
      </c>
      <c r="E82" s="54">
        <f>'Data Sheet'!E68/'Data Sheet'!E17</f>
        <v>0.16909385113268607</v>
      </c>
      <c r="F82" s="54">
        <f>'Data Sheet'!F68/'Data Sheet'!F17</f>
        <v>0.23411764705882354</v>
      </c>
      <c r="G82" s="54">
        <f>'Data Sheet'!G68/'Data Sheet'!G17</f>
        <v>0.15384615384615385</v>
      </c>
      <c r="H82" s="54">
        <f>'Data Sheet'!H68/'Data Sheet'!H17</f>
        <v>0.15204003079291764</v>
      </c>
      <c r="I82" s="54">
        <f>'Data Sheet'!I68/'Data Sheet'!I17</f>
        <v>0.10457746478873241</v>
      </c>
      <c r="J82" s="54">
        <f>'Data Sheet'!J68/'Data Sheet'!J17</f>
        <v>0.2411674347158218</v>
      </c>
      <c r="K82" s="54">
        <f>'Data Sheet'!K68/'Data Sheet'!K17</f>
        <v>7.8082808280828087E-2</v>
      </c>
      <c r="L82" s="54">
        <f>'Data Sheet'!L68/'Data Sheet'!L17</f>
        <v>5.5937193326790972E-2</v>
      </c>
      <c r="N82" s="32">
        <f t="shared" ref="N82:N85" si="22">AVERAGE(C82:L82)</f>
        <v>0.14422537711609382</v>
      </c>
      <c r="O82" s="32">
        <f t="shared" ref="O82:O129" si="23">MIN(C82:L82)</f>
        <v>5.5937193326790972E-2</v>
      </c>
      <c r="P82" s="32">
        <f t="shared" ref="P82:P129" si="24">MAX(C82:L82)</f>
        <v>0.2411674347158218</v>
      </c>
      <c r="Q82" s="34">
        <f t="shared" ref="Q82:Q129" si="25">AVERAGE(C82:L82)</f>
        <v>0.14422537711609382</v>
      </c>
    </row>
    <row r="83" spans="1:17" x14ac:dyDescent="0.25">
      <c r="A83" s="58" t="s">
        <v>271</v>
      </c>
      <c r="B83" s="41" t="s">
        <v>272</v>
      </c>
      <c r="C83" s="54">
        <f>'Data Sheet'!C69/'Data Sheet'!C59</f>
        <v>1.9559902200488997E-2</v>
      </c>
      <c r="D83" s="54">
        <f>'Data Sheet'!D69/'Data Sheet'!D59</f>
        <v>0.29195804195804198</v>
      </c>
      <c r="E83" s="54">
        <f>'Data Sheet'!E69/'Data Sheet'!E59</f>
        <v>3.530895334174023E-2</v>
      </c>
      <c r="F83" s="54">
        <f>'Data Sheet'!F69/'Data Sheet'!F59</f>
        <v>2.0891364902506964E-2</v>
      </c>
      <c r="G83" s="54">
        <f>'Data Sheet'!G69/'Data Sheet'!G59</f>
        <v>2.9850746268656712E-2</v>
      </c>
      <c r="H83" s="54">
        <f>'Data Sheet'!H69/'Data Sheet'!H59</f>
        <v>4.9079754601226995E-2</v>
      </c>
      <c r="I83" s="54">
        <f>'Data Sheet'!I69/'Data Sheet'!I59</f>
        <v>0.156</v>
      </c>
      <c r="J83" s="54">
        <f>'Data Sheet'!J69/'Data Sheet'!J59</f>
        <v>7.6923076923076927E-2</v>
      </c>
      <c r="K83" s="54">
        <f>'Data Sheet'!K69/'Data Sheet'!K59</f>
        <v>1.4611872146118723</v>
      </c>
      <c r="L83" s="54" t="e">
        <f>'Data Sheet'!L69/'Data Sheet'!L59</f>
        <v>#DIV/0!</v>
      </c>
      <c r="N83" s="32"/>
      <c r="O83" s="32" t="e">
        <f t="shared" si="23"/>
        <v>#DIV/0!</v>
      </c>
      <c r="P83" s="32" t="e">
        <f t="shared" si="24"/>
        <v>#DIV/0!</v>
      </c>
      <c r="Q83" s="34" t="e">
        <f t="shared" si="25"/>
        <v>#DIV/0!</v>
      </c>
    </row>
    <row r="84" spans="1:17" x14ac:dyDescent="0.25">
      <c r="A84" s="58" t="s">
        <v>273</v>
      </c>
      <c r="B84" s="41"/>
      <c r="C84" s="54">
        <f>'Data Sheet'!C27/'Data Sheet'!C59</f>
        <v>2.4449877750611249E-2</v>
      </c>
      <c r="D84" s="54">
        <f>'Data Sheet'!D27/'Data Sheet'!D59</f>
        <v>0.11363636363636365</v>
      </c>
      <c r="E84" s="54">
        <f>'Data Sheet'!E27/'Data Sheet'!E59</f>
        <v>0.13240857503152587</v>
      </c>
      <c r="F84" s="54">
        <f>'Data Sheet'!F27/'Data Sheet'!F59</f>
        <v>0.13649025069637882</v>
      </c>
      <c r="G84" s="54">
        <f>'Data Sheet'!G27/'Data Sheet'!G59</f>
        <v>0.15588723051409617</v>
      </c>
      <c r="H84" s="54">
        <f>'Data Sheet'!H27/'Data Sheet'!H59</f>
        <v>0.17586912065439675</v>
      </c>
      <c r="I84" s="54">
        <f>'Data Sheet'!I27/'Data Sheet'!I59</f>
        <v>0.19600000000000001</v>
      </c>
      <c r="J84" s="54">
        <f>'Data Sheet'!J27/'Data Sheet'!J59</f>
        <v>0.14461538461538462</v>
      </c>
      <c r="K84" s="54">
        <f>'Data Sheet'!K27/'Data Sheet'!K59</f>
        <v>0.11872146118721462</v>
      </c>
      <c r="L84" s="54" t="e">
        <f>'Data Sheet'!L27/'Data Sheet'!L59</f>
        <v>#DIV/0!</v>
      </c>
      <c r="N84" s="32"/>
      <c r="O84" s="32" t="e">
        <f t="shared" si="23"/>
        <v>#DIV/0!</v>
      </c>
      <c r="P84" s="32" t="e">
        <f t="shared" si="24"/>
        <v>#DIV/0!</v>
      </c>
      <c r="Q84" s="34" t="e">
        <f t="shared" si="25"/>
        <v>#DIV/0!</v>
      </c>
    </row>
    <row r="85" spans="1:17" ht="23.25" x14ac:dyDescent="0.25">
      <c r="A85" s="58" t="s">
        <v>269</v>
      </c>
      <c r="B85" s="41" t="s">
        <v>270</v>
      </c>
      <c r="C85" s="54">
        <f>('Data Sheet'!C67+'Data Sheet'!C68)/'Data Sheet'!C17</f>
        <v>0.33137986148108689</v>
      </c>
      <c r="D85" s="54">
        <f>('Data Sheet'!D67+'Data Sheet'!D68)/'Data Sheet'!D17</f>
        <v>0.12592288761279738</v>
      </c>
      <c r="E85" s="54">
        <f>('Data Sheet'!E67+'Data Sheet'!E68)/'Data Sheet'!E17</f>
        <v>0.4190938511326861</v>
      </c>
      <c r="F85" s="54">
        <f>('Data Sheet'!F67+'Data Sheet'!F68)/'Data Sheet'!F17</f>
        <v>0.43294117647058822</v>
      </c>
      <c r="G85" s="54">
        <f>('Data Sheet'!G67+'Data Sheet'!G68)/'Data Sheet'!G17</f>
        <v>0.2517006802721089</v>
      </c>
      <c r="H85" s="54">
        <f>('Data Sheet'!H67+'Data Sheet'!H68)/'Data Sheet'!H17</f>
        <v>0.25596612779060818</v>
      </c>
      <c r="I85" s="54">
        <f>('Data Sheet'!I67+'Data Sheet'!I68)/'Data Sheet'!I17</f>
        <v>0.14964788732394366</v>
      </c>
      <c r="J85" s="54">
        <f>('Data Sheet'!J67+'Data Sheet'!J68)/'Data Sheet'!J17</f>
        <v>0.40348182283666151</v>
      </c>
      <c r="K85" s="54">
        <f>('Data Sheet'!K67+'Data Sheet'!K68)/'Data Sheet'!K17</f>
        <v>0.26215121512151218</v>
      </c>
      <c r="L85" s="54">
        <f>('Data Sheet'!L67+'Data Sheet'!L68)/'Data Sheet'!L17</f>
        <v>0.27298004579653251</v>
      </c>
      <c r="N85" s="32">
        <f t="shared" si="22"/>
        <v>0.29052655558385254</v>
      </c>
      <c r="O85" s="32">
        <f t="shared" si="23"/>
        <v>0.12592288761279738</v>
      </c>
      <c r="P85" s="32">
        <f t="shared" si="24"/>
        <v>0.43294117647058822</v>
      </c>
      <c r="Q85" s="34">
        <f t="shared" si="25"/>
        <v>0.29052655558385254</v>
      </c>
    </row>
    <row r="86" spans="1:17" ht="23.25" x14ac:dyDescent="0.25">
      <c r="A86" s="58" t="s">
        <v>184</v>
      </c>
      <c r="B86" s="41" t="s">
        <v>186</v>
      </c>
      <c r="C86" s="47">
        <f>'Balance Sheet'!C13/'Balance Sheet'!C7</f>
        <v>1.6351084812623271</v>
      </c>
      <c r="D86" s="47">
        <f>'Balance Sheet'!D13/'Balance Sheet'!D7</f>
        <v>1.894144144144144</v>
      </c>
      <c r="E86" s="47">
        <f>'Balance Sheet'!E13/'Balance Sheet'!E7</f>
        <v>1.3271604938271604</v>
      </c>
      <c r="F86" s="47">
        <f>'Balance Sheet'!F13/'Balance Sheet'!F7</f>
        <v>1.3538461538461539</v>
      </c>
      <c r="G86" s="47">
        <f>'Balance Sheet'!G13/'Balance Sheet'!G7</f>
        <v>1.4794520547945207</v>
      </c>
      <c r="H86" s="47">
        <f>'Balance Sheet'!H13/'Balance Sheet'!H7</f>
        <v>1.5626822157434404</v>
      </c>
      <c r="I86" s="47">
        <f>'Balance Sheet'!I13/'Balance Sheet'!I7</f>
        <v>1.7761506276150627</v>
      </c>
      <c r="J86" s="47">
        <f>'Balance Sheet'!J13/'Balance Sheet'!J7</f>
        <v>1.9666666666666668</v>
      </c>
      <c r="K86" s="47">
        <f>'Balance Sheet'!K13/'Balance Sheet'!K7</f>
        <v>2.2479627473806749</v>
      </c>
      <c r="L86" s="47">
        <f>'Balance Sheet'!L13/'Balance Sheet'!L7</f>
        <v>2.5</v>
      </c>
      <c r="N86" s="32"/>
      <c r="O86" s="46">
        <f t="shared" si="23"/>
        <v>1.3271604938271604</v>
      </c>
      <c r="P86" s="46">
        <f t="shared" si="24"/>
        <v>2.5</v>
      </c>
      <c r="Q86" s="36">
        <f t="shared" si="25"/>
        <v>1.774317358528015</v>
      </c>
    </row>
    <row r="87" spans="1:17" x14ac:dyDescent="0.25">
      <c r="A87" s="58" t="s">
        <v>169</v>
      </c>
      <c r="B87" s="41" t="s">
        <v>175</v>
      </c>
      <c r="C87" s="32">
        <f>C48/'Profit &amp; Loss'!C4</f>
        <v>0.17155034629728283</v>
      </c>
      <c r="D87" s="32">
        <f>D48/'Profit &amp; Loss'!D4</f>
        <v>0.16283839212469237</v>
      </c>
      <c r="E87" s="32">
        <f>E48/'Profit &amp; Loss'!E4</f>
        <v>0.17152103559870543</v>
      </c>
      <c r="F87" s="32">
        <f>F48/'Profit &amp; Loss'!F4</f>
        <v>0.24352941176470591</v>
      </c>
      <c r="G87" s="32">
        <f>G48/'Profit &amp; Loss'!G4</f>
        <v>0.14652014652014655</v>
      </c>
      <c r="H87" s="32">
        <f>H48/'Profit &amp; Loss'!H4</f>
        <v>0.14857582755966128</v>
      </c>
      <c r="I87" s="32">
        <f>I48/'Profit &amp; Loss'!I4</f>
        <v>0.1306338028169014</v>
      </c>
      <c r="J87" s="32">
        <f>J48/'Profit &amp; Loss'!J4</f>
        <v>0.28213005632360472</v>
      </c>
      <c r="K87" s="32">
        <f>K48/'Profit &amp; Loss'!K4</f>
        <v>0.2412241224122412</v>
      </c>
      <c r="L87" s="32">
        <f>L48/'Profit &amp; Loss'!L4</f>
        <v>0.31890660592255127</v>
      </c>
      <c r="N87" s="32"/>
      <c r="O87" s="32">
        <f t="shared" si="23"/>
        <v>0.1306338028169014</v>
      </c>
      <c r="P87" s="32">
        <f t="shared" si="24"/>
        <v>0.31890660592255127</v>
      </c>
      <c r="Q87" s="34">
        <f t="shared" si="25"/>
        <v>0.20174297473404929</v>
      </c>
    </row>
    <row r="88" spans="1:17" x14ac:dyDescent="0.25">
      <c r="A88" s="58" t="s">
        <v>170</v>
      </c>
      <c r="B88" s="41" t="s">
        <v>176</v>
      </c>
      <c r="C88" s="32">
        <f>C55/'Profit &amp; Loss'!C4</f>
        <v>1.0245071923281832</v>
      </c>
      <c r="D88" s="32">
        <f>D55/'Profit &amp; Loss'!D4</f>
        <v>0.96062346185397862</v>
      </c>
      <c r="E88" s="32">
        <f>E55/'Profit &amp; Loss'!E4</f>
        <v>1.8535598705501619</v>
      </c>
      <c r="F88" s="32">
        <f>F55/'Profit &amp; Loss'!F4</f>
        <v>2.4941176470588236</v>
      </c>
      <c r="G88" s="32">
        <f>G55/'Profit &amp; Loss'!G4</f>
        <v>1.0968079539508111</v>
      </c>
      <c r="H88" s="32">
        <f>H55/'Profit &amp; Loss'!H4</f>
        <v>0.81524249422632789</v>
      </c>
      <c r="I88" s="32">
        <f>I55/'Profit &amp; Loss'!I4</f>
        <v>0.7415492957746479</v>
      </c>
      <c r="J88" s="32">
        <f>J55/'Profit &amp; Loss'!J4</f>
        <v>1.1193036354326675</v>
      </c>
      <c r="K88" s="32">
        <f>K55/'Profit &amp; Loss'!K4</f>
        <v>0.59383438343834383</v>
      </c>
      <c r="L88" s="32">
        <f>L55/'Profit &amp; Loss'!L4</f>
        <v>0.54867122247532274</v>
      </c>
      <c r="N88" s="32"/>
      <c r="O88" s="32">
        <f t="shared" si="23"/>
        <v>0.54867122247532274</v>
      </c>
      <c r="P88" s="32">
        <f t="shared" si="24"/>
        <v>2.4941176470588236</v>
      </c>
      <c r="Q88" s="34">
        <f t="shared" si="25"/>
        <v>1.1248217157089269</v>
      </c>
    </row>
    <row r="89" spans="1:17" x14ac:dyDescent="0.25">
      <c r="A89" s="58" t="s">
        <v>177</v>
      </c>
      <c r="B89" s="41" t="s">
        <v>181</v>
      </c>
      <c r="C89" s="32">
        <f>C48/'Profit &amp; Loss'!C12</f>
        <v>1.1881918819188189</v>
      </c>
      <c r="D89" s="32">
        <f>D48/'Profit &amp; Loss'!D12</f>
        <v>3.642201834862385</v>
      </c>
      <c r="E89" s="32">
        <f>E48/'Profit &amp; Loss'!E12</f>
        <v>-0.77941176470588203</v>
      </c>
      <c r="F89" s="32">
        <f>F48/'Profit &amp; Loss'!F12</f>
        <v>-1.0670103092783507</v>
      </c>
      <c r="G89" s="32">
        <f>G48/'Profit &amp; Loss'!G12</f>
        <v>7.1794871794871806</v>
      </c>
      <c r="H89" s="32">
        <f>H48/'Profit &amp; Loss'!H12</f>
        <v>6.5423728813559334</v>
      </c>
      <c r="I89" s="32">
        <f>I48/'Profit &amp; Loss'!I12</f>
        <v>4.3139534883720927</v>
      </c>
      <c r="J89" s="32">
        <f>J48/'Profit &amp; Loss'!J12</f>
        <v>110.2</v>
      </c>
      <c r="K89" s="32">
        <f>K48/'Profit &amp; Loss'!K12</f>
        <v>1.3904020752269779</v>
      </c>
      <c r="L89" s="32">
        <f>L48/'Profit &amp; Loss'!L12</f>
        <v>1.2537313432835822</v>
      </c>
      <c r="N89" s="32"/>
      <c r="O89" s="32">
        <f t="shared" si="23"/>
        <v>-1.0670103092783507</v>
      </c>
      <c r="P89" s="32">
        <f t="shared" si="24"/>
        <v>110.2</v>
      </c>
      <c r="Q89" s="34">
        <f t="shared" si="25"/>
        <v>13.386391861052275</v>
      </c>
    </row>
    <row r="90" spans="1:17" x14ac:dyDescent="0.25">
      <c r="A90" s="58" t="s">
        <v>178</v>
      </c>
      <c r="B90" s="41" t="s">
        <v>247</v>
      </c>
      <c r="C90" s="46">
        <f>'Profit &amp; Loss'!C12/'Financial Analysis'!C55</f>
        <v>0.14092563702548103</v>
      </c>
      <c r="D90" s="46">
        <f>'Profit &amp; Loss'!D12/'Financial Analysis'!D55</f>
        <v>4.6541417591801887E-2</v>
      </c>
      <c r="E90" s="46">
        <f>'Profit &amp; Loss'!E12/'Financial Analysis'!E55</f>
        <v>-0.11872544740288085</v>
      </c>
      <c r="F90" s="46">
        <f>'Profit &amp; Loss'!F12/'Financial Analysis'!F55</f>
        <v>-9.1509433962264158E-2</v>
      </c>
      <c r="G90" s="46">
        <f>'Profit &amp; Loss'!G12/'Financial Analysis'!G55</f>
        <v>1.8606870229007633E-2</v>
      </c>
      <c r="H90" s="46">
        <f>'Profit &amp; Loss'!H12/'Financial Analysis'!H55</f>
        <v>2.7856468366383381E-2</v>
      </c>
      <c r="I90" s="46">
        <f>'Profit &amp; Loss'!I12/'Financial Analysis'!I55</f>
        <v>4.0835707502374169E-2</v>
      </c>
      <c r="J90" s="46">
        <f>'Profit &amp; Loss'!J12/'Financial Analysis'!J55</f>
        <v>2.2872827081427266E-3</v>
      </c>
      <c r="K90" s="46">
        <f>'Profit &amp; Loss'!K12/'Financial Analysis'!K55</f>
        <v>0.29215611974232664</v>
      </c>
      <c r="L90" s="46">
        <f>'Profit &amp; Loss'!L12/'Financial Analysis'!L55</f>
        <v>0.46360365347356763</v>
      </c>
      <c r="N90" s="32"/>
      <c r="O90" s="32">
        <f t="shared" si="23"/>
        <v>-0.11872544740288085</v>
      </c>
      <c r="P90" s="32">
        <f t="shared" si="24"/>
        <v>0.46360365347356763</v>
      </c>
      <c r="Q90" s="34">
        <f t="shared" si="25"/>
        <v>8.2257827527394009E-2</v>
      </c>
    </row>
    <row r="91" spans="1:17" x14ac:dyDescent="0.25">
      <c r="A91" s="58" t="s">
        <v>179</v>
      </c>
      <c r="B91" s="41" t="s">
        <v>182</v>
      </c>
      <c r="C91" s="32"/>
      <c r="D91" s="32"/>
      <c r="E91" s="32"/>
      <c r="F91" s="32"/>
      <c r="G91" s="32"/>
      <c r="H91" s="32"/>
      <c r="I91" s="32"/>
      <c r="J91" s="32"/>
      <c r="K91" s="32"/>
      <c r="L91" s="32"/>
      <c r="N91" s="32"/>
      <c r="O91" s="32">
        <f t="shared" si="23"/>
        <v>0</v>
      </c>
      <c r="P91" s="32">
        <f t="shared" si="24"/>
        <v>0</v>
      </c>
      <c r="Q91" s="34" t="e">
        <f t="shared" si="25"/>
        <v>#DIV/0!</v>
      </c>
    </row>
    <row r="92" spans="1:17" x14ac:dyDescent="0.25">
      <c r="A92" s="58" t="s">
        <v>180</v>
      </c>
      <c r="B92" s="41" t="s">
        <v>183</v>
      </c>
      <c r="C92" s="32"/>
      <c r="D92" s="32"/>
      <c r="E92" s="32"/>
      <c r="F92" s="32"/>
      <c r="G92" s="32"/>
      <c r="H92" s="32"/>
      <c r="I92" s="32"/>
      <c r="J92" s="32"/>
      <c r="K92" s="32"/>
      <c r="L92" s="32"/>
      <c r="N92" s="32"/>
      <c r="O92" s="32">
        <f t="shared" si="23"/>
        <v>0</v>
      </c>
      <c r="P92" s="32">
        <f t="shared" si="24"/>
        <v>0</v>
      </c>
      <c r="Q92" s="34" t="e">
        <f t="shared" si="25"/>
        <v>#DIV/0!</v>
      </c>
    </row>
    <row r="93" spans="1:17" x14ac:dyDescent="0.25">
      <c r="A93" s="58" t="s">
        <v>171</v>
      </c>
      <c r="B93" s="41" t="s">
        <v>146</v>
      </c>
      <c r="C93" s="32"/>
      <c r="D93" s="32"/>
      <c r="E93" s="32"/>
      <c r="F93" s="32"/>
      <c r="G93" s="32"/>
      <c r="H93" s="32"/>
      <c r="I93" s="32"/>
      <c r="J93" s="32"/>
      <c r="K93" s="32"/>
      <c r="L93" s="32"/>
      <c r="N93" s="32"/>
      <c r="O93" s="32">
        <f t="shared" si="23"/>
        <v>0</v>
      </c>
      <c r="P93" s="32">
        <f t="shared" si="24"/>
        <v>0</v>
      </c>
      <c r="Q93" s="34" t="e">
        <f t="shared" si="25"/>
        <v>#DIV/0!</v>
      </c>
    </row>
    <row r="94" spans="1:17" x14ac:dyDescent="0.25">
      <c r="A94" s="58" t="s">
        <v>172</v>
      </c>
      <c r="B94" s="41" t="s">
        <v>146</v>
      </c>
      <c r="C94" s="32"/>
      <c r="D94" s="32"/>
      <c r="E94" s="32"/>
      <c r="F94" s="32"/>
      <c r="G94" s="32"/>
      <c r="H94" s="32"/>
      <c r="I94" s="32"/>
      <c r="J94" s="32"/>
      <c r="K94" s="32"/>
      <c r="L94" s="32"/>
      <c r="N94" s="32"/>
      <c r="O94" s="32">
        <f t="shared" si="23"/>
        <v>0</v>
      </c>
      <c r="P94" s="32">
        <f t="shared" si="24"/>
        <v>0</v>
      </c>
      <c r="Q94" s="34" t="e">
        <f t="shared" si="25"/>
        <v>#DIV/0!</v>
      </c>
    </row>
    <row r="95" spans="1:17" x14ac:dyDescent="0.25">
      <c r="A95" s="58" t="s">
        <v>42</v>
      </c>
      <c r="B95" s="41" t="s">
        <v>192</v>
      </c>
      <c r="C95" s="37">
        <f>IFERROR('Data Sheet'!C17/'Data Sheet'!C68,"NA")</f>
        <v>6.3198653198653192</v>
      </c>
      <c r="D95" s="37">
        <f>IFERROR('Data Sheet'!D17/'Data Sheet'!D68,"NA")</f>
        <v>10.508620689655173</v>
      </c>
      <c r="E95" s="37">
        <f>IFERROR('Data Sheet'!E17/'Data Sheet'!E68,"NA")</f>
        <v>5.9138755980861246</v>
      </c>
      <c r="F95" s="37">
        <f>IFERROR('Data Sheet'!F17/'Data Sheet'!F68,"NA")</f>
        <v>4.2713567839195976</v>
      </c>
      <c r="G95" s="37">
        <f>IFERROR('Data Sheet'!G17/'Data Sheet'!G68,"NA")</f>
        <v>6.5</v>
      </c>
      <c r="H95" s="37">
        <f>IFERROR('Data Sheet'!H17/'Data Sheet'!H68,"NA")</f>
        <v>6.5772151898734172</v>
      </c>
      <c r="I95" s="37">
        <f>IFERROR('Data Sheet'!I17/'Data Sheet'!I68,"NA")</f>
        <v>9.5622895622895605</v>
      </c>
      <c r="J95" s="37">
        <f>IFERROR('Data Sheet'!J17/'Data Sheet'!J68,"NA")</f>
        <v>4.1464968152866248</v>
      </c>
      <c r="K95" s="37">
        <f>IFERROR('Data Sheet'!K17/'Data Sheet'!K68,"NA")</f>
        <v>12.806916426512966</v>
      </c>
      <c r="L95" s="37">
        <f>IFERROR('Data Sheet'!L17/'Data Sheet'!L68,"NA")</f>
        <v>17.87719298245614</v>
      </c>
      <c r="N95" s="32"/>
      <c r="O95" s="46">
        <f t="shared" si="23"/>
        <v>4.1464968152866248</v>
      </c>
      <c r="P95" s="46">
        <f t="shared" si="24"/>
        <v>17.87719298245614</v>
      </c>
      <c r="Q95" s="36">
        <f t="shared" si="25"/>
        <v>8.4483829367944914</v>
      </c>
    </row>
    <row r="96" spans="1:17" x14ac:dyDescent="0.25">
      <c r="A96" s="58" t="s">
        <v>114</v>
      </c>
      <c r="B96" s="41" t="s">
        <v>193</v>
      </c>
      <c r="C96" s="37">
        <f>'Data Sheet'!C17/'Data Sheet'!C62</f>
        <v>1.4007462686567163</v>
      </c>
      <c r="D96" s="37">
        <f>'Data Sheet'!D17/'Data Sheet'!D62</f>
        <v>1.3735211267605634</v>
      </c>
      <c r="E96" s="37">
        <f>'Data Sheet'!E17/'Data Sheet'!E62</f>
        <v>0.60647693817468107</v>
      </c>
      <c r="F96" s="37">
        <f>'Data Sheet'!F17/'Data Sheet'!F62</f>
        <v>0.44619422572178474</v>
      </c>
      <c r="G96" s="37">
        <f>'Data Sheet'!G17/'Data Sheet'!G62</f>
        <v>1.0705882352941176</v>
      </c>
      <c r="H96" s="37">
        <f>'Data Sheet'!H17/'Data Sheet'!H62</f>
        <v>1.5482717520858165</v>
      </c>
      <c r="I96" s="37">
        <f>'Data Sheet'!I17/'Data Sheet'!I62</f>
        <v>1.6511627906976745</v>
      </c>
      <c r="J96" s="37">
        <f>'Data Sheet'!J17/'Data Sheet'!J62</f>
        <v>1.1996314496314495</v>
      </c>
      <c r="K96" s="37">
        <f>'Data Sheet'!K17/'Data Sheet'!K62</f>
        <v>2.8468930172966047</v>
      </c>
      <c r="L96" s="37">
        <f>'Data Sheet'!L17/'Data Sheet'!L62</f>
        <v>3.9318327974276528</v>
      </c>
      <c r="N96" s="32"/>
      <c r="O96" s="46">
        <f t="shared" si="23"/>
        <v>0.44619422572178474</v>
      </c>
      <c r="P96" s="46">
        <f t="shared" si="24"/>
        <v>3.9318327974276528</v>
      </c>
      <c r="Q96" s="36">
        <f t="shared" si="25"/>
        <v>1.607531860174706</v>
      </c>
    </row>
    <row r="97" spans="1:17" x14ac:dyDescent="0.25">
      <c r="A97" s="58" t="s">
        <v>115</v>
      </c>
      <c r="B97" s="41" t="s">
        <v>194</v>
      </c>
      <c r="N97" s="32"/>
      <c r="O97" s="32"/>
      <c r="P97" s="32"/>
      <c r="Q97" s="34"/>
    </row>
    <row r="98" spans="1:17" x14ac:dyDescent="0.25">
      <c r="A98" s="58" t="s">
        <v>234</v>
      </c>
      <c r="B98" s="41" t="s">
        <v>191</v>
      </c>
      <c r="C98" s="37">
        <f>IFERROR(('Data Sheet'!C68/'Data Sheet'!C17)*365,"NA")</f>
        <v>57.754395311667558</v>
      </c>
      <c r="D98" s="37">
        <f>IFERROR(('Data Sheet'!D68/'Data Sheet'!D17)*365,"NA")</f>
        <v>34.733388022969642</v>
      </c>
      <c r="E98" s="37">
        <f>IFERROR(('Data Sheet'!E68/'Data Sheet'!E17)*365,"NA")</f>
        <v>61.719255663430417</v>
      </c>
      <c r="F98" s="37">
        <f>IFERROR(('Data Sheet'!F68/'Data Sheet'!F17)*365,"NA")</f>
        <v>85.452941176470588</v>
      </c>
      <c r="G98" s="37">
        <f>IFERROR(('Data Sheet'!G68/'Data Sheet'!G17)*365,"NA")</f>
        <v>56.15384615384616</v>
      </c>
      <c r="H98" s="37">
        <f>IFERROR(('Data Sheet'!H68/'Data Sheet'!H17)*365,"NA")</f>
        <v>55.494611239414937</v>
      </c>
      <c r="I98" s="37">
        <f>IFERROR(('Data Sheet'!I68/'Data Sheet'!I17)*365,"NA")</f>
        <v>38.170774647887328</v>
      </c>
      <c r="J98" s="37">
        <f>IFERROR(('Data Sheet'!J68/'Data Sheet'!J17)*365,"NA")</f>
        <v>88.026113671274956</v>
      </c>
      <c r="K98" s="37">
        <f>IFERROR(('Data Sheet'!K68/'Data Sheet'!K17)*365,"NA")</f>
        <v>28.500225022502253</v>
      </c>
      <c r="L98" s="37">
        <f>IFERROR(('Data Sheet'!L68/'Data Sheet'!L17)*365,"NA")</f>
        <v>20.417075564278704</v>
      </c>
      <c r="N98" s="32"/>
      <c r="O98" s="47">
        <f t="shared" si="23"/>
        <v>20.417075564278704</v>
      </c>
      <c r="P98" s="47">
        <f t="shared" si="24"/>
        <v>88.026113671274956</v>
      </c>
      <c r="Q98" s="37">
        <f t="shared" si="25"/>
        <v>52.642262647374253</v>
      </c>
    </row>
    <row r="99" spans="1:17" ht="34.5" x14ac:dyDescent="0.25">
      <c r="A99" s="58" t="s">
        <v>235</v>
      </c>
      <c r="B99" s="41" t="s">
        <v>195</v>
      </c>
      <c r="C99" s="37">
        <f>IFERROR(('Data Sheet'!C67/'Data Sheet'!C17)*365,"NA")</f>
        <v>63.199254128929148</v>
      </c>
      <c r="D99" s="37">
        <f>IFERROR(('Data Sheet'!D67/'Data Sheet'!D17)*365,"NA")</f>
        <v>11.228465955701395</v>
      </c>
      <c r="E99" s="37">
        <f>IFERROR(('Data Sheet'!E67/'Data Sheet'!E17)*365,"NA")</f>
        <v>91.25</v>
      </c>
      <c r="F99" s="37">
        <f>IFERROR(('Data Sheet'!F67/'Data Sheet'!F17)*365,"NA")</f>
        <v>72.57058823529411</v>
      </c>
      <c r="G99" s="37">
        <f>IFERROR(('Data Sheet'!G67/'Data Sheet'!G17)*365,"NA")</f>
        <v>35.716902145473576</v>
      </c>
      <c r="H99" s="37">
        <f>IFERROR(('Data Sheet'!H67/'Data Sheet'!H17)*365,"NA")</f>
        <v>37.933025404157043</v>
      </c>
      <c r="I99" s="37">
        <f>IFERROR(('Data Sheet'!I67/'Data Sheet'!I17)*365,"NA")</f>
        <v>16.450704225352112</v>
      </c>
      <c r="J99" s="37">
        <f>IFERROR(('Data Sheet'!J67/'Data Sheet'!J17)*365,"NA")</f>
        <v>59.244751664106502</v>
      </c>
      <c r="K99" s="37">
        <f>IFERROR(('Data Sheet'!K67/'Data Sheet'!K17)*365,"NA")</f>
        <v>67.184968496849692</v>
      </c>
      <c r="L99" s="37">
        <f>IFERROR(('Data Sheet'!L67/'Data Sheet'!L17)*365,"NA")</f>
        <v>79.220641151455666</v>
      </c>
      <c r="N99" s="32"/>
      <c r="O99" s="47">
        <f t="shared" si="23"/>
        <v>11.228465955701395</v>
      </c>
      <c r="P99" s="47">
        <f t="shared" si="24"/>
        <v>91.25</v>
      </c>
      <c r="Q99" s="37">
        <f t="shared" si="25"/>
        <v>53.399930140731932</v>
      </c>
    </row>
    <row r="100" spans="1:17" ht="23.25" x14ac:dyDescent="0.25">
      <c r="A100" s="58" t="s">
        <v>142</v>
      </c>
      <c r="B100" s="41" t="s">
        <v>196</v>
      </c>
      <c r="C100" s="33"/>
      <c r="D100" s="33"/>
      <c r="E100" s="33"/>
      <c r="F100" s="33"/>
      <c r="G100" s="33"/>
      <c r="H100" s="33"/>
      <c r="I100" s="33"/>
      <c r="J100" s="33"/>
      <c r="K100" s="33"/>
      <c r="N100" s="32"/>
      <c r="O100" s="32"/>
      <c r="P100" s="32"/>
      <c r="Q100" s="34"/>
    </row>
    <row r="101" spans="1:17" x14ac:dyDescent="0.25">
      <c r="A101" s="58" t="s">
        <v>113</v>
      </c>
      <c r="B101" s="41" t="s">
        <v>190</v>
      </c>
      <c r="C101" s="33"/>
      <c r="D101" s="33"/>
      <c r="E101" s="33"/>
      <c r="F101" s="33"/>
      <c r="G101" s="33"/>
      <c r="H101" s="33"/>
      <c r="I101" s="33"/>
      <c r="J101" s="33"/>
      <c r="K101" s="33"/>
      <c r="N101" s="32"/>
      <c r="O101" s="32"/>
      <c r="P101" s="32"/>
      <c r="Q101" s="34"/>
    </row>
    <row r="102" spans="1:17" x14ac:dyDescent="0.25">
      <c r="A102" s="58" t="s">
        <v>116</v>
      </c>
      <c r="B102" s="41" t="s">
        <v>190</v>
      </c>
      <c r="N102" s="32"/>
      <c r="O102" s="32"/>
      <c r="P102" s="32"/>
      <c r="Q102" s="34"/>
    </row>
    <row r="103" spans="1:17" x14ac:dyDescent="0.25">
      <c r="A103" s="58" t="s">
        <v>355</v>
      </c>
      <c r="B103" s="41"/>
      <c r="D103">
        <f>'Data Sheet'!D30</f>
        <v>1.0900000000000001</v>
      </c>
      <c r="E103">
        <f>'Data Sheet'!E30</f>
        <v>-2.72</v>
      </c>
      <c r="F103">
        <f>'Data Sheet'!F30</f>
        <v>-1.94</v>
      </c>
      <c r="G103">
        <f>'Data Sheet'!G30</f>
        <v>0.39</v>
      </c>
      <c r="H103">
        <f>'Data Sheet'!H30</f>
        <v>0.59</v>
      </c>
      <c r="I103">
        <f>'Data Sheet'!I30</f>
        <v>0.86</v>
      </c>
      <c r="J103">
        <f>'Data Sheet'!J30</f>
        <v>0.05</v>
      </c>
      <c r="K103">
        <f>'Data Sheet'!K30</f>
        <v>7.71</v>
      </c>
      <c r="L103">
        <f>'Data Sheet'!L30</f>
        <v>15.93</v>
      </c>
      <c r="N103" s="55">
        <f>SUM(D103:L103)</f>
        <v>21.96</v>
      </c>
      <c r="O103" s="32"/>
      <c r="P103" s="32"/>
      <c r="Q103" s="34"/>
    </row>
    <row r="104" spans="1:17" x14ac:dyDescent="0.25">
      <c r="A104" s="58" t="s">
        <v>412</v>
      </c>
      <c r="B104" s="41"/>
      <c r="D104">
        <f>'Data Sheet'!D82</f>
        <v>3.89</v>
      </c>
      <c r="E104">
        <f>'Data Sheet'!E82</f>
        <v>0.45</v>
      </c>
      <c r="F104">
        <f>'Data Sheet'!F82</f>
        <v>0.64</v>
      </c>
      <c r="G104">
        <f>'Data Sheet'!G82</f>
        <v>1.46</v>
      </c>
      <c r="H104">
        <f>'Data Sheet'!H82</f>
        <v>1.91</v>
      </c>
      <c r="I104">
        <f>'Data Sheet'!I82</f>
        <v>1.91</v>
      </c>
      <c r="J104">
        <f>'Data Sheet'!J82</f>
        <v>-0.28999999999999998</v>
      </c>
      <c r="K104">
        <f>'Data Sheet'!K82</f>
        <v>6.85</v>
      </c>
      <c r="L104">
        <f>'Data Sheet'!L82</f>
        <v>14</v>
      </c>
      <c r="N104" s="55">
        <f t="shared" ref="N104:N105" si="26">SUM(D104:L104)</f>
        <v>30.82</v>
      </c>
      <c r="O104" s="32"/>
      <c r="P104" s="32"/>
      <c r="Q104" s="34"/>
    </row>
    <row r="105" spans="1:17" x14ac:dyDescent="0.25">
      <c r="A105" s="58" t="s">
        <v>286</v>
      </c>
      <c r="B105" s="41" t="s">
        <v>546</v>
      </c>
      <c r="D105" s="105">
        <f>'Data Sheet'!D82-'Financial Analysis'!D45</f>
        <v>-2.0599999999999992</v>
      </c>
      <c r="E105" s="105">
        <f>'Data Sheet'!E82-'Financial Analysis'!E45</f>
        <v>-2.8299999999999987</v>
      </c>
      <c r="F105" s="105">
        <f>'Data Sheet'!F82-'Financial Analysis'!F45</f>
        <v>0.57999999999999841</v>
      </c>
      <c r="G105" s="105">
        <f>'Data Sheet'!G82-'Financial Analysis'!G45</f>
        <v>1.2799999999999994</v>
      </c>
      <c r="H105" s="105">
        <f>'Data Sheet'!H82-'Financial Analysis'!H45</f>
        <v>1.54</v>
      </c>
      <c r="I105" s="105">
        <f>'Data Sheet'!I82-'Financial Analysis'!I45</f>
        <v>0.1400000000000019</v>
      </c>
      <c r="J105" s="105">
        <f>'Data Sheet'!J82-'Financial Analysis'!J45</f>
        <v>-0.88000000000000189</v>
      </c>
      <c r="K105" s="105">
        <f>'Data Sheet'!K82-'Financial Analysis'!K45</f>
        <v>5.6900000000000013</v>
      </c>
      <c r="L105" s="105">
        <f>'Data Sheet'!L82-'Financial Analysis'!L45</f>
        <v>12.129999999999999</v>
      </c>
      <c r="N105" s="55">
        <f t="shared" si="26"/>
        <v>15.59</v>
      </c>
      <c r="O105" s="32"/>
      <c r="P105" s="32"/>
      <c r="Q105" s="34"/>
    </row>
    <row r="106" spans="1:17" x14ac:dyDescent="0.25">
      <c r="A106" s="58"/>
      <c r="B106" s="41"/>
      <c r="D106" s="105"/>
      <c r="N106" s="32"/>
      <c r="O106" s="32"/>
      <c r="P106" s="32"/>
      <c r="Q106" s="34"/>
    </row>
    <row r="107" spans="1:17" x14ac:dyDescent="0.25">
      <c r="A107" s="58"/>
      <c r="B107" s="41"/>
      <c r="D107" s="105"/>
      <c r="N107" s="32"/>
      <c r="O107" s="32"/>
      <c r="P107" s="32"/>
      <c r="Q107" s="34"/>
    </row>
    <row r="108" spans="1:17" ht="18.75" x14ac:dyDescent="0.25">
      <c r="A108" s="56" t="s">
        <v>241</v>
      </c>
      <c r="B108" s="41"/>
      <c r="C108" s="53">
        <f>C80</f>
        <v>39172</v>
      </c>
      <c r="D108" s="53">
        <f t="shared" ref="D108:L108" si="27">D80</f>
        <v>39538</v>
      </c>
      <c r="E108" s="53">
        <f t="shared" si="27"/>
        <v>39903</v>
      </c>
      <c r="F108" s="53">
        <f t="shared" si="27"/>
        <v>40268</v>
      </c>
      <c r="G108" s="53">
        <f t="shared" si="27"/>
        <v>40633</v>
      </c>
      <c r="H108" s="53">
        <f t="shared" si="27"/>
        <v>40999</v>
      </c>
      <c r="I108" s="53">
        <f t="shared" si="27"/>
        <v>41364</v>
      </c>
      <c r="J108" s="53">
        <f t="shared" si="27"/>
        <v>41729</v>
      </c>
      <c r="K108" s="53">
        <f t="shared" si="27"/>
        <v>42094</v>
      </c>
      <c r="L108" s="53">
        <f t="shared" si="27"/>
        <v>42430</v>
      </c>
      <c r="O108" s="32">
        <f t="shared" si="23"/>
        <v>39172</v>
      </c>
      <c r="P108" s="32">
        <f t="shared" si="24"/>
        <v>42430</v>
      </c>
      <c r="Q108" s="34">
        <f t="shared" si="25"/>
        <v>40813</v>
      </c>
    </row>
    <row r="109" spans="1:17" x14ac:dyDescent="0.25">
      <c r="A109" s="58" t="s">
        <v>106</v>
      </c>
      <c r="B109" s="41" t="s">
        <v>158</v>
      </c>
      <c r="C109" s="36">
        <f>('Data Sheet'!C59)/('Data Sheet'!C57+'Data Sheet'!C58)</f>
        <v>0.27014531043593126</v>
      </c>
      <c r="D109" s="36">
        <f>('Data Sheet'!D59)/('Data Sheet'!D57+'Data Sheet'!D58)</f>
        <v>0.32316384180790958</v>
      </c>
      <c r="E109" s="36">
        <f>('Data Sheet'!E59)/('Data Sheet'!E57+'Data Sheet'!E58)</f>
        <v>0.52937249666221631</v>
      </c>
      <c r="F109" s="36">
        <f>('Data Sheet'!F59)/('Data Sheet'!F57+'Data Sheet'!F58)</f>
        <v>0.51212553495007129</v>
      </c>
      <c r="G109" s="36">
        <f>('Data Sheet'!G59)/('Data Sheet'!G57+'Data Sheet'!G58)</f>
        <v>0.40388479571332891</v>
      </c>
      <c r="H109" s="36">
        <f>('Data Sheet'!H59)/('Data Sheet'!H57+'Data Sheet'!H58)</f>
        <v>0.30018416206261511</v>
      </c>
      <c r="I109" s="36">
        <f>('Data Sheet'!I59)/('Data Sheet'!I57+'Data Sheet'!I58)</f>
        <v>0.13469827586206898</v>
      </c>
      <c r="J109" s="36">
        <f>('Data Sheet'!J59)/('Data Sheet'!J57+'Data Sheet'!J58)</f>
        <v>0.17463729177861365</v>
      </c>
      <c r="K109" s="36">
        <f>('Data Sheet'!K59)/('Data Sheet'!K57+'Data Sheet'!K58)</f>
        <v>9.0495867768595042E-2</v>
      </c>
      <c r="L109" s="36">
        <f>('Data Sheet'!L59)/('Data Sheet'!L57+'Data Sheet'!L58)</f>
        <v>0</v>
      </c>
      <c r="N109" s="32">
        <f t="shared" ref="N109:N118" si="28">(L109/C109)^(1/(9-1))-1</f>
        <v>-1</v>
      </c>
      <c r="O109" s="32">
        <f t="shared" si="23"/>
        <v>0</v>
      </c>
      <c r="P109" s="32">
        <f t="shared" si="24"/>
        <v>0.52937249666221631</v>
      </c>
      <c r="Q109" s="34">
        <f t="shared" si="25"/>
        <v>0.27387075770413499</v>
      </c>
    </row>
    <row r="110" spans="1:17" x14ac:dyDescent="0.25">
      <c r="A110" s="58" t="s">
        <v>107</v>
      </c>
      <c r="B110" s="41" t="s">
        <v>187</v>
      </c>
      <c r="C110" s="37">
        <f>C54/'Profit &amp; Loss'!C9</f>
        <v>39.9</v>
      </c>
      <c r="D110" s="37">
        <f>D54/'Profit &amp; Loss'!D9</f>
        <v>4.8769230769230765</v>
      </c>
      <c r="E110" s="37">
        <f>E54/'Profit &amp; Loss'!E9</f>
        <v>-2.6666666666666665</v>
      </c>
      <c r="F110" s="37">
        <f>F54/'Profit &amp; Loss'!F9</f>
        <v>-2.2244897959183674</v>
      </c>
      <c r="G110" s="37">
        <f>G54/'Profit &amp; Loss'!G9</f>
        <v>1.595744680851064</v>
      </c>
      <c r="H110" s="37">
        <f>H54/'Profit &amp; Loss'!H9</f>
        <v>1.8372093023255816</v>
      </c>
      <c r="I110" s="37">
        <f>I54/'Profit &amp; Loss'!I9</f>
        <v>3.795918367346939</v>
      </c>
      <c r="J110" s="37">
        <f>J54/'Profit &amp; Loss'!J9</f>
        <v>1.2127659574468084</v>
      </c>
      <c r="K110" s="37">
        <f>K54/'Profit &amp; Loss'!K9</f>
        <v>44.999999999999993</v>
      </c>
      <c r="L110" s="37">
        <f>L54/'Profit &amp; Loss'!L9</f>
        <v>139.05555555555557</v>
      </c>
      <c r="N110" s="32">
        <f t="shared" si="28"/>
        <v>0.16889884930429777</v>
      </c>
      <c r="O110" s="32">
        <f t="shared" si="23"/>
        <v>-2.6666666666666665</v>
      </c>
      <c r="P110" s="32">
        <f t="shared" si="24"/>
        <v>139.05555555555557</v>
      </c>
      <c r="Q110" s="34">
        <f t="shared" si="25"/>
        <v>23.238296047786399</v>
      </c>
    </row>
    <row r="111" spans="1:17" ht="23.25" x14ac:dyDescent="0.25">
      <c r="A111" s="58" t="s">
        <v>108</v>
      </c>
      <c r="B111" s="41" t="s">
        <v>201</v>
      </c>
      <c r="C111" s="37">
        <f>'Data Sheet'!C82/('Data Sheet'!C59+'Data Sheet'!C60)</f>
        <v>0.15393013100436681</v>
      </c>
      <c r="D111" s="37">
        <f>'Data Sheet'!D82/('Data Sheet'!D59+'Data Sheet'!D60)</f>
        <v>0.38287401574803148</v>
      </c>
      <c r="E111" s="37">
        <f>'Data Sheet'!E82/('Data Sheet'!E59+'Data Sheet'!E60)</f>
        <v>3.1228313671061762E-2</v>
      </c>
      <c r="F111" s="37">
        <f>'Data Sheet'!F82/('Data Sheet'!F59+'Data Sheet'!F60)</f>
        <v>4.9117421335379899E-2</v>
      </c>
      <c r="G111" s="37">
        <f>'Data Sheet'!G82/('Data Sheet'!G59+'Data Sheet'!G60)</f>
        <v>0.12299915754001683</v>
      </c>
      <c r="H111" s="37">
        <f>'Data Sheet'!H82/('Data Sheet'!H59+'Data Sheet'!H60)</f>
        <v>0.1625531914893617</v>
      </c>
      <c r="I111" s="37">
        <f>'Data Sheet'!I82/('Data Sheet'!I59+'Data Sheet'!I60)</f>
        <v>0.26236263736263732</v>
      </c>
      <c r="J111" s="37">
        <f>'Data Sheet'!J82/('Data Sheet'!J59+'Data Sheet'!J60)</f>
        <v>-3.2402234636871509E-2</v>
      </c>
      <c r="K111" s="37">
        <f>'Data Sheet'!K82/('Data Sheet'!K59+'Data Sheet'!K60)</f>
        <v>0.63543599257884975</v>
      </c>
      <c r="L111" s="37">
        <f>'Data Sheet'!L82/('Data Sheet'!L59+'Data Sheet'!L60)</f>
        <v>1</v>
      </c>
      <c r="N111" s="32">
        <f t="shared" si="28"/>
        <v>0.26352705364518392</v>
      </c>
      <c r="O111" s="46">
        <f t="shared" si="23"/>
        <v>-3.2402234636871509E-2</v>
      </c>
      <c r="P111" s="46">
        <f t="shared" si="24"/>
        <v>1</v>
      </c>
      <c r="Q111" s="36">
        <f t="shared" si="25"/>
        <v>0.27680986260928336</v>
      </c>
    </row>
    <row r="112" spans="1:17" ht="23.25" x14ac:dyDescent="0.25">
      <c r="A112" s="58" t="s">
        <v>110</v>
      </c>
      <c r="B112" s="41" t="s">
        <v>186</v>
      </c>
      <c r="C112" s="37">
        <f>C86</f>
        <v>1.6351084812623271</v>
      </c>
      <c r="D112" s="37">
        <f t="shared" ref="D112:L112" si="29">D86</f>
        <v>1.894144144144144</v>
      </c>
      <c r="E112" s="37">
        <f t="shared" si="29"/>
        <v>1.3271604938271604</v>
      </c>
      <c r="F112" s="37">
        <f t="shared" si="29"/>
        <v>1.3538461538461539</v>
      </c>
      <c r="G112" s="37">
        <f t="shared" si="29"/>
        <v>1.4794520547945207</v>
      </c>
      <c r="H112" s="37">
        <f t="shared" si="29"/>
        <v>1.5626822157434404</v>
      </c>
      <c r="I112" s="37">
        <f t="shared" si="29"/>
        <v>1.7761506276150627</v>
      </c>
      <c r="J112" s="37">
        <f t="shared" si="29"/>
        <v>1.9666666666666668</v>
      </c>
      <c r="K112" s="37">
        <f t="shared" si="29"/>
        <v>2.2479627473806749</v>
      </c>
      <c r="L112" s="37">
        <f t="shared" si="29"/>
        <v>2.5</v>
      </c>
      <c r="N112" s="32">
        <f t="shared" si="28"/>
        <v>5.4506302348345192E-2</v>
      </c>
      <c r="O112" s="46">
        <f t="shared" si="23"/>
        <v>1.3271604938271604</v>
      </c>
      <c r="P112" s="46">
        <f t="shared" si="24"/>
        <v>2.5</v>
      </c>
      <c r="Q112" s="36">
        <f t="shared" si="25"/>
        <v>1.774317358528015</v>
      </c>
    </row>
    <row r="113" spans="1:17" ht="34.5" x14ac:dyDescent="0.25">
      <c r="A113" s="58" t="s">
        <v>111</v>
      </c>
      <c r="B113" s="41" t="s">
        <v>188</v>
      </c>
      <c r="C113" s="37">
        <f>('Data Sheet'!C65-'Data Sheet'!C68)/'Data Sheet'!C60</f>
        <v>1.0493096646942797</v>
      </c>
      <c r="D113" s="37">
        <f>('Data Sheet'!D65-'Data Sheet'!D68)/'Data Sheet'!D60</f>
        <v>1.3716216216216215</v>
      </c>
      <c r="E113" s="37">
        <f>('Data Sheet'!E65-'Data Sheet'!E68)/'Data Sheet'!E60</f>
        <v>1.0046296296296295</v>
      </c>
      <c r="F113" s="37">
        <f>('Data Sheet'!F65-'Data Sheet'!F68)/'Data Sheet'!F60</f>
        <v>1.0136752136752136</v>
      </c>
      <c r="G113" s="37">
        <f>('Data Sheet'!G65-'Data Sheet'!G68)/'Data Sheet'!G60</f>
        <v>0.97602739726027421</v>
      </c>
      <c r="H113" s="37">
        <f>('Data Sheet'!H65-'Data Sheet'!H68)/'Data Sheet'!H60</f>
        <v>0.98688046647230321</v>
      </c>
      <c r="I113" s="37">
        <f>('Data Sheet'!I65-'Data Sheet'!I68)/'Data Sheet'!I60</f>
        <v>1.1548117154811715</v>
      </c>
      <c r="J113" s="37">
        <f>('Data Sheet'!J65-'Data Sheet'!J68)/'Data Sheet'!J60</f>
        <v>1.1403508771929827</v>
      </c>
      <c r="K113" s="37">
        <f>('Data Sheet'!K65-'Data Sheet'!K68)/'Data Sheet'!K60</f>
        <v>1.8440046565774153</v>
      </c>
      <c r="L113" s="37">
        <f>('Data Sheet'!L65-'Data Sheet'!L68)/'Data Sheet'!L60</f>
        <v>2.2557142857142858</v>
      </c>
      <c r="N113" s="32">
        <f t="shared" si="28"/>
        <v>0.10039232376230367</v>
      </c>
      <c r="O113" s="46">
        <f t="shared" si="23"/>
        <v>0.97602739726027421</v>
      </c>
      <c r="P113" s="46">
        <f t="shared" si="24"/>
        <v>2.2557142857142858</v>
      </c>
      <c r="Q113" s="36">
        <f t="shared" si="25"/>
        <v>1.2797025528319177</v>
      </c>
    </row>
    <row r="114" spans="1:17" ht="34.5" x14ac:dyDescent="0.25">
      <c r="A114" s="58" t="s">
        <v>112</v>
      </c>
      <c r="B114" s="41" t="s">
        <v>189</v>
      </c>
      <c r="C114" s="37">
        <f>'Data Sheet'!C69/'Data Sheet'!C60</f>
        <v>1.5779092702169626E-2</v>
      </c>
      <c r="D114" s="37">
        <f>'Data Sheet'!D69/'Data Sheet'!D60</f>
        <v>0.37612612612612606</v>
      </c>
      <c r="E114" s="37">
        <f>'Data Sheet'!E69/'Data Sheet'!E60</f>
        <v>4.3209876543209881E-2</v>
      </c>
      <c r="F114" s="37">
        <f>'Data Sheet'!F69/'Data Sheet'!F60</f>
        <v>2.564102564102564E-2</v>
      </c>
      <c r="G114" s="37">
        <f>'Data Sheet'!G69/'Data Sheet'!G60</f>
        <v>3.0821917808219176E-2</v>
      </c>
      <c r="H114" s="37">
        <f>'Data Sheet'!H69/'Data Sheet'!H60</f>
        <v>3.4985422740524776E-2</v>
      </c>
      <c r="I114" s="37">
        <f>'Data Sheet'!I69/'Data Sheet'!I60</f>
        <v>8.1589958158995821E-2</v>
      </c>
      <c r="J114" s="37">
        <f>'Data Sheet'!J69/'Data Sheet'!J60</f>
        <v>4.3859649122807015E-2</v>
      </c>
      <c r="K114" s="37">
        <f>'Data Sheet'!K69/'Data Sheet'!K60</f>
        <v>0.37252619324796277</v>
      </c>
      <c r="L114" s="37">
        <f>'Data Sheet'!L69/'Data Sheet'!L60</f>
        <v>0.65642857142857136</v>
      </c>
      <c r="N114" s="32">
        <f t="shared" si="28"/>
        <v>0.59363251094254199</v>
      </c>
      <c r="O114" s="46">
        <f t="shared" si="23"/>
        <v>1.5779092702169626E-2</v>
      </c>
      <c r="P114" s="46">
        <f t="shared" si="24"/>
        <v>0.65642857142857136</v>
      </c>
      <c r="Q114" s="36">
        <f t="shared" si="25"/>
        <v>0.16809678335196121</v>
      </c>
    </row>
    <row r="115" spans="1:17" ht="23.25" x14ac:dyDescent="0.25">
      <c r="A115" s="58" t="s">
        <v>206</v>
      </c>
      <c r="B115" s="41" t="s">
        <v>208</v>
      </c>
      <c r="C115" s="37">
        <f>'Data Sheet'!C82/'Data Sheet'!C60</f>
        <v>0.27810650887573962</v>
      </c>
      <c r="D115" s="37">
        <f>'Data Sheet'!D82/'Data Sheet'!D60</f>
        <v>0.87612612612612606</v>
      </c>
      <c r="E115" s="37">
        <f>'Data Sheet'!E82/'Data Sheet'!E60</f>
        <v>6.9444444444444448E-2</v>
      </c>
      <c r="F115" s="37">
        <f>'Data Sheet'!F82/'Data Sheet'!F60</f>
        <v>0.10940170940170942</v>
      </c>
      <c r="G115" s="37">
        <f>'Data Sheet'!G82/'Data Sheet'!G60</f>
        <v>0.25</v>
      </c>
      <c r="H115" s="37">
        <f>'Data Sheet'!H82/'Data Sheet'!H60</f>
        <v>0.27842565597667635</v>
      </c>
      <c r="I115" s="37">
        <f>'Data Sheet'!I82/'Data Sheet'!I60</f>
        <v>0.39958158995815896</v>
      </c>
      <c r="J115" s="37">
        <f>'Data Sheet'!J82/'Data Sheet'!J60</f>
        <v>-5.0877192982456132E-2</v>
      </c>
      <c r="K115" s="37">
        <f>'Data Sheet'!K82/'Data Sheet'!K60</f>
        <v>0.79743888242142025</v>
      </c>
      <c r="L115" s="37">
        <f>'Data Sheet'!L82/'Data Sheet'!L60</f>
        <v>1</v>
      </c>
      <c r="N115" s="32">
        <f t="shared" si="28"/>
        <v>0.17347436264094451</v>
      </c>
      <c r="O115" s="46">
        <f t="shared" si="23"/>
        <v>-5.0877192982456132E-2</v>
      </c>
      <c r="P115" s="46">
        <f t="shared" si="24"/>
        <v>1</v>
      </c>
      <c r="Q115" s="36">
        <f t="shared" si="25"/>
        <v>0.40076477242218189</v>
      </c>
    </row>
    <row r="116" spans="1:17" ht="23.25" x14ac:dyDescent="0.25">
      <c r="A116" s="58" t="s">
        <v>207</v>
      </c>
      <c r="B116" s="41" t="s">
        <v>209</v>
      </c>
      <c r="C116" s="46" t="e">
        <f>'Data Sheet'!C82/'Financial Analysis'!C45</f>
        <v>#DIV/0!</v>
      </c>
      <c r="D116" s="46">
        <f>'Data Sheet'!D82/'Financial Analysis'!D45</f>
        <v>0.65378151260504214</v>
      </c>
      <c r="E116" s="46">
        <f>'Data Sheet'!E82/'Financial Analysis'!E45</f>
        <v>0.13719512195121955</v>
      </c>
      <c r="F116" s="46">
        <f>'Data Sheet'!F82/'Financial Analysis'!F45</f>
        <v>10.666666666666382</v>
      </c>
      <c r="G116" s="46">
        <f>'Data Sheet'!G82/'Financial Analysis'!G45</f>
        <v>8.1111111111110841</v>
      </c>
      <c r="H116" s="46">
        <f>'Data Sheet'!H82/'Financial Analysis'!H45</f>
        <v>5.1621621621621632</v>
      </c>
      <c r="I116" s="46">
        <f>'Data Sheet'!I82/'Financial Analysis'!I45</f>
        <v>1.0790960451977414</v>
      </c>
      <c r="J116" s="46">
        <f>'Data Sheet'!J82/'Financial Analysis'!J45</f>
        <v>-0.49152542372881197</v>
      </c>
      <c r="K116" s="46">
        <f>'Data Sheet'!K82/'Financial Analysis'!K45</f>
        <v>5.9051724137931112</v>
      </c>
      <c r="L116" s="46">
        <f>'Data Sheet'!L82/'Financial Analysis'!L45</f>
        <v>7.486631016042776</v>
      </c>
      <c r="N116" s="32">
        <f>(L116/D116)^(1/(8-1))-1</f>
        <v>0.41665737757299492</v>
      </c>
      <c r="O116" s="32" t="e">
        <f t="shared" si="23"/>
        <v>#DIV/0!</v>
      </c>
      <c r="P116" s="32" t="e">
        <f t="shared" si="24"/>
        <v>#DIV/0!</v>
      </c>
      <c r="Q116" s="34" t="e">
        <f t="shared" si="25"/>
        <v>#DIV/0!</v>
      </c>
    </row>
    <row r="117" spans="1:17" ht="23.25" x14ac:dyDescent="0.25">
      <c r="A117" s="58" t="s">
        <v>117</v>
      </c>
      <c r="B117" s="41" t="s">
        <v>202</v>
      </c>
      <c r="C117" s="32">
        <f>'Data Sheet'!C82/'Data Sheet'!C17</f>
        <v>7.511987213638785E-2</v>
      </c>
      <c r="D117" s="32">
        <f>'Data Sheet'!D82/'Data Sheet'!D17</f>
        <v>0.15955701394585728</v>
      </c>
      <c r="E117" s="32">
        <f>'Data Sheet'!E82/'Data Sheet'!E17</f>
        <v>3.6407766990291267E-2</v>
      </c>
      <c r="F117" s="32">
        <f>'Data Sheet'!F82/'Data Sheet'!F17</f>
        <v>7.5294117647058831E-2</v>
      </c>
      <c r="G117" s="32">
        <f>'Data Sheet'!G82/'Data Sheet'!G17</f>
        <v>7.6399790685504967E-2</v>
      </c>
      <c r="H117" s="32">
        <f>'Data Sheet'!H82/'Data Sheet'!H17</f>
        <v>7.3518090839107E-2</v>
      </c>
      <c r="I117" s="32">
        <f>'Data Sheet'!I82/'Data Sheet'!I17</f>
        <v>6.7253521126760557E-2</v>
      </c>
      <c r="J117" s="32">
        <f>'Data Sheet'!J82/'Data Sheet'!J17</f>
        <v>-1.4848950332821298E-2</v>
      </c>
      <c r="K117" s="32">
        <f>'Data Sheet'!K82/'Data Sheet'!K17</f>
        <v>0.15414041404140413</v>
      </c>
      <c r="L117" s="32">
        <f>'Data Sheet'!L82/'Data Sheet'!L17</f>
        <v>0.22898266274124959</v>
      </c>
      <c r="N117" s="32">
        <f t="shared" si="28"/>
        <v>0.14949204514154246</v>
      </c>
      <c r="O117" s="32">
        <f t="shared" si="23"/>
        <v>-1.4848950332821298E-2</v>
      </c>
      <c r="P117" s="32">
        <f t="shared" si="24"/>
        <v>0.22898266274124959</v>
      </c>
      <c r="Q117" s="34">
        <f t="shared" si="25"/>
        <v>9.3182429982080012E-2</v>
      </c>
    </row>
    <row r="118" spans="1:17" x14ac:dyDescent="0.25">
      <c r="A118" s="58" t="s">
        <v>118</v>
      </c>
      <c r="B118" s="41" t="s">
        <v>203</v>
      </c>
      <c r="C118" s="32">
        <f>'Data Sheet'!C85/'Data Sheet'!C17</f>
        <v>-3.0900372935535426E-2</v>
      </c>
      <c r="D118" s="32">
        <f>'Data Sheet'!D85/'Data Sheet'!D17</f>
        <v>6.6858080393765382E-2</v>
      </c>
      <c r="E118" s="32">
        <f>'Data Sheet'!E85/'Data Sheet'!E17</f>
        <v>-0.11245954692556634</v>
      </c>
      <c r="F118" s="32">
        <f>'Data Sheet'!F85/'Data Sheet'!F17</f>
        <v>-1.5294117647058824E-2</v>
      </c>
      <c r="G118" s="32">
        <f>'Data Sheet'!G85/'Data Sheet'!G17</f>
        <v>1.0465724751439038E-3</v>
      </c>
      <c r="H118" s="32">
        <f>'Data Sheet'!H85/'Data Sheet'!H17</f>
        <v>2.6943802925327178E-3</v>
      </c>
      <c r="I118" s="32">
        <f>'Data Sheet'!I85/'Data Sheet'!I17</f>
        <v>2.4647887323943664E-3</v>
      </c>
      <c r="J118" s="32">
        <f>'Data Sheet'!J85/'Data Sheet'!J17</f>
        <v>1.4848950332821298E-2</v>
      </c>
      <c r="K118" s="32">
        <f>'Data Sheet'!K85/'Data Sheet'!K17</f>
        <v>6.6381638163816384E-2</v>
      </c>
      <c r="L118" s="32">
        <f>'Data Sheet'!L85/'Data Sheet'!L17</f>
        <v>0.14720314033366044</v>
      </c>
      <c r="N118" s="32" t="e">
        <f t="shared" si="28"/>
        <v>#NUM!</v>
      </c>
      <c r="O118" s="32">
        <f t="shared" si="23"/>
        <v>-0.11245954692556634</v>
      </c>
      <c r="P118" s="32">
        <f t="shared" si="24"/>
        <v>0.14720314033366044</v>
      </c>
      <c r="Q118" s="34">
        <f t="shared" si="25"/>
        <v>1.4284351321597392E-2</v>
      </c>
    </row>
    <row r="119" spans="1:17" x14ac:dyDescent="0.25">
      <c r="O119" s="32">
        <f t="shared" si="23"/>
        <v>0</v>
      </c>
      <c r="P119" s="32">
        <f t="shared" si="24"/>
        <v>0</v>
      </c>
      <c r="Q119" s="34" t="e">
        <f t="shared" si="25"/>
        <v>#DIV/0!</v>
      </c>
    </row>
    <row r="120" spans="1:17" ht="18.75" x14ac:dyDescent="0.25">
      <c r="A120" s="56" t="s">
        <v>242</v>
      </c>
      <c r="O120" s="32">
        <f t="shared" si="23"/>
        <v>0</v>
      </c>
      <c r="P120" s="32">
        <f t="shared" si="24"/>
        <v>0</v>
      </c>
      <c r="Q120" s="34" t="e">
        <f t="shared" si="25"/>
        <v>#DIV/0!</v>
      </c>
    </row>
    <row r="121" spans="1:17" ht="68.25" x14ac:dyDescent="0.25">
      <c r="A121" s="58" t="s">
        <v>124</v>
      </c>
      <c r="B121" s="41" t="s">
        <v>210</v>
      </c>
      <c r="C121" s="40"/>
      <c r="D121" s="40"/>
      <c r="E121" s="40"/>
      <c r="F121" s="40"/>
      <c r="G121" s="40"/>
      <c r="H121" s="40"/>
      <c r="I121" s="40"/>
      <c r="J121" s="40"/>
      <c r="K121" s="40"/>
      <c r="O121" s="32"/>
      <c r="P121" s="32"/>
      <c r="Q121" s="34"/>
    </row>
    <row r="122" spans="1:17" x14ac:dyDescent="0.25">
      <c r="A122" s="60" t="s">
        <v>125</v>
      </c>
      <c r="B122" s="43"/>
      <c r="C122" s="40"/>
      <c r="D122" s="40"/>
      <c r="E122" s="40"/>
      <c r="F122" s="40"/>
      <c r="G122" s="40"/>
      <c r="H122" s="40"/>
      <c r="I122" s="40"/>
      <c r="J122" s="40"/>
      <c r="K122" s="40"/>
      <c r="O122" s="32"/>
      <c r="P122" s="32"/>
      <c r="Q122" s="34"/>
    </row>
    <row r="123" spans="1:17" x14ac:dyDescent="0.25">
      <c r="A123" s="58" t="s">
        <v>119</v>
      </c>
      <c r="B123" s="41" t="s">
        <v>161</v>
      </c>
      <c r="C123" s="37">
        <f>Other_input_data!C69</f>
        <v>4.9203263468634697</v>
      </c>
      <c r="D123" s="37">
        <f>Other_input_data!D69</f>
        <v>4.4707700917431197</v>
      </c>
      <c r="E123" s="37">
        <f>Other_input_data!E69</f>
        <v>-2.9638023529411761</v>
      </c>
      <c r="F123" s="37">
        <f>Other_input_data!F69</f>
        <v>-3.5605360824742274</v>
      </c>
      <c r="G123" s="37">
        <f>Other_input_data!G69</f>
        <v>15.530019230769231</v>
      </c>
      <c r="H123" s="37">
        <f>Other_input_data!H69</f>
        <v>15.25622033898305</v>
      </c>
      <c r="I123" s="37">
        <f>Other_input_data!I69</f>
        <v>12.782249999999999</v>
      </c>
      <c r="J123" s="37">
        <f>Other_input_data!J69</f>
        <v>2224.5560999999993</v>
      </c>
      <c r="K123" s="37">
        <f>Other_input_data!K69</f>
        <v>39.356614785992214</v>
      </c>
      <c r="L123" s="37">
        <f>Other_input_data!L69</f>
        <v>18.097313432835822</v>
      </c>
      <c r="O123" s="47">
        <f>MIN(D123:L123)</f>
        <v>-3.5605360824742274</v>
      </c>
      <c r="P123" s="47">
        <f>MAX(D123:L123)</f>
        <v>2224.5560999999993</v>
      </c>
      <c r="Q123" s="37">
        <f>AVERAGE(D123:L123)</f>
        <v>258.16943882721193</v>
      </c>
    </row>
    <row r="124" spans="1:17" ht="23.25" x14ac:dyDescent="0.25">
      <c r="A124" s="60" t="s">
        <v>120</v>
      </c>
      <c r="B124" s="43" t="s">
        <v>211</v>
      </c>
      <c r="O124" s="47"/>
      <c r="P124" s="47"/>
      <c r="Q124" s="37"/>
    </row>
    <row r="125" spans="1:17" x14ac:dyDescent="0.25">
      <c r="A125" s="60" t="s">
        <v>121</v>
      </c>
      <c r="B125" s="43" t="s">
        <v>212</v>
      </c>
      <c r="O125" s="47"/>
      <c r="P125" s="47"/>
      <c r="Q125" s="37"/>
    </row>
    <row r="126" spans="1:17" x14ac:dyDescent="0.25">
      <c r="A126" s="58" t="s">
        <v>122</v>
      </c>
      <c r="B126" s="41" t="s">
        <v>162</v>
      </c>
      <c r="D126" s="36">
        <f t="shared" ref="D126:K126" si="30">(D123/D8)/100</f>
        <v>-7.2078301422010146E-2</v>
      </c>
      <c r="E126" s="36">
        <f t="shared" si="30"/>
        <v>8.4791195924038901E-3</v>
      </c>
      <c r="F126" s="36">
        <f t="shared" si="30"/>
        <v>0.10575476846327886</v>
      </c>
      <c r="G126" s="36">
        <f t="shared" si="30"/>
        <v>-0.13054255864189768</v>
      </c>
      <c r="H126" s="36">
        <f t="shared" si="30"/>
        <v>0.38334124561293043</v>
      </c>
      <c r="I126" s="36">
        <f t="shared" si="30"/>
        <v>0.46757260165946135</v>
      </c>
      <c r="J126" s="36">
        <f t="shared" si="30"/>
        <v>-23.618743777777773</v>
      </c>
      <c r="K126" s="36">
        <f t="shared" si="30"/>
        <v>2.5689696335504057E-3</v>
      </c>
      <c r="L126" s="36">
        <f t="shared" ref="L126" si="31">(L123/L8)/100</f>
        <v>0.15447522716694229</v>
      </c>
      <c r="O126" s="47">
        <f t="shared" si="23"/>
        <v>-23.618743777777773</v>
      </c>
      <c r="P126" s="47">
        <f t="shared" si="24"/>
        <v>0.46757260165946135</v>
      </c>
      <c r="Q126" s="37">
        <f t="shared" si="25"/>
        <v>-2.5221303006347906</v>
      </c>
    </row>
    <row r="127" spans="1:17" ht="45.75" x14ac:dyDescent="0.25">
      <c r="A127" s="58" t="s">
        <v>123</v>
      </c>
      <c r="B127" s="41" t="s">
        <v>163</v>
      </c>
      <c r="C127" s="36">
        <f>C42/'Data Sheet'!C17</f>
        <v>1.8737913265849759</v>
      </c>
      <c r="D127" s="36">
        <f>D42/'Data Sheet'!D17</f>
        <v>0.57930452830188683</v>
      </c>
      <c r="E127" s="36">
        <f>E42/'Data Sheet'!E17</f>
        <v>0.39426694174757287</v>
      </c>
      <c r="F127" s="36">
        <f>F42/'Data Sheet'!F17</f>
        <v>1.0197835294117648</v>
      </c>
      <c r="G127" s="36">
        <f>G42/'Data Sheet'!G17</f>
        <v>0.38314423861852437</v>
      </c>
      <c r="H127" s="36">
        <f>H42/'Data Sheet'!H17</f>
        <v>0.25228060046189377</v>
      </c>
      <c r="I127" s="36">
        <f>I42/'Data Sheet'!I17</f>
        <v>0.36280299295774648</v>
      </c>
      <c r="J127" s="36">
        <f>J42/'Data Sheet'!J17</f>
        <v>0.56286405529953909</v>
      </c>
      <c r="K127" s="36">
        <f>K42/'Data Sheet'!K17</f>
        <v>2.5028759000900092</v>
      </c>
      <c r="L127" s="36">
        <f>L42/'Data Sheet'!L17</f>
        <v>4.9630274779195291</v>
      </c>
      <c r="O127" s="47">
        <f t="shared" si="23"/>
        <v>0.25228060046189377</v>
      </c>
      <c r="P127" s="47">
        <f t="shared" si="24"/>
        <v>4.9630274779195291</v>
      </c>
      <c r="Q127" s="37">
        <f t="shared" si="25"/>
        <v>1.2894141591393442</v>
      </c>
    </row>
    <row r="128" spans="1:17" ht="45.75" x14ac:dyDescent="0.25">
      <c r="A128" s="60" t="s">
        <v>139</v>
      </c>
      <c r="B128" s="41" t="s">
        <v>164</v>
      </c>
      <c r="C128" s="37">
        <f>'Data Sheet'!C69/'Financial Analysis'!C41</f>
        <v>0.1076339369803299</v>
      </c>
      <c r="D128" s="37">
        <f>'Data Sheet'!D69/'Financial Analysis'!D41</f>
        <v>2.1212814063968701</v>
      </c>
      <c r="E128" s="37">
        <f>'Data Sheet'!E69/'Financial Analysis'!E41</f>
        <v>0.35566394837791843</v>
      </c>
      <c r="F128" s="37">
        <f>'Data Sheet'!F69/'Financial Analysis'!F41</f>
        <v>0.17720023626698167</v>
      </c>
      <c r="G128" s="37">
        <f>'Data Sheet'!G69/'Financial Analysis'!G41</f>
        <v>0.20060404105696039</v>
      </c>
      <c r="H128" s="37">
        <f>'Data Sheet'!H69/'Financial Analysis'!H41</f>
        <v>0.24716786817713696</v>
      </c>
      <c r="I128" s="37">
        <f>'Data Sheet'!I69/'Financial Analysis'!I41</f>
        <v>0.35087719298245618</v>
      </c>
      <c r="J128" s="37">
        <f>'Data Sheet'!J69/'Financial Analysis'!J41</f>
        <v>0.22492127755285651</v>
      </c>
      <c r="K128" s="37">
        <f>'Data Sheet'!K69/'Financial Analysis'!K41</f>
        <v>2.8789923526765637</v>
      </c>
      <c r="L128" s="37">
        <f>'Data Sheet'!L69/'Financial Analysis'!L41</f>
        <v>8.2681061628430044</v>
      </c>
      <c r="N128" s="32"/>
      <c r="O128" s="46">
        <f t="shared" si="23"/>
        <v>0.1076339369803299</v>
      </c>
      <c r="P128" s="46">
        <f t="shared" si="24"/>
        <v>8.2681061628430044</v>
      </c>
      <c r="Q128" s="36">
        <f t="shared" si="25"/>
        <v>1.4932448423311078</v>
      </c>
    </row>
    <row r="129" spans="1:17" ht="23.25" x14ac:dyDescent="0.25">
      <c r="A129" s="60" t="s">
        <v>260</v>
      </c>
      <c r="B129" s="41" t="s">
        <v>261</v>
      </c>
      <c r="C129" s="32">
        <f>C128/C40</f>
        <v>2.274597146668003E-3</v>
      </c>
      <c r="D129" s="32">
        <f t="shared" ref="D129:L129" si="32">D128/D40</f>
        <v>0.11824311072446321</v>
      </c>
      <c r="E129" s="32">
        <f t="shared" si="32"/>
        <v>5.7457826878500547E-2</v>
      </c>
      <c r="F129" s="32">
        <f t="shared" si="32"/>
        <v>1.730471057294743E-2</v>
      </c>
      <c r="G129" s="32">
        <f t="shared" si="32"/>
        <v>2.4583828560902007E-2</v>
      </c>
      <c r="H129" s="32">
        <f t="shared" si="32"/>
        <v>3.6617461952168438E-2</v>
      </c>
      <c r="I129" s="32">
        <f t="shared" si="32"/>
        <v>3.785082987944511E-2</v>
      </c>
      <c r="J129" s="32">
        <f t="shared" si="32"/>
        <v>2.2742292978044136E-2</v>
      </c>
      <c r="K129" s="32">
        <f t="shared" si="32"/>
        <v>2.8769784677491396E-2</v>
      </c>
      <c r="L129" s="32">
        <f t="shared" si="32"/>
        <v>3.0286103160597086E-2</v>
      </c>
      <c r="O129" s="32">
        <f t="shared" si="23"/>
        <v>2.274597146668003E-3</v>
      </c>
      <c r="P129" s="32">
        <f t="shared" si="24"/>
        <v>0.11824311072446321</v>
      </c>
      <c r="Q129" s="34">
        <f t="shared" si="25"/>
        <v>3.7613054653122743E-2</v>
      </c>
    </row>
    <row r="130" spans="1:17" x14ac:dyDescent="0.25">
      <c r="A130" s="60"/>
      <c r="B130" s="41"/>
    </row>
    <row r="131" spans="1:17" ht="18.75" x14ac:dyDescent="0.25">
      <c r="A131" s="56" t="s">
        <v>244</v>
      </c>
    </row>
    <row r="132" spans="1:17" ht="34.5" x14ac:dyDescent="0.25">
      <c r="A132" s="60" t="s">
        <v>128</v>
      </c>
      <c r="B132" s="43" t="s">
        <v>213</v>
      </c>
    </row>
    <row r="133" spans="1:17" x14ac:dyDescent="0.25">
      <c r="A133" s="60" t="s">
        <v>129</v>
      </c>
      <c r="B133" s="43" t="s">
        <v>214</v>
      </c>
    </row>
    <row r="134" spans="1:17" x14ac:dyDescent="0.25">
      <c r="A134" s="60" t="s">
        <v>130</v>
      </c>
      <c r="B134" s="43" t="s">
        <v>214</v>
      </c>
    </row>
    <row r="135" spans="1:17" x14ac:dyDescent="0.25">
      <c r="A135" s="60" t="s">
        <v>131</v>
      </c>
      <c r="B135" s="43" t="s">
        <v>214</v>
      </c>
    </row>
    <row r="136" spans="1:17" x14ac:dyDescent="0.25">
      <c r="A136" s="58"/>
      <c r="B136" s="41"/>
    </row>
    <row r="137" spans="1:17" ht="18.75" x14ac:dyDescent="0.25">
      <c r="A137" s="56" t="s">
        <v>243</v>
      </c>
      <c r="B137" s="41"/>
    </row>
    <row r="138" spans="1:17" x14ac:dyDescent="0.25">
      <c r="A138" s="60" t="s">
        <v>132</v>
      </c>
      <c r="B138" s="43" t="s">
        <v>197</v>
      </c>
    </row>
    <row r="139" spans="1:17" x14ac:dyDescent="0.25">
      <c r="A139" s="60" t="s">
        <v>133</v>
      </c>
      <c r="B139" s="43" t="s">
        <v>198</v>
      </c>
    </row>
    <row r="140" spans="1:17" x14ac:dyDescent="0.25">
      <c r="A140" s="60" t="s">
        <v>134</v>
      </c>
      <c r="B140" s="43" t="s">
        <v>199</v>
      </c>
    </row>
    <row r="141" spans="1:17" x14ac:dyDescent="0.25">
      <c r="A141" s="60" t="s">
        <v>135</v>
      </c>
      <c r="B141" s="43" t="s">
        <v>214</v>
      </c>
    </row>
    <row r="142" spans="1:17" x14ac:dyDescent="0.25">
      <c r="A142" s="60" t="s">
        <v>136</v>
      </c>
      <c r="B142" s="43" t="s">
        <v>214</v>
      </c>
    </row>
    <row r="143" spans="1:17" x14ac:dyDescent="0.25">
      <c r="A143" s="60" t="s">
        <v>137</v>
      </c>
      <c r="B143" s="43" t="s">
        <v>214</v>
      </c>
    </row>
    <row r="144" spans="1:17" x14ac:dyDescent="0.25">
      <c r="A144" s="60" t="s">
        <v>138</v>
      </c>
      <c r="B144" s="43" t="s">
        <v>214</v>
      </c>
    </row>
    <row r="145" spans="1:1" x14ac:dyDescent="0.25">
      <c r="A145" s="61" t="s">
        <v>274</v>
      </c>
    </row>
    <row r="147" spans="1:1" ht="18.75" x14ac:dyDescent="0.25">
      <c r="A147" s="56"/>
    </row>
  </sheetData>
  <conditionalFormatting sqref="C3:L8">
    <cfRule type="expression" dxfId="42" priority="9" stopIfTrue="1">
      <formula>C3&lt;0</formula>
    </cfRule>
    <cfRule type="expression" dxfId="41" priority="10" stopIfTrue="1">
      <formula>0&lt;C3&lt;0.05</formula>
    </cfRule>
    <cfRule type="expression" dxfId="40" priority="11" stopIfTrue="1">
      <formula>0.05&lt;C3&lt;0.1</formula>
    </cfRule>
    <cfRule type="expression" dxfId="39" priority="12" stopIfTrue="1">
      <formula>C3&gt;0.1</formula>
    </cfRule>
  </conditionalFormatting>
  <conditionalFormatting sqref="N3:P8">
    <cfRule type="expression" dxfId="38" priority="1" stopIfTrue="1">
      <formula>N3&lt;0</formula>
    </cfRule>
    <cfRule type="expression" dxfId="37" priority="2" stopIfTrue="1">
      <formula>0&lt;N3&lt;0.05</formula>
    </cfRule>
    <cfRule type="expression" dxfId="36" priority="3" stopIfTrue="1">
      <formula>0.05&lt;N3&lt;0.1</formula>
    </cfRule>
    <cfRule type="expression" dxfId="35" priority="4" stopIfTrue="1">
      <formula>N3&gt;0.1</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sqref="A1:E29"/>
    </sheetView>
  </sheetViews>
  <sheetFormatPr defaultRowHeight="15" x14ac:dyDescent="0.25"/>
  <cols>
    <col min="2" max="2" width="75" customWidth="1"/>
  </cols>
  <sheetData>
    <row r="1" spans="1:5" x14ac:dyDescent="0.25">
      <c r="A1" t="s">
        <v>769</v>
      </c>
      <c r="B1" t="s">
        <v>770</v>
      </c>
      <c r="C1" t="s">
        <v>771</v>
      </c>
      <c r="D1" t="s">
        <v>498</v>
      </c>
      <c r="E1" t="s">
        <v>772</v>
      </c>
    </row>
    <row r="2" spans="1:5" x14ac:dyDescent="0.25">
      <c r="A2">
        <v>1</v>
      </c>
      <c r="B2" t="s">
        <v>773</v>
      </c>
    </row>
    <row r="3" spans="1:5" x14ac:dyDescent="0.25">
      <c r="A3">
        <v>2</v>
      </c>
      <c r="B3" t="s">
        <v>774</v>
      </c>
    </row>
    <row r="4" spans="1:5" x14ac:dyDescent="0.25">
      <c r="A4">
        <v>3</v>
      </c>
      <c r="B4" t="s">
        <v>775</v>
      </c>
    </row>
    <row r="5" spans="1:5" x14ac:dyDescent="0.25">
      <c r="A5">
        <v>4</v>
      </c>
      <c r="B5" t="s">
        <v>776</v>
      </c>
    </row>
    <row r="6" spans="1:5" x14ac:dyDescent="0.25">
      <c r="A6">
        <v>5</v>
      </c>
      <c r="B6" t="s">
        <v>777</v>
      </c>
    </row>
    <row r="7" spans="1:5" x14ac:dyDescent="0.25">
      <c r="A7">
        <v>6</v>
      </c>
      <c r="B7" t="s">
        <v>778</v>
      </c>
    </row>
    <row r="8" spans="1:5" x14ac:dyDescent="0.25">
      <c r="A8">
        <v>7</v>
      </c>
      <c r="B8" t="s">
        <v>779</v>
      </c>
    </row>
    <row r="9" spans="1:5" x14ac:dyDescent="0.25">
      <c r="A9">
        <v>8</v>
      </c>
      <c r="B9" t="s">
        <v>780</v>
      </c>
    </row>
    <row r="10" spans="1:5" x14ac:dyDescent="0.25">
      <c r="A10">
        <v>9</v>
      </c>
      <c r="B10" t="s">
        <v>781</v>
      </c>
    </row>
    <row r="11" spans="1:5" x14ac:dyDescent="0.25">
      <c r="A11">
        <v>10</v>
      </c>
      <c r="B11" t="s">
        <v>782</v>
      </c>
    </row>
    <row r="12" spans="1:5" x14ac:dyDescent="0.25">
      <c r="A12">
        <v>11</v>
      </c>
      <c r="B12" t="s">
        <v>783</v>
      </c>
    </row>
    <row r="13" spans="1:5" x14ac:dyDescent="0.25">
      <c r="A13">
        <v>12</v>
      </c>
      <c r="B13" t="s">
        <v>784</v>
      </c>
    </row>
    <row r="14" spans="1:5" x14ac:dyDescent="0.25">
      <c r="A14">
        <v>13</v>
      </c>
      <c r="B14" t="s">
        <v>785</v>
      </c>
    </row>
    <row r="15" spans="1:5" x14ac:dyDescent="0.25">
      <c r="A15">
        <v>14</v>
      </c>
      <c r="B15" t="s">
        <v>786</v>
      </c>
    </row>
    <row r="16" spans="1:5" x14ac:dyDescent="0.25">
      <c r="A16">
        <v>15</v>
      </c>
      <c r="B16" t="s">
        <v>787</v>
      </c>
    </row>
    <row r="17" spans="1:2" x14ac:dyDescent="0.25">
      <c r="A17">
        <v>16</v>
      </c>
      <c r="B17" t="s">
        <v>788</v>
      </c>
    </row>
    <row r="18" spans="1:2" x14ac:dyDescent="0.25">
      <c r="A18">
        <v>17</v>
      </c>
      <c r="B18" t="s">
        <v>789</v>
      </c>
    </row>
    <row r="19" spans="1:2" x14ac:dyDescent="0.25">
      <c r="A19">
        <v>18</v>
      </c>
      <c r="B19" t="s">
        <v>790</v>
      </c>
    </row>
    <row r="20" spans="1:2" x14ac:dyDescent="0.25">
      <c r="A20">
        <v>19</v>
      </c>
      <c r="B20" t="s">
        <v>791</v>
      </c>
    </row>
    <row r="21" spans="1:2" x14ac:dyDescent="0.25">
      <c r="A21">
        <v>20</v>
      </c>
      <c r="B21" t="s">
        <v>792</v>
      </c>
    </row>
    <row r="22" spans="1:2" x14ac:dyDescent="0.25">
      <c r="A22">
        <v>21</v>
      </c>
      <c r="B22" t="s">
        <v>793</v>
      </c>
    </row>
    <row r="23" spans="1:2" x14ac:dyDescent="0.25">
      <c r="A23">
        <v>22</v>
      </c>
      <c r="B23" t="s">
        <v>794</v>
      </c>
    </row>
    <row r="24" spans="1:2" x14ac:dyDescent="0.25">
      <c r="A24">
        <v>23</v>
      </c>
      <c r="B24" t="s">
        <v>795</v>
      </c>
    </row>
    <row r="25" spans="1:2" x14ac:dyDescent="0.25">
      <c r="A25">
        <v>24</v>
      </c>
      <c r="B25" t="s">
        <v>796</v>
      </c>
    </row>
    <row r="26" spans="1:2" x14ac:dyDescent="0.25">
      <c r="A26">
        <v>25</v>
      </c>
      <c r="B26" t="s">
        <v>797</v>
      </c>
    </row>
    <row r="27" spans="1:2" x14ac:dyDescent="0.25">
      <c r="A27">
        <v>26</v>
      </c>
      <c r="B27" t="s">
        <v>798</v>
      </c>
    </row>
    <row r="28" spans="1:2" x14ac:dyDescent="0.25">
      <c r="A28">
        <v>27</v>
      </c>
      <c r="B28" t="s">
        <v>799</v>
      </c>
    </row>
    <row r="29" spans="1:2" x14ac:dyDescent="0.25">
      <c r="A29">
        <v>28</v>
      </c>
      <c r="B29" t="s">
        <v>800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13" sqref="L13"/>
    </sheetView>
  </sheetViews>
  <sheetFormatPr defaultRowHeight="15" x14ac:dyDescent="0.25"/>
  <cols>
    <col min="1" max="1" width="20.7109375" style="6" customWidth="1"/>
    <col min="2" max="6" width="13.5703125" style="6" customWidth="1"/>
    <col min="7" max="7" width="14.85546875" style="6" bestFit="1" customWidth="1"/>
    <col min="8" max="11" width="13.5703125" style="6" customWidth="1"/>
    <col min="12" max="12" width="13.28515625" style="6" customWidth="1"/>
    <col min="13" max="13" width="12.140625" style="6" customWidth="1"/>
    <col min="14" max="14" width="9.42578125" style="6" bestFit="1" customWidth="1"/>
    <col min="15" max="16384" width="9.140625" style="6"/>
  </cols>
  <sheetData>
    <row r="1" spans="1:15" s="8" customFormat="1" x14ac:dyDescent="0.25">
      <c r="A1" s="8" t="str">
        <f>'Data Sheet'!B1</f>
        <v>CUPID LTD</v>
      </c>
      <c r="H1" t="str">
        <f>UPDATE</f>
        <v/>
      </c>
      <c r="J1" s="3"/>
      <c r="K1" s="3"/>
      <c r="M1" s="8" t="s">
        <v>1</v>
      </c>
    </row>
    <row r="3" spans="1:15" s="2" customFormat="1" x14ac:dyDescent="0.25">
      <c r="A3" s="15" t="s">
        <v>2</v>
      </c>
      <c r="B3" s="16">
        <f>'Data Sheet'!B16</f>
        <v>38807</v>
      </c>
      <c r="C3" s="16">
        <f>'Data Sheet'!C16</f>
        <v>39172</v>
      </c>
      <c r="D3" s="16">
        <f>'Data Sheet'!D16</f>
        <v>39538</v>
      </c>
      <c r="E3" s="16">
        <f>'Data Sheet'!E16</f>
        <v>39903</v>
      </c>
      <c r="F3" s="16">
        <f>'Data Sheet'!F16</f>
        <v>40268</v>
      </c>
      <c r="G3" s="16">
        <f>'Data Sheet'!G16</f>
        <v>40633</v>
      </c>
      <c r="H3" s="16">
        <f>'Data Sheet'!H16</f>
        <v>40999</v>
      </c>
      <c r="I3" s="16">
        <f>'Data Sheet'!I16</f>
        <v>41364</v>
      </c>
      <c r="J3" s="16">
        <f>'Data Sheet'!J16</f>
        <v>41729</v>
      </c>
      <c r="K3" s="16">
        <f>'Data Sheet'!K16</f>
        <v>42094</v>
      </c>
      <c r="L3" s="16">
        <f>'Data Sheet'!L16</f>
        <v>42430</v>
      </c>
      <c r="M3" s="17"/>
      <c r="N3" s="17"/>
      <c r="O3" s="17"/>
    </row>
    <row r="4" spans="1:15" s="8" customFormat="1" x14ac:dyDescent="0.25">
      <c r="A4" s="8" t="s">
        <v>3</v>
      </c>
      <c r="B4" s="1">
        <f>'Data Sheet'!B17</f>
        <v>12.85</v>
      </c>
      <c r="C4" s="1">
        <f>'Data Sheet'!C17</f>
        <v>18.77</v>
      </c>
      <c r="D4" s="1">
        <f>'Data Sheet'!D17</f>
        <v>24.38</v>
      </c>
      <c r="E4" s="1">
        <f>'Data Sheet'!E17</f>
        <v>12.36</v>
      </c>
      <c r="F4" s="1">
        <f>'Data Sheet'!F17</f>
        <v>8.5</v>
      </c>
      <c r="G4" s="1">
        <f>'Data Sheet'!G17</f>
        <v>19.11</v>
      </c>
      <c r="H4" s="1">
        <f>'Data Sheet'!H17</f>
        <v>25.98</v>
      </c>
      <c r="I4" s="1">
        <f>'Data Sheet'!I17</f>
        <v>28.4</v>
      </c>
      <c r="J4" s="1">
        <f>'Data Sheet'!J17</f>
        <v>19.53</v>
      </c>
      <c r="K4" s="1">
        <f>'Data Sheet'!K17</f>
        <v>44.44</v>
      </c>
      <c r="L4" s="1">
        <f>SUM(Quarters!H4:K4)</f>
        <v>65.849999999999994</v>
      </c>
      <c r="M4" s="1"/>
      <c r="N4" s="1"/>
    </row>
    <row r="5" spans="1:15" x14ac:dyDescent="0.25">
      <c r="A5" s="6" t="s">
        <v>4</v>
      </c>
      <c r="B5" s="9">
        <f>SUM('Data Sheet'!B18,'Data Sheet'!B20:B24, -1*'Data Sheet'!B19)</f>
        <v>9</v>
      </c>
      <c r="C5" s="9">
        <f>SUM('Data Sheet'!C18,'Data Sheet'!C20:C24, -1*'Data Sheet'!C19)</f>
        <v>14.229999999999999</v>
      </c>
      <c r="D5" s="9">
        <f>SUM('Data Sheet'!D18,'Data Sheet'!D20:D24, -1*'Data Sheet'!D19)</f>
        <v>20.319999999999997</v>
      </c>
      <c r="E5" s="9">
        <f>SUM('Data Sheet'!E18,'Data Sheet'!E20:E24, -1*'Data Sheet'!E19)</f>
        <v>14.16</v>
      </c>
      <c r="F5" s="9">
        <f>SUM('Data Sheet'!F18,'Data Sheet'!F20:F24, -1*'Data Sheet'!F19)</f>
        <v>9.7499999999999982</v>
      </c>
      <c r="G5" s="9">
        <f>SUM('Data Sheet'!G18,'Data Sheet'!G20:G24, -1*'Data Sheet'!G19)</f>
        <v>16.510000000000002</v>
      </c>
      <c r="H5" s="9">
        <f>SUM('Data Sheet'!H18,'Data Sheet'!H20:H24, -1*'Data Sheet'!H19)</f>
        <v>23.27</v>
      </c>
      <c r="I5" s="9">
        <f>SUM('Data Sheet'!I18,'Data Sheet'!I20:I24, -1*'Data Sheet'!I19)</f>
        <v>25.509999999999998</v>
      </c>
      <c r="J5" s="9">
        <f>SUM('Data Sheet'!J18,'Data Sheet'!J20:J24, -1*'Data Sheet'!J19)</f>
        <v>17.549999999999997</v>
      </c>
      <c r="K5" s="9">
        <f>SUM('Data Sheet'!K18,'Data Sheet'!K20:K24, -1*'Data Sheet'!K19)</f>
        <v>31.61</v>
      </c>
      <c r="L5" s="9">
        <f>SUM(Quarters!H5:K5)</f>
        <v>37.700000000000003</v>
      </c>
      <c r="M5" s="9"/>
      <c r="N5" s="9"/>
    </row>
    <row r="6" spans="1:15" s="8" customFormat="1" x14ac:dyDescent="0.25">
      <c r="A6" s="8" t="s">
        <v>5</v>
      </c>
      <c r="B6" s="1">
        <f t="shared" ref="B6" si="0">B4-B5</f>
        <v>3.8499999999999996</v>
      </c>
      <c r="C6" s="1">
        <f t="shared" ref="C6:K6" si="1">C4-C5</f>
        <v>4.5400000000000009</v>
      </c>
      <c r="D6" s="1">
        <f t="shared" si="1"/>
        <v>4.0600000000000023</v>
      </c>
      <c r="E6" s="1">
        <f t="shared" si="1"/>
        <v>-1.8000000000000007</v>
      </c>
      <c r="F6" s="1">
        <f t="shared" si="1"/>
        <v>-1.2499999999999982</v>
      </c>
      <c r="G6" s="1">
        <f t="shared" si="1"/>
        <v>2.5999999999999979</v>
      </c>
      <c r="H6" s="1">
        <f t="shared" si="1"/>
        <v>2.7100000000000009</v>
      </c>
      <c r="I6" s="1">
        <f t="shared" si="1"/>
        <v>2.8900000000000006</v>
      </c>
      <c r="J6" s="1">
        <f t="shared" si="1"/>
        <v>1.980000000000004</v>
      </c>
      <c r="K6" s="1">
        <f t="shared" si="1"/>
        <v>12.829999999999998</v>
      </c>
      <c r="L6" s="1">
        <f>SUM(Quarters!H6:K6)</f>
        <v>28.15</v>
      </c>
      <c r="M6" s="1"/>
      <c r="N6" s="1"/>
    </row>
    <row r="7" spans="1:15" x14ac:dyDescent="0.25">
      <c r="A7" s="6" t="s">
        <v>6</v>
      </c>
      <c r="B7" s="9">
        <f>'Data Sheet'!B25</f>
        <v>1.68</v>
      </c>
      <c r="C7" s="9">
        <f>'Data Sheet'!C25</f>
        <v>0.17</v>
      </c>
      <c r="D7" s="9">
        <f>'Data Sheet'!D25</f>
        <v>0.19</v>
      </c>
      <c r="E7" s="9">
        <f>'Data Sheet'!E25</f>
        <v>0.38</v>
      </c>
      <c r="F7" s="9">
        <f>'Data Sheet'!F25</f>
        <v>0.46</v>
      </c>
      <c r="G7" s="9">
        <f>'Data Sheet'!G25</f>
        <v>0.28000000000000003</v>
      </c>
      <c r="H7" s="9">
        <f>'Data Sheet'!H25</f>
        <v>0.25</v>
      </c>
      <c r="I7" s="9">
        <f>'Data Sheet'!I25</f>
        <v>0.39</v>
      </c>
      <c r="J7" s="9">
        <f>'Data Sheet'!J25</f>
        <v>0.09</v>
      </c>
      <c r="K7" s="9">
        <f>'Data Sheet'!K25</f>
        <v>0.7</v>
      </c>
      <c r="L7" s="9">
        <f>SUM(Quarters!H7:K7)</f>
        <v>0.41</v>
      </c>
      <c r="M7" s="9"/>
      <c r="N7" s="9"/>
    </row>
    <row r="8" spans="1:15" x14ac:dyDescent="0.25">
      <c r="A8" s="6" t="s">
        <v>7</v>
      </c>
      <c r="B8" s="9">
        <f>'Data Sheet'!B26</f>
        <v>0.68</v>
      </c>
      <c r="C8" s="9">
        <f>'Data Sheet'!C26</f>
        <v>0.72</v>
      </c>
      <c r="D8" s="9">
        <f>'Data Sheet'!D26</f>
        <v>1.08</v>
      </c>
      <c r="E8" s="9">
        <f>'Data Sheet'!E26</f>
        <v>1.38</v>
      </c>
      <c r="F8" s="9">
        <f>'Data Sheet'!F26</f>
        <v>1.39</v>
      </c>
      <c r="G8" s="9">
        <f>'Data Sheet'!G26</f>
        <v>1.38</v>
      </c>
      <c r="H8" s="9">
        <f>'Data Sheet'!H26</f>
        <v>1.37</v>
      </c>
      <c r="I8" s="9">
        <f>'Data Sheet'!I26</f>
        <v>1.42</v>
      </c>
      <c r="J8" s="9">
        <f>'Data Sheet'!J26</f>
        <v>1.51</v>
      </c>
      <c r="K8" s="9">
        <f>'Data Sheet'!K26</f>
        <v>1.83</v>
      </c>
      <c r="L8" s="9">
        <f>SUM(Quarters!H8:K8)</f>
        <v>1.96</v>
      </c>
      <c r="M8" s="9"/>
      <c r="N8" s="9"/>
    </row>
    <row r="9" spans="1:15" x14ac:dyDescent="0.25">
      <c r="A9" s="6" t="s">
        <v>8</v>
      </c>
      <c r="B9" s="9">
        <f>'Data Sheet'!B27</f>
        <v>0</v>
      </c>
      <c r="C9" s="9">
        <f>'Data Sheet'!C27</f>
        <v>0.1</v>
      </c>
      <c r="D9" s="9">
        <f>'Data Sheet'!D27</f>
        <v>0.65</v>
      </c>
      <c r="E9" s="9">
        <f>'Data Sheet'!E27</f>
        <v>1.05</v>
      </c>
      <c r="F9" s="9">
        <f>'Data Sheet'!F27</f>
        <v>0.98</v>
      </c>
      <c r="G9" s="9">
        <f>'Data Sheet'!G27</f>
        <v>0.94</v>
      </c>
      <c r="H9" s="9">
        <f>'Data Sheet'!H27</f>
        <v>0.86</v>
      </c>
      <c r="I9" s="9">
        <f>'Data Sheet'!I27</f>
        <v>0.49</v>
      </c>
      <c r="J9" s="9">
        <f>'Data Sheet'!J27</f>
        <v>0.47</v>
      </c>
      <c r="K9" s="9">
        <f>'Data Sheet'!K27</f>
        <v>0.26</v>
      </c>
      <c r="L9" s="9">
        <f>SUM(Quarters!H9:K9)</f>
        <v>0.18</v>
      </c>
      <c r="M9" s="9"/>
      <c r="N9" s="9"/>
    </row>
    <row r="10" spans="1:15" x14ac:dyDescent="0.25">
      <c r="A10" s="6" t="s">
        <v>9</v>
      </c>
      <c r="B10" s="9">
        <f>'Data Sheet'!B28</f>
        <v>4.8499999999999996</v>
      </c>
      <c r="C10" s="9">
        <f>'Data Sheet'!C28</f>
        <v>3.89</v>
      </c>
      <c r="D10" s="9">
        <f>'Data Sheet'!D28</f>
        <v>2.52</v>
      </c>
      <c r="E10" s="9">
        <f>'Data Sheet'!E28</f>
        <v>-3.85</v>
      </c>
      <c r="F10" s="9">
        <f>'Data Sheet'!F28</f>
        <v>-3.16</v>
      </c>
      <c r="G10" s="9">
        <f>'Data Sheet'!G28</f>
        <v>0.56000000000000005</v>
      </c>
      <c r="H10" s="9">
        <f>'Data Sheet'!H28</f>
        <v>0.72</v>
      </c>
      <c r="I10" s="9">
        <f>'Data Sheet'!I28</f>
        <v>1.37</v>
      </c>
      <c r="J10" s="9">
        <f>'Data Sheet'!J28</f>
        <v>0.1</v>
      </c>
      <c r="K10" s="9">
        <f>'Data Sheet'!K28</f>
        <v>11.44</v>
      </c>
      <c r="L10" s="9">
        <f>SUM(Quarters!H10:K10)</f>
        <v>26.42</v>
      </c>
      <c r="M10" s="9"/>
      <c r="N10" s="9"/>
    </row>
    <row r="11" spans="1:15" x14ac:dyDescent="0.25">
      <c r="A11" s="6" t="s">
        <v>10</v>
      </c>
      <c r="B11" s="9">
        <f>'Data Sheet'!B29</f>
        <v>1.82</v>
      </c>
      <c r="C11" s="9">
        <f>'Data Sheet'!C29</f>
        <v>1.18</v>
      </c>
      <c r="D11" s="9">
        <f>'Data Sheet'!D29</f>
        <v>1.43</v>
      </c>
      <c r="E11" s="9">
        <f>'Data Sheet'!E29</f>
        <v>-1.1299999999999999</v>
      </c>
      <c r="F11" s="9">
        <f>'Data Sheet'!F29</f>
        <v>-1.22</v>
      </c>
      <c r="G11" s="9">
        <f>'Data Sheet'!G29</f>
        <v>0.17</v>
      </c>
      <c r="H11" s="9">
        <f>'Data Sheet'!H29</f>
        <v>0.13</v>
      </c>
      <c r="I11" s="9">
        <f>'Data Sheet'!I29</f>
        <v>0.51</v>
      </c>
      <c r="J11" s="9">
        <f>'Data Sheet'!J29</f>
        <v>0.06</v>
      </c>
      <c r="K11" s="9">
        <f>'Data Sheet'!K29</f>
        <v>3.73</v>
      </c>
      <c r="L11" s="9">
        <f>SUM(Quarters!H11:K11)</f>
        <v>9.68</v>
      </c>
      <c r="M11" s="10"/>
      <c r="N11" s="10"/>
    </row>
    <row r="12" spans="1:15" s="8" customFormat="1" x14ac:dyDescent="0.25">
      <c r="A12" s="8" t="s">
        <v>11</v>
      </c>
      <c r="B12" s="1">
        <f>'Data Sheet'!B30</f>
        <v>3.03</v>
      </c>
      <c r="C12" s="1">
        <f>'Data Sheet'!C30</f>
        <v>2.71</v>
      </c>
      <c r="D12" s="1">
        <f>'Data Sheet'!D30</f>
        <v>1.0900000000000001</v>
      </c>
      <c r="E12" s="1">
        <f>'Data Sheet'!E30</f>
        <v>-2.72</v>
      </c>
      <c r="F12" s="1">
        <f>'Data Sheet'!F30</f>
        <v>-1.94</v>
      </c>
      <c r="G12" s="1">
        <f>'Data Sheet'!G30</f>
        <v>0.39</v>
      </c>
      <c r="H12" s="1">
        <f>'Data Sheet'!H30</f>
        <v>0.59</v>
      </c>
      <c r="I12" s="1">
        <f>'Data Sheet'!I30</f>
        <v>0.86</v>
      </c>
      <c r="J12" s="1">
        <f>'Data Sheet'!J30</f>
        <v>0.05</v>
      </c>
      <c r="K12" s="1">
        <f>'Data Sheet'!K30</f>
        <v>7.71</v>
      </c>
      <c r="L12" s="1">
        <f>SUM(Quarters!H12:K12)</f>
        <v>16.75</v>
      </c>
      <c r="M12" s="1"/>
      <c r="N12" s="1"/>
    </row>
    <row r="13" spans="1:15" x14ac:dyDescent="0.25">
      <c r="A13" s="11" t="s">
        <v>53</v>
      </c>
      <c r="B13" s="9">
        <f>IF('Data Sheet'!B93&gt;0,B12/'Data Sheet'!B93,0)</f>
        <v>4.473909576824262</v>
      </c>
      <c r="C13" s="9">
        <f>IF('Data Sheet'!C93&gt;0,C12/'Data Sheet'!C93,0)</f>
        <v>3.6460996152086751</v>
      </c>
      <c r="D13" s="9">
        <f>IF('Data Sheet'!D93&gt;0,D12/'Data Sheet'!D93,0)</f>
        <v>1.3845489418997536</v>
      </c>
      <c r="E13" s="9">
        <f>IF('Data Sheet'!E93&gt;0,E12/'Data Sheet'!E93,0)</f>
        <v>-3.4550212128140645</v>
      </c>
      <c r="F13" s="9">
        <f>IF('Data Sheet'!F93&gt;0,F12/'Data Sheet'!F93,0)</f>
        <v>-2.2917897223862962</v>
      </c>
      <c r="G13" s="9">
        <f>IF('Data Sheet'!G93&gt;0,G12/'Data Sheet'!G93,0)</f>
        <v>0.43464208895674755</v>
      </c>
      <c r="H13" s="9">
        <f>IF('Data Sheet'!H93&gt;0,H12/'Data Sheet'!H93,0)</f>
        <v>0.60762100926879503</v>
      </c>
      <c r="I13" s="9">
        <f>IF('Data Sheet'!I93&gt;0,I12/'Data Sheet'!I93,0)</f>
        <v>0.77372919478182645</v>
      </c>
      <c r="J13" s="9">
        <f>IF('Data Sheet'!J93&gt;0,J12/'Data Sheet'!J93,0)</f>
        <v>4.4984255510571308E-2</v>
      </c>
      <c r="K13" s="9">
        <f>IF('Data Sheet'!K93&gt;0,K12/'Data Sheet'!K93,0)</f>
        <v>6.9365721997300946</v>
      </c>
      <c r="L13" s="9">
        <f>IF('Data Sheet'!$B6&gt;0,'Profit &amp; Loss'!L12/'Data Sheet'!$B6,0)</f>
        <v>15.063009269950188</v>
      </c>
      <c r="M13" s="9"/>
      <c r="N13" s="9"/>
    </row>
    <row r="14" spans="1:15" x14ac:dyDescent="0.25">
      <c r="A14" s="6" t="s">
        <v>13</v>
      </c>
      <c r="B14" s="9">
        <f t="shared" ref="B14" si="2">IF(B15&gt;0,B15/B13,"")</f>
        <v>10.576878943894391</v>
      </c>
      <c r="C14" s="9">
        <f t="shared" ref="C14:K14" si="3">IF(C15&gt;0,C15/C13,"")</f>
        <v>4.9203263468634697</v>
      </c>
      <c r="D14" s="9">
        <f t="shared" si="3"/>
        <v>4.4707700917431197</v>
      </c>
      <c r="E14" s="9">
        <f t="shared" si="3"/>
        <v>-2.9638023529411761</v>
      </c>
      <c r="F14" s="9">
        <f t="shared" si="3"/>
        <v>-3.5605360824742274</v>
      </c>
      <c r="G14" s="9">
        <f t="shared" si="3"/>
        <v>15.530019230769231</v>
      </c>
      <c r="H14" s="9">
        <f t="shared" si="3"/>
        <v>15.25622033898305</v>
      </c>
      <c r="I14" s="9">
        <f t="shared" si="3"/>
        <v>12.782249999999999</v>
      </c>
      <c r="J14" s="9">
        <f t="shared" si="3"/>
        <v>2224.5560999999993</v>
      </c>
      <c r="K14" s="9">
        <f t="shared" si="3"/>
        <v>39.356614785992214</v>
      </c>
      <c r="L14" s="9">
        <f t="shared" ref="L14" si="4">IF(L13&gt;0,L15/L13,0)</f>
        <v>18.097313432835822</v>
      </c>
      <c r="M14" s="9"/>
      <c r="N14" s="9"/>
    </row>
    <row r="15" spans="1:15" s="8" customFormat="1" x14ac:dyDescent="0.25">
      <c r="A15" s="8" t="s">
        <v>54</v>
      </c>
      <c r="B15" s="1">
        <f>'Data Sheet'!C90</f>
        <v>47.32</v>
      </c>
      <c r="C15" s="1">
        <f>'Data Sheet'!D90</f>
        <v>17.940000000000001</v>
      </c>
      <c r="D15" s="1">
        <f>'Data Sheet'!E90</f>
        <v>6.19</v>
      </c>
      <c r="E15" s="1">
        <f>'Data Sheet'!F90</f>
        <v>10.24</v>
      </c>
      <c r="F15" s="1">
        <f>'Data Sheet'!G90</f>
        <v>8.16</v>
      </c>
      <c r="G15" s="1">
        <f>'Data Sheet'!H90</f>
        <v>6.75</v>
      </c>
      <c r="H15" s="1">
        <f>'Data Sheet'!I90</f>
        <v>9.27</v>
      </c>
      <c r="I15" s="1">
        <f>'Data Sheet'!J90</f>
        <v>9.89</v>
      </c>
      <c r="J15" s="1">
        <f>'Data Sheet'!K90</f>
        <v>100.07</v>
      </c>
      <c r="K15" s="1">
        <f>'Data Sheet'!L90</f>
        <v>273</v>
      </c>
      <c r="L15" s="1">
        <f>'Data Sheet'!B8</f>
        <v>272.60000000000002</v>
      </c>
      <c r="M15" s="12"/>
      <c r="N15" s="13"/>
    </row>
    <row r="17" spans="1:14" s="8" customFormat="1" x14ac:dyDescent="0.25">
      <c r="A17" s="8" t="s">
        <v>12</v>
      </c>
    </row>
    <row r="18" spans="1:14" x14ac:dyDescent="0.25">
      <c r="A18" s="6" t="s">
        <v>14</v>
      </c>
      <c r="B18" s="7">
        <f>IF('Data Sheet'!B30&gt;0, 'Data Sheet'!B31/'Data Sheet'!B30, 0)</f>
        <v>0</v>
      </c>
      <c r="C18" s="7">
        <f>IF('Data Sheet'!C30&gt;0, 'Data Sheet'!C31/'Data Sheet'!C30, 0)</f>
        <v>0</v>
      </c>
      <c r="D18" s="7">
        <f>IF('Data Sheet'!D30&gt;0, 'Data Sheet'!D31/'Data Sheet'!D30, 0)</f>
        <v>0</v>
      </c>
      <c r="E18" s="7">
        <f>IF('Data Sheet'!E30&gt;0, 'Data Sheet'!E31/'Data Sheet'!E30, 0)</f>
        <v>0</v>
      </c>
      <c r="F18" s="7">
        <f>IF('Data Sheet'!F30&gt;0, 'Data Sheet'!F31/'Data Sheet'!F30, 0)</f>
        <v>0</v>
      </c>
      <c r="G18" s="7">
        <f>IF('Data Sheet'!G30&gt;0, 'Data Sheet'!G31/'Data Sheet'!G30, 0)</f>
        <v>0</v>
      </c>
      <c r="H18" s="7">
        <f>IF('Data Sheet'!H30&gt;0, 'Data Sheet'!H31/'Data Sheet'!H30, 0)</f>
        <v>0</v>
      </c>
      <c r="I18" s="7">
        <f>IF('Data Sheet'!I30&gt;0, 'Data Sheet'!I31/'Data Sheet'!I30, 0)</f>
        <v>0</v>
      </c>
      <c r="J18" s="7">
        <f>IF('Data Sheet'!J30&gt;0, 'Data Sheet'!J31/'Data Sheet'!J30, 0)</f>
        <v>0</v>
      </c>
      <c r="K18" s="7">
        <f>IF('Data Sheet'!K30&gt;0, 'Data Sheet'!K31/'Data Sheet'!K30, 0)</f>
        <v>3.372243839169909E-2</v>
      </c>
      <c r="L18" s="7">
        <f>IF('Data Sheet'!L30&gt;0, 'Data Sheet'!L31/'Data Sheet'!L30, 0)</f>
        <v>1.6321406151914627E-2</v>
      </c>
    </row>
    <row r="19" spans="1:14" x14ac:dyDescent="0.25">
      <c r="A19" s="6" t="s">
        <v>15</v>
      </c>
      <c r="B19" s="7">
        <f t="shared" ref="B19" si="5">IF(B6&gt;0,B6/B4,0)</f>
        <v>0.29961089494163423</v>
      </c>
      <c r="C19" s="7">
        <f t="shared" ref="C19:K19" si="6">IF(C6&gt;0,C6/C4,0)</f>
        <v>0.24187533297815669</v>
      </c>
      <c r="D19" s="7">
        <f t="shared" si="6"/>
        <v>0.16652994257588197</v>
      </c>
      <c r="E19" s="7">
        <f t="shared" si="6"/>
        <v>0</v>
      </c>
      <c r="F19" s="7">
        <f t="shared" si="6"/>
        <v>0</v>
      </c>
      <c r="G19" s="7">
        <f t="shared" si="6"/>
        <v>0.13605442176870738</v>
      </c>
      <c r="H19" s="7">
        <f t="shared" si="6"/>
        <v>0.10431100846805239</v>
      </c>
      <c r="I19" s="7">
        <f t="shared" si="6"/>
        <v>0.10176056338028172</v>
      </c>
      <c r="J19" s="7">
        <f t="shared" si="6"/>
        <v>0.10138248847926287</v>
      </c>
      <c r="K19" s="7">
        <f t="shared" si="6"/>
        <v>0.28870387038703871</v>
      </c>
      <c r="L19" s="7">
        <f t="shared" ref="L19" si="7">IF(L6&gt;0,L6/L4,0)</f>
        <v>0.42748671222475326</v>
      </c>
    </row>
    <row r="20" spans="1:14" x14ac:dyDescent="0.25">
      <c r="B20" s="7"/>
      <c r="C20" s="7"/>
      <c r="D20" s="7"/>
      <c r="E20" s="7"/>
      <c r="F20" s="7"/>
      <c r="G20" s="7"/>
      <c r="H20" s="7"/>
      <c r="I20" s="7"/>
      <c r="J20" s="7"/>
      <c r="K20" s="7"/>
      <c r="L20" s="7"/>
    </row>
    <row r="21" spans="1:14" x14ac:dyDescent="0.25">
      <c r="B21" s="7"/>
      <c r="C21" s="7"/>
      <c r="D21" s="7"/>
      <c r="E21" s="7"/>
      <c r="F21" s="7"/>
      <c r="G21" s="7"/>
      <c r="H21" s="7"/>
      <c r="I21" s="7"/>
      <c r="J21" s="7"/>
      <c r="K21" s="7"/>
      <c r="L21" s="7"/>
    </row>
    <row r="22" spans="1:14" s="2" customFormat="1" x14ac:dyDescent="0.25">
      <c r="A22" s="15"/>
      <c r="B22" s="16"/>
      <c r="C22" s="16"/>
      <c r="D22" s="16"/>
      <c r="E22" s="16"/>
      <c r="F22" s="16"/>
      <c r="G22" s="16" t="s">
        <v>16</v>
      </c>
      <c r="H22" s="16" t="s">
        <v>60</v>
      </c>
      <c r="I22" s="16" t="s">
        <v>61</v>
      </c>
      <c r="J22" s="16" t="s">
        <v>62</v>
      </c>
      <c r="K22" s="16" t="s">
        <v>63</v>
      </c>
      <c r="L22" s="17" t="s">
        <v>64</v>
      </c>
      <c r="M22" s="17"/>
      <c r="N22" s="17"/>
    </row>
    <row r="23" spans="1:14" s="8" customFormat="1" x14ac:dyDescent="0.25">
      <c r="A23" s="6"/>
      <c r="B23" s="6"/>
      <c r="C23" s="6"/>
      <c r="D23" s="6"/>
      <c r="E23" s="6"/>
      <c r="F23" s="6"/>
      <c r="G23" s="6" t="s">
        <v>17</v>
      </c>
      <c r="H23" s="7">
        <f>IF(B4=0,"",POWER($K4/B4,1/9)-1)</f>
        <v>0.14782200649587018</v>
      </c>
      <c r="I23" s="7">
        <f>IF(D4=0,"",POWER($K4/D4,1/7)-1)</f>
        <v>8.9553653421796664E-2</v>
      </c>
      <c r="J23" s="7">
        <f>IF(F4=0,"",POWER($K4/F4,1/5)-1)</f>
        <v>0.39210189582244004</v>
      </c>
      <c r="K23" s="7">
        <f>IF(H4=0,"",POWER($K4/H4, 1/3)-1)</f>
        <v>0.19594617600603681</v>
      </c>
      <c r="L23" s="7">
        <f>IF(ISERROR(MAX(IF(J4=0,"",(K4-J4)/J4),IF(K4=0,"",(L4-K4)/K4))),"",MAX(IF(J4=0,"",(K4-J4)/J4),IF(K4=0,"",(L4-K4)/K4)))</f>
        <v>1.2754736303123397</v>
      </c>
      <c r="M23" s="22"/>
      <c r="N23" s="22"/>
    </row>
    <row r="24" spans="1:14" x14ac:dyDescent="0.25">
      <c r="G24" s="6" t="s">
        <v>15</v>
      </c>
      <c r="H24" s="7">
        <f>IF(SUM(B4:$K$4)=0,"",SUMPRODUCT(B19:$K$19,B4:$K$4)/SUM(B4:$K$4))</f>
        <v>0.16545352743561034</v>
      </c>
      <c r="I24" s="7">
        <f>IF(SUM(E4:$K$4)=0,"",SUMPRODUCT(E19:$K$19,E4:$K$4)/SUM(E4:$K$4))</f>
        <v>0.14533855482566957</v>
      </c>
      <c r="J24" s="7">
        <f>IF(SUM(G4:$K$4)=0,"",SUMPRODUCT(G19:$K$19,G4:$K$4)/SUM(G4:$K$4))</f>
        <v>0.16739415102575297</v>
      </c>
      <c r="K24" s="7">
        <f>IF(SUM(I4:$K$4)=0, "", SUMPRODUCT(I19:$K$19,I4:$K$4)/SUM(I4:$K$4))</f>
        <v>0.19162065605716144</v>
      </c>
      <c r="L24" s="7">
        <f>L19</f>
        <v>0.42748671222475326</v>
      </c>
      <c r="M24" s="22"/>
      <c r="N24" s="22"/>
    </row>
    <row r="25" spans="1:14" x14ac:dyDescent="0.25">
      <c r="G25" s="6" t="s">
        <v>18</v>
      </c>
      <c r="H25" s="9">
        <f>IF(ISERROR(AVERAGEIF(B14:$L14,"&gt;0")),"",AVERAGEIF(B14:$L14,"&gt;0"))</f>
        <v>260.61627701900898</v>
      </c>
      <c r="I25" s="9">
        <f>IF(ISERROR(AVERAGEIF(E14:$L14,"&gt;0")),"",AVERAGEIF(E14:$L14,"&gt;0"))</f>
        <v>387.59641963143002</v>
      </c>
      <c r="J25" s="9">
        <f>IF(ISERROR(AVERAGEIF(G14:$L14,"&gt;0")),"",AVERAGEIF(G14:$L14,"&gt;0"))</f>
        <v>387.59641963143002</v>
      </c>
      <c r="K25" s="9">
        <f>IF(ISERROR(AVERAGEIF(I14:$L14,"&gt;0")),"",AVERAGEIF(I14:$L14,"&gt;0"))</f>
        <v>573.69806955470699</v>
      </c>
      <c r="L25" s="9">
        <f>L14</f>
        <v>18.097313432835822</v>
      </c>
      <c r="M25" s="1"/>
      <c r="N25" s="1"/>
    </row>
  </sheetData>
  <hyperlinks>
    <hyperlink ref="M1" r:id="rId1"/>
  </hyperlinks>
  <printOptions gridLines="1"/>
  <pageMargins left="0.7" right="0.7" top="0.75" bottom="0.75" header="0.3" footer="0.3"/>
  <pageSetup paperSize="9" orientation="landscape" horizontalDpi="300" verticalDpi="300"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2"/>
  <sheetViews>
    <sheetView workbookViewId="0">
      <pane xSplit="1" ySplit="3" topLeftCell="B4" activePane="bottomRight" state="frozen"/>
      <selection pane="topRight" activeCell="B1" sqref="B1"/>
      <selection pane="bottomLeft" activeCell="A4" sqref="A4"/>
      <selection pane="bottomRight" activeCell="M6" sqref="M6"/>
    </sheetView>
  </sheetViews>
  <sheetFormatPr defaultRowHeight="15" x14ac:dyDescent="0.25"/>
  <cols>
    <col min="1" max="1" width="20.7109375" style="6" customWidth="1"/>
    <col min="2" max="11" width="13.5703125" style="6" bestFit="1" customWidth="1"/>
    <col min="12" max="16384" width="9.140625" style="6"/>
  </cols>
  <sheetData>
    <row r="1" spans="1:11" s="8" customFormat="1" x14ac:dyDescent="0.25">
      <c r="A1" s="8" t="str">
        <f>'Profit &amp; Loss'!A1</f>
        <v>CUPID LTD</v>
      </c>
      <c r="E1" t="str">
        <f>UPDATE</f>
        <v/>
      </c>
      <c r="J1" s="4" t="s">
        <v>1</v>
      </c>
      <c r="K1" s="4"/>
    </row>
    <row r="3" spans="1:11" s="2" customFormat="1" x14ac:dyDescent="0.25">
      <c r="A3" s="15" t="s">
        <v>2</v>
      </c>
      <c r="B3" s="16">
        <f>'Data Sheet'!B41</f>
        <v>41729</v>
      </c>
      <c r="C3" s="16">
        <f>'Data Sheet'!C41</f>
        <v>41820</v>
      </c>
      <c r="D3" s="16">
        <f>'Data Sheet'!D41</f>
        <v>41912</v>
      </c>
      <c r="E3" s="16">
        <f>'Data Sheet'!E41</f>
        <v>42004</v>
      </c>
      <c r="F3" s="16">
        <f>'Data Sheet'!F41</f>
        <v>42094</v>
      </c>
      <c r="G3" s="16">
        <f>'Data Sheet'!G41</f>
        <v>42185</v>
      </c>
      <c r="H3" s="16">
        <f>'Data Sheet'!H41</f>
        <v>42277</v>
      </c>
      <c r="I3" s="16">
        <f>'Data Sheet'!I41</f>
        <v>42369</v>
      </c>
      <c r="J3" s="16">
        <f>'Data Sheet'!J41</f>
        <v>42460</v>
      </c>
      <c r="K3" s="16">
        <f>'Data Sheet'!K41</f>
        <v>42551</v>
      </c>
    </row>
    <row r="4" spans="1:11" s="8" customFormat="1" x14ac:dyDescent="0.25">
      <c r="A4" s="8" t="s">
        <v>3</v>
      </c>
      <c r="B4" s="1">
        <f>'Data Sheet'!B42</f>
        <v>8.3699999999999992</v>
      </c>
      <c r="C4" s="1">
        <f>'Data Sheet'!C42</f>
        <v>9.73</v>
      </c>
      <c r="D4" s="1">
        <f>'Data Sheet'!D42</f>
        <v>10.029999999999999</v>
      </c>
      <c r="E4" s="1">
        <f>'Data Sheet'!E42</f>
        <v>12.08</v>
      </c>
      <c r="F4" s="1">
        <f>'Data Sheet'!F42</f>
        <v>13.06</v>
      </c>
      <c r="G4" s="1">
        <f>'Data Sheet'!G42</f>
        <v>12.78</v>
      </c>
      <c r="H4" s="1">
        <f>'Data Sheet'!H42</f>
        <v>15.32</v>
      </c>
      <c r="I4" s="1">
        <f>'Data Sheet'!I42</f>
        <v>16.05</v>
      </c>
      <c r="J4" s="1">
        <f>'Data Sheet'!J42</f>
        <v>18.239999999999998</v>
      </c>
      <c r="K4" s="1">
        <f>'Data Sheet'!K42</f>
        <v>16.239999999999998</v>
      </c>
    </row>
    <row r="5" spans="1:11" x14ac:dyDescent="0.25">
      <c r="A5" s="6" t="s">
        <v>4</v>
      </c>
      <c r="B5" s="9">
        <f>'Data Sheet'!B43</f>
        <v>5.84</v>
      </c>
      <c r="C5" s="9">
        <f>'Data Sheet'!C43</f>
        <v>7.22</v>
      </c>
      <c r="D5" s="9">
        <f>'Data Sheet'!D43</f>
        <v>7.18</v>
      </c>
      <c r="E5" s="9">
        <f>'Data Sheet'!E43</f>
        <v>8.16</v>
      </c>
      <c r="F5" s="9">
        <f>'Data Sheet'!F43</f>
        <v>9.06</v>
      </c>
      <c r="G5" s="9">
        <f>'Data Sheet'!G43</f>
        <v>7.86</v>
      </c>
      <c r="H5" s="9">
        <f>'Data Sheet'!H43</f>
        <v>9.0399999999999991</v>
      </c>
      <c r="I5" s="9">
        <f>'Data Sheet'!I43</f>
        <v>9.5299999999999994</v>
      </c>
      <c r="J5" s="9">
        <f>'Data Sheet'!J43</f>
        <v>9.4</v>
      </c>
      <c r="K5" s="9">
        <f>'Data Sheet'!K43</f>
        <v>9.73</v>
      </c>
    </row>
    <row r="6" spans="1:11" s="8" customFormat="1" x14ac:dyDescent="0.25">
      <c r="A6" s="8" t="s">
        <v>5</v>
      </c>
      <c r="B6" s="1">
        <f>'Data Sheet'!B50</f>
        <v>2.5299999999999998</v>
      </c>
      <c r="C6" s="1">
        <f>'Data Sheet'!C50</f>
        <v>2.5099999999999998</v>
      </c>
      <c r="D6" s="1">
        <f>'Data Sheet'!D50</f>
        <v>2.85</v>
      </c>
      <c r="E6" s="1">
        <f>'Data Sheet'!E50</f>
        <v>3.92</v>
      </c>
      <c r="F6" s="1">
        <f>'Data Sheet'!F50</f>
        <v>4</v>
      </c>
      <c r="G6" s="1">
        <f>'Data Sheet'!G50</f>
        <v>4.92</v>
      </c>
      <c r="H6" s="1">
        <f>'Data Sheet'!H50</f>
        <v>6.28</v>
      </c>
      <c r="I6" s="1">
        <f>'Data Sheet'!I50</f>
        <v>6.52</v>
      </c>
      <c r="J6" s="1">
        <f>'Data Sheet'!J50</f>
        <v>8.84</v>
      </c>
      <c r="K6" s="1">
        <f>'Data Sheet'!K50</f>
        <v>6.51</v>
      </c>
    </row>
    <row r="7" spans="1:11" x14ac:dyDescent="0.25">
      <c r="A7" s="6" t="s">
        <v>6</v>
      </c>
      <c r="B7" s="9">
        <f>'Data Sheet'!B44</f>
        <v>0</v>
      </c>
      <c r="C7" s="9">
        <f>'Data Sheet'!C44</f>
        <v>0</v>
      </c>
      <c r="D7" s="9">
        <f>'Data Sheet'!D44</f>
        <v>0.08</v>
      </c>
      <c r="E7" s="9">
        <f>'Data Sheet'!E44</f>
        <v>0.17</v>
      </c>
      <c r="F7" s="9">
        <f>'Data Sheet'!F44</f>
        <v>0</v>
      </c>
      <c r="G7" s="9">
        <f>'Data Sheet'!G44</f>
        <v>0</v>
      </c>
      <c r="H7" s="9">
        <f>'Data Sheet'!H44</f>
        <v>0.41</v>
      </c>
      <c r="I7" s="9">
        <f>'Data Sheet'!I44</f>
        <v>0</v>
      </c>
      <c r="J7" s="9">
        <f>'Data Sheet'!J44</f>
        <v>0</v>
      </c>
      <c r="K7" s="9">
        <f>'Data Sheet'!K44</f>
        <v>0</v>
      </c>
    </row>
    <row r="8" spans="1:11" x14ac:dyDescent="0.25">
      <c r="A8" s="6" t="s">
        <v>7</v>
      </c>
      <c r="B8" s="9">
        <f>'Data Sheet'!B45</f>
        <v>0.39</v>
      </c>
      <c r="C8" s="9">
        <f>'Data Sheet'!C45</f>
        <v>0.52</v>
      </c>
      <c r="D8" s="9">
        <f>'Data Sheet'!D45</f>
        <v>0.43</v>
      </c>
      <c r="E8" s="9">
        <f>'Data Sheet'!E45</f>
        <v>0.48</v>
      </c>
      <c r="F8" s="9">
        <f>'Data Sheet'!F45</f>
        <v>0.41</v>
      </c>
      <c r="G8" s="9">
        <f>'Data Sheet'!G45</f>
        <v>0.47</v>
      </c>
      <c r="H8" s="9">
        <f>'Data Sheet'!H45</f>
        <v>0.48</v>
      </c>
      <c r="I8" s="9">
        <f>'Data Sheet'!I45</f>
        <v>0.49</v>
      </c>
      <c r="J8" s="9">
        <f>'Data Sheet'!J45</f>
        <v>0.5</v>
      </c>
      <c r="K8" s="9">
        <f>'Data Sheet'!K45</f>
        <v>0.49</v>
      </c>
    </row>
    <row r="9" spans="1:11" x14ac:dyDescent="0.25">
      <c r="A9" s="6" t="s">
        <v>8</v>
      </c>
      <c r="B9" s="9">
        <f>'Data Sheet'!B46</f>
        <v>0.11</v>
      </c>
      <c r="C9" s="9">
        <f>'Data Sheet'!C46</f>
        <v>0.11</v>
      </c>
      <c r="D9" s="9">
        <f>'Data Sheet'!D46</f>
        <v>0.08</v>
      </c>
      <c r="E9" s="9">
        <f>'Data Sheet'!E46</f>
        <v>0.03</v>
      </c>
      <c r="F9" s="9">
        <f>'Data Sheet'!F46</f>
        <v>0.05</v>
      </c>
      <c r="G9" s="9">
        <f>'Data Sheet'!G46</f>
        <v>0.05</v>
      </c>
      <c r="H9" s="9">
        <f>'Data Sheet'!H46</f>
        <v>0.06</v>
      </c>
      <c r="I9" s="9">
        <f>'Data Sheet'!I46</f>
        <v>0.02</v>
      </c>
      <c r="J9" s="9">
        <f>'Data Sheet'!J46</f>
        <v>0.08</v>
      </c>
      <c r="K9" s="9">
        <f>'Data Sheet'!K46</f>
        <v>0.02</v>
      </c>
    </row>
    <row r="10" spans="1:11" x14ac:dyDescent="0.25">
      <c r="A10" s="6" t="s">
        <v>9</v>
      </c>
      <c r="B10" s="9">
        <f>'Data Sheet'!B47</f>
        <v>2.0499999999999998</v>
      </c>
      <c r="C10" s="9">
        <f>'Data Sheet'!C47</f>
        <v>1.89</v>
      </c>
      <c r="D10" s="9">
        <f>'Data Sheet'!D47</f>
        <v>2.42</v>
      </c>
      <c r="E10" s="9">
        <f>'Data Sheet'!E47</f>
        <v>3.58</v>
      </c>
      <c r="F10" s="9">
        <f>'Data Sheet'!F47</f>
        <v>3.54</v>
      </c>
      <c r="G10" s="9">
        <f>'Data Sheet'!G47</f>
        <v>4.4000000000000004</v>
      </c>
      <c r="H10" s="9">
        <f>'Data Sheet'!H47</f>
        <v>6.15</v>
      </c>
      <c r="I10" s="9">
        <f>'Data Sheet'!I47</f>
        <v>6.01</v>
      </c>
      <c r="J10" s="9">
        <f>'Data Sheet'!J47</f>
        <v>8.26</v>
      </c>
      <c r="K10" s="9">
        <f>'Data Sheet'!K47</f>
        <v>6</v>
      </c>
    </row>
    <row r="11" spans="1:11" x14ac:dyDescent="0.25">
      <c r="A11" s="6" t="s">
        <v>10</v>
      </c>
      <c r="B11" s="9">
        <f>'Data Sheet'!B48</f>
        <v>0.06</v>
      </c>
      <c r="C11" s="9">
        <f>'Data Sheet'!C48</f>
        <v>0</v>
      </c>
      <c r="D11" s="9">
        <f>'Data Sheet'!D48</f>
        <v>0.71</v>
      </c>
      <c r="E11" s="9">
        <f>'Data Sheet'!E48</f>
        <v>0.75</v>
      </c>
      <c r="F11" s="9">
        <f>'Data Sheet'!F48</f>
        <v>2.2799999999999998</v>
      </c>
      <c r="G11" s="9">
        <f>'Data Sheet'!G48</f>
        <v>1.39</v>
      </c>
      <c r="H11" s="9">
        <f>'Data Sheet'!H48</f>
        <v>2.04</v>
      </c>
      <c r="I11" s="9">
        <f>'Data Sheet'!I48</f>
        <v>1.82</v>
      </c>
      <c r="J11" s="9">
        <f>'Data Sheet'!J48</f>
        <v>3.65</v>
      </c>
      <c r="K11" s="9">
        <f>'Data Sheet'!K48</f>
        <v>2.17</v>
      </c>
    </row>
    <row r="12" spans="1:11" s="8" customFormat="1" x14ac:dyDescent="0.25">
      <c r="A12" s="8" t="s">
        <v>11</v>
      </c>
      <c r="B12" s="1">
        <f>'Data Sheet'!B49</f>
        <v>1.99</v>
      </c>
      <c r="C12" s="1">
        <f>'Data Sheet'!C49</f>
        <v>1.89</v>
      </c>
      <c r="D12" s="1">
        <f>'Data Sheet'!D49</f>
        <v>1.72</v>
      </c>
      <c r="E12" s="1">
        <f>'Data Sheet'!E49</f>
        <v>2.82</v>
      </c>
      <c r="F12" s="1">
        <f>'Data Sheet'!F49</f>
        <v>1.27</v>
      </c>
      <c r="G12" s="1">
        <f>'Data Sheet'!G49</f>
        <v>3.02</v>
      </c>
      <c r="H12" s="1">
        <f>'Data Sheet'!H49</f>
        <v>4.1100000000000003</v>
      </c>
      <c r="I12" s="1">
        <f>'Data Sheet'!I49</f>
        <v>4.1900000000000004</v>
      </c>
      <c r="J12" s="1">
        <f>'Data Sheet'!J49</f>
        <v>4.62</v>
      </c>
      <c r="K12" s="1">
        <f>'Data Sheet'!K49</f>
        <v>3.83</v>
      </c>
    </row>
    <row r="14" spans="1:11" s="8" customFormat="1" x14ac:dyDescent="0.25">
      <c r="A14" s="2" t="s">
        <v>15</v>
      </c>
      <c r="B14" s="14">
        <f>IF(B4&gt;0,B6/B4,"")</f>
        <v>0.30227001194743131</v>
      </c>
      <c r="C14" s="14">
        <f t="shared" ref="C14:K14" si="0">IF(C4&gt;0,C6/C4,"")</f>
        <v>0.25796505652620755</v>
      </c>
      <c r="D14" s="14">
        <f t="shared" si="0"/>
        <v>0.284147557328016</v>
      </c>
      <c r="E14" s="14">
        <f t="shared" si="0"/>
        <v>0.32450331125827814</v>
      </c>
      <c r="F14" s="14">
        <f t="shared" si="0"/>
        <v>0.30627871362940273</v>
      </c>
      <c r="G14" s="14">
        <f t="shared" si="0"/>
        <v>0.38497652582159625</v>
      </c>
      <c r="H14" s="14">
        <f t="shared" si="0"/>
        <v>0.40992167101827676</v>
      </c>
      <c r="I14" s="14">
        <f t="shared" si="0"/>
        <v>0.40623052959501554</v>
      </c>
      <c r="J14" s="14">
        <f t="shared" si="0"/>
        <v>0.48464912280701755</v>
      </c>
      <c r="K14" s="14">
        <f t="shared" si="0"/>
        <v>0.40086206896551729</v>
      </c>
    </row>
    <row r="22" s="30" customFormat="1" x14ac:dyDescent="0.25"/>
  </sheetData>
  <hyperlinks>
    <hyperlink ref="J1" r:id="rId1"/>
  </hyperlinks>
  <printOptions gridLines="1"/>
  <pageMargins left="0.7" right="0.7" top="0.75" bottom="0.75" header="0.3" footer="0.3"/>
  <pageSetup paperSize="9" scale="83" orientation="landscape" horizontalDpi="300" verticalDpi="300"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Report</vt:lpstr>
      <vt:lpstr>Framework</vt:lpstr>
      <vt:lpstr>rsklibSimData</vt:lpstr>
      <vt:lpstr>Analysis2</vt:lpstr>
      <vt:lpstr>Valuation</vt:lpstr>
      <vt:lpstr>Financial Analysis</vt:lpstr>
      <vt:lpstr>Checklist</vt:lpstr>
      <vt:lpstr>Profit &amp; Loss</vt:lpstr>
      <vt:lpstr>Quarters</vt:lpstr>
      <vt:lpstr>Balance Sheet</vt:lpstr>
      <vt:lpstr>Cash Flow</vt:lpstr>
      <vt:lpstr>Customization</vt:lpstr>
      <vt:lpstr>Scorecard</vt:lpstr>
      <vt:lpstr>Market_scope</vt:lpstr>
      <vt:lpstr>Data Sheet</vt:lpstr>
      <vt:lpstr>Research</vt:lpstr>
      <vt:lpstr>Other_input_data</vt:lpstr>
      <vt:lpstr>DCF</vt:lpstr>
      <vt:lpstr>Fair Value</vt:lpstr>
      <vt:lpstr>Expected Return Model</vt:lpstr>
      <vt:lpstr>UPDATE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2016-09-04T09:18:45Z</dcterms:modified>
</cp:coreProperties>
</file>