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Research\Cosmo Films\"/>
    </mc:Choice>
  </mc:AlternateContent>
  <bookViews>
    <workbookView xWindow="0" yWindow="0" windowWidth="20490" windowHeight="7755" activeTab="6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SSGR" sheetId="7" r:id="rId7"/>
  </sheets>
  <definedNames>
    <definedName name="UPDATE">'Data Sheet'!$E$1</definedName>
  </definedNames>
  <calcPr calcId="152511"/>
</workbook>
</file>

<file path=xl/calcChain.xml><?xml version="1.0" encoding="utf-8"?>
<calcChain xmlns="http://schemas.openxmlformats.org/spreadsheetml/2006/main">
  <c r="K20" i="7" l="1"/>
  <c r="J20" i="7"/>
  <c r="I20" i="7"/>
  <c r="H20" i="7"/>
  <c r="G20" i="7"/>
  <c r="F20" i="7"/>
  <c r="E20" i="7"/>
  <c r="D20" i="7"/>
  <c r="C20" i="7"/>
  <c r="K19" i="7"/>
  <c r="J19" i="7"/>
  <c r="I19" i="7"/>
  <c r="H19" i="7"/>
  <c r="G19" i="7"/>
  <c r="F19" i="7"/>
  <c r="E19" i="7"/>
  <c r="D19" i="7"/>
  <c r="C19" i="7"/>
  <c r="B20" i="7"/>
  <c r="B19" i="7"/>
  <c r="K3" i="7" l="1"/>
  <c r="J3" i="7"/>
  <c r="I3" i="7"/>
  <c r="H3" i="7"/>
  <c r="G3" i="7"/>
  <c r="F3" i="7"/>
  <c r="E3" i="7"/>
  <c r="D3" i="7"/>
  <c r="C3" i="7"/>
  <c r="B3" i="7"/>
  <c r="H23" i="1"/>
  <c r="B23" i="7" s="1"/>
  <c r="K2" i="7"/>
  <c r="J2" i="7"/>
  <c r="I2" i="7"/>
  <c r="H2" i="7"/>
  <c r="G2" i="7"/>
  <c r="F2" i="7"/>
  <c r="E2" i="7"/>
  <c r="D2" i="7"/>
  <c r="C2" i="7"/>
  <c r="B2" i="7"/>
  <c r="K14" i="7"/>
  <c r="J14" i="7"/>
  <c r="I14" i="7"/>
  <c r="H14" i="7"/>
  <c r="G14" i="7"/>
  <c r="F14" i="7"/>
  <c r="E14" i="7"/>
  <c r="D14" i="7"/>
  <c r="K13" i="7"/>
  <c r="K15" i="7" s="1"/>
  <c r="J13" i="7"/>
  <c r="J15" i="7" s="1"/>
  <c r="I13" i="7"/>
  <c r="I15" i="7" s="1"/>
  <c r="H13" i="7"/>
  <c r="H15" i="7" s="1"/>
  <c r="G13" i="7"/>
  <c r="G15" i="7" s="1"/>
  <c r="F13" i="7"/>
  <c r="E13" i="7"/>
  <c r="E15" i="7" s="1"/>
  <c r="D13" i="7"/>
  <c r="D15" i="7" s="1"/>
  <c r="K16" i="7"/>
  <c r="J16" i="7"/>
  <c r="J17" i="7" s="1"/>
  <c r="I16" i="7"/>
  <c r="I17" i="7" s="1"/>
  <c r="H16" i="7"/>
  <c r="H17" i="7" s="1"/>
  <c r="G16" i="7"/>
  <c r="F16" i="7"/>
  <c r="E16" i="7"/>
  <c r="E17" i="7" s="1"/>
  <c r="D16" i="7"/>
  <c r="D17" i="7" s="1"/>
  <c r="K11" i="7"/>
  <c r="J11" i="7"/>
  <c r="I11" i="7"/>
  <c r="H11" i="7"/>
  <c r="G11" i="7"/>
  <c r="F11" i="7"/>
  <c r="E11" i="7"/>
  <c r="D11" i="7"/>
  <c r="K8" i="7"/>
  <c r="J8" i="7"/>
  <c r="I8" i="7"/>
  <c r="H8" i="7"/>
  <c r="G8" i="7"/>
  <c r="F8" i="7"/>
  <c r="E8" i="7"/>
  <c r="D8" i="7"/>
  <c r="K7" i="7"/>
  <c r="K9" i="7" s="1"/>
  <c r="J7" i="7"/>
  <c r="J9" i="7" s="1"/>
  <c r="I7" i="7"/>
  <c r="I9" i="7" s="1"/>
  <c r="H7" i="7"/>
  <c r="H9" i="7" s="1"/>
  <c r="G7" i="7"/>
  <c r="G9" i="7" s="1"/>
  <c r="F7" i="7"/>
  <c r="F9" i="7" s="1"/>
  <c r="E7" i="7"/>
  <c r="E9" i="7" s="1"/>
  <c r="D7" i="7"/>
  <c r="D9" i="7" s="1"/>
  <c r="K5" i="7"/>
  <c r="J5" i="7"/>
  <c r="J6" i="7" s="1"/>
  <c r="I5" i="7"/>
  <c r="H5" i="7"/>
  <c r="G5" i="7"/>
  <c r="F5" i="7"/>
  <c r="F6" i="7" s="1"/>
  <c r="E5" i="7"/>
  <c r="D5" i="7"/>
  <c r="C14" i="7"/>
  <c r="C13" i="7"/>
  <c r="C16" i="7"/>
  <c r="C11" i="7"/>
  <c r="C8" i="7"/>
  <c r="C7" i="7"/>
  <c r="C5" i="7"/>
  <c r="B11" i="7"/>
  <c r="B16" i="7"/>
  <c r="B14" i="7"/>
  <c r="B13" i="7"/>
  <c r="B8" i="7"/>
  <c r="B7" i="7"/>
  <c r="B5" i="7"/>
  <c r="B6" i="7" s="1"/>
  <c r="K1" i="7"/>
  <c r="J1" i="7"/>
  <c r="I1" i="7"/>
  <c r="H1" i="7"/>
  <c r="G1" i="7"/>
  <c r="F1" i="7"/>
  <c r="E1" i="7"/>
  <c r="D1" i="7"/>
  <c r="C1" i="7"/>
  <c r="B1" i="7"/>
  <c r="H27" i="7"/>
  <c r="G27" i="7"/>
  <c r="F27" i="7"/>
  <c r="E27" i="7"/>
  <c r="D27" i="7"/>
  <c r="C27" i="7"/>
  <c r="B27" i="7"/>
  <c r="H26" i="7"/>
  <c r="G26" i="7"/>
  <c r="F26" i="7"/>
  <c r="E26" i="7"/>
  <c r="D26" i="7"/>
  <c r="C26" i="7"/>
  <c r="B26" i="7"/>
  <c r="G23" i="7"/>
  <c r="F23" i="7"/>
  <c r="E23" i="7"/>
  <c r="D23" i="7"/>
  <c r="C23" i="7"/>
  <c r="A27" i="7"/>
  <c r="A26" i="7"/>
  <c r="A23" i="7"/>
  <c r="L7" i="7" l="1"/>
  <c r="L8" i="7" s="1"/>
  <c r="M8" i="7" s="1"/>
  <c r="G17" i="7"/>
  <c r="K17" i="7"/>
  <c r="L11" i="7"/>
  <c r="F24" i="7"/>
  <c r="E6" i="7"/>
  <c r="I6" i="7"/>
  <c r="E4" i="7"/>
  <c r="I4" i="7"/>
  <c r="B9" i="7"/>
  <c r="F15" i="7"/>
  <c r="F17" i="7" s="1"/>
  <c r="B4" i="7"/>
  <c r="F4" i="7"/>
  <c r="J4" i="7"/>
  <c r="L5" i="7"/>
  <c r="B12" i="7"/>
  <c r="C12" i="7"/>
  <c r="C4" i="7"/>
  <c r="G4" i="7"/>
  <c r="F10" i="7"/>
  <c r="J10" i="7"/>
  <c r="D4" i="7"/>
  <c r="H4" i="7"/>
  <c r="C24" i="7"/>
  <c r="H24" i="7" s="1"/>
  <c r="D10" i="7"/>
  <c r="D24" i="7"/>
  <c r="B15" i="7"/>
  <c r="B17" i="7" s="1"/>
  <c r="G6" i="7"/>
  <c r="K6" i="7"/>
  <c r="K4" i="7"/>
  <c r="E24" i="7"/>
  <c r="G24" i="7" s="1"/>
  <c r="C15" i="7"/>
  <c r="C17" i="7" s="1"/>
  <c r="E25" i="7"/>
  <c r="G25" i="7" s="1"/>
  <c r="C10" i="7"/>
  <c r="G10" i="7"/>
  <c r="K10" i="7"/>
  <c r="B24" i="7"/>
  <c r="D12" i="7"/>
  <c r="H12" i="7"/>
  <c r="E12" i="7"/>
  <c r="I12" i="7"/>
  <c r="B25" i="7"/>
  <c r="F25" i="7"/>
  <c r="C25" i="7"/>
  <c r="H25" i="7" s="1"/>
  <c r="F12" i="7"/>
  <c r="J12" i="7"/>
  <c r="I10" i="7"/>
  <c r="C9" i="7"/>
  <c r="G12" i="7"/>
  <c r="K12" i="7"/>
  <c r="D25" i="7"/>
  <c r="D6" i="7"/>
  <c r="H6" i="7"/>
  <c r="H10" i="7"/>
  <c r="E10" i="7"/>
  <c r="C6" i="7"/>
  <c r="C6" i="3"/>
  <c r="D6" i="3"/>
  <c r="E6" i="3"/>
  <c r="F6" i="3"/>
  <c r="G6" i="3"/>
  <c r="H6" i="3"/>
  <c r="I6" i="3"/>
  <c r="J6" i="3"/>
  <c r="K6" i="3"/>
  <c r="B6" i="3"/>
  <c r="C5" i="1"/>
  <c r="D5" i="1"/>
  <c r="E5" i="1"/>
  <c r="F5" i="1"/>
  <c r="G5" i="1"/>
  <c r="H5" i="1"/>
  <c r="I5" i="1"/>
  <c r="J5" i="1"/>
  <c r="K5" i="1"/>
  <c r="B5" i="1"/>
  <c r="K93" i="6"/>
  <c r="C93" i="6"/>
  <c r="D93" i="6"/>
  <c r="E93" i="6"/>
  <c r="F93" i="6"/>
  <c r="G93" i="6"/>
  <c r="H93" i="6"/>
  <c r="I93" i="6"/>
  <c r="J93" i="6"/>
  <c r="B93" i="6"/>
  <c r="G13" i="1" l="1"/>
  <c r="E13" i="1"/>
  <c r="B6" i="6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B17" i="2"/>
  <c r="C4" i="2"/>
  <c r="D4" i="2"/>
  <c r="E4" i="2"/>
  <c r="F4" i="2"/>
  <c r="G4" i="2"/>
  <c r="H4" i="2"/>
  <c r="I4" i="2"/>
  <c r="J4" i="2"/>
  <c r="J23" i="2" s="1"/>
  <c r="K4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B14" i="2"/>
  <c r="B5" i="2"/>
  <c r="B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D4" i="3"/>
  <c r="E4" i="3"/>
  <c r="F4" i="3"/>
  <c r="G4" i="3"/>
  <c r="H4" i="3"/>
  <c r="I4" i="3"/>
  <c r="J4" i="3"/>
  <c r="K4" i="3"/>
  <c r="C5" i="3"/>
  <c r="D5" i="3"/>
  <c r="E5" i="3"/>
  <c r="F5" i="3"/>
  <c r="G5" i="3"/>
  <c r="H5" i="3"/>
  <c r="I5" i="3"/>
  <c r="J5" i="3"/>
  <c r="K5" i="3"/>
  <c r="C7" i="3"/>
  <c r="D7" i="3"/>
  <c r="E7" i="3"/>
  <c r="F7" i="3"/>
  <c r="G7" i="3"/>
  <c r="H7" i="3"/>
  <c r="I7" i="3"/>
  <c r="J7" i="3"/>
  <c r="K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B5" i="3"/>
  <c r="C18" i="1"/>
  <c r="D18" i="1"/>
  <c r="E18" i="1"/>
  <c r="F18" i="1"/>
  <c r="G18" i="1"/>
  <c r="H18" i="1"/>
  <c r="I18" i="1"/>
  <c r="J18" i="1"/>
  <c r="K18" i="1"/>
  <c r="B18" i="1"/>
  <c r="C4" i="1"/>
  <c r="D4" i="1"/>
  <c r="E4" i="1"/>
  <c r="F4" i="1"/>
  <c r="G4" i="1"/>
  <c r="H4" i="1"/>
  <c r="I4" i="1"/>
  <c r="J4" i="1"/>
  <c r="K4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C13" i="1" s="1"/>
  <c r="D12" i="1"/>
  <c r="D13" i="1" s="1"/>
  <c r="E12" i="1"/>
  <c r="F12" i="1"/>
  <c r="F13" i="1" s="1"/>
  <c r="G12" i="1"/>
  <c r="H12" i="1"/>
  <c r="H13" i="1" s="1"/>
  <c r="I12" i="1"/>
  <c r="J12" i="1"/>
  <c r="J13" i="1" s="1"/>
  <c r="K12" i="1"/>
  <c r="K13" i="1" s="1"/>
  <c r="C15" i="1"/>
  <c r="D15" i="1"/>
  <c r="E15" i="1"/>
  <c r="F15" i="1"/>
  <c r="G15" i="1"/>
  <c r="G14" i="1" s="1"/>
  <c r="H15" i="1"/>
  <c r="I15" i="1"/>
  <c r="J15" i="1"/>
  <c r="K15" i="1"/>
  <c r="B15" i="1"/>
  <c r="I13" i="1"/>
  <c r="B7" i="1"/>
  <c r="B4" i="1"/>
  <c r="A1" i="1"/>
  <c r="E1" i="6"/>
  <c r="J14" i="1" l="1"/>
  <c r="F14" i="1"/>
  <c r="I23" i="2"/>
  <c r="E23" i="2"/>
  <c r="K14" i="1"/>
  <c r="I14" i="1"/>
  <c r="E14" i="1"/>
  <c r="C14" i="1"/>
  <c r="H14" i="1"/>
  <c r="D14" i="1"/>
  <c r="E1" i="2"/>
  <c r="E1" i="4"/>
  <c r="E1" i="3"/>
  <c r="H16" i="2"/>
  <c r="D16" i="2"/>
  <c r="D24" i="2" s="1"/>
  <c r="K23" i="2"/>
  <c r="G16" i="2"/>
  <c r="F23" i="2"/>
  <c r="C23" i="2"/>
  <c r="I16" i="2"/>
  <c r="I24" i="2" s="1"/>
  <c r="E16" i="2"/>
  <c r="K16" i="2"/>
  <c r="C16" i="2"/>
  <c r="C24" i="2" s="1"/>
  <c r="G23" i="2"/>
  <c r="J16" i="2"/>
  <c r="F16" i="2"/>
  <c r="E6" i="1"/>
  <c r="E19" i="1" s="1"/>
  <c r="H23" i="2"/>
  <c r="D23" i="2"/>
  <c r="I6" i="1"/>
  <c r="I19" i="1" s="1"/>
  <c r="J6" i="1"/>
  <c r="J19" i="1" s="1"/>
  <c r="F6" i="1"/>
  <c r="F19" i="1" s="1"/>
  <c r="K6" i="1"/>
  <c r="K19" i="1" s="1"/>
  <c r="G6" i="1"/>
  <c r="G19" i="1" s="1"/>
  <c r="C6" i="1"/>
  <c r="C19" i="1" s="1"/>
  <c r="H6" i="1"/>
  <c r="H19" i="1" s="1"/>
  <c r="D6" i="1"/>
  <c r="D19" i="1" s="1"/>
  <c r="B6" i="1"/>
  <c r="H1" i="1"/>
  <c r="F24" i="2" l="1"/>
  <c r="K24" i="2"/>
  <c r="J24" i="2"/>
  <c r="H24" i="2"/>
  <c r="E24" i="2"/>
  <c r="G24" i="2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 l="1"/>
  <c r="B6" i="4"/>
  <c r="B5" i="4"/>
  <c r="B4" i="4"/>
  <c r="B3" i="4"/>
  <c r="K21" i="2"/>
  <c r="J21" i="2"/>
  <c r="I21" i="2"/>
  <c r="H21" i="2"/>
  <c r="G21" i="2"/>
  <c r="F21" i="2"/>
  <c r="E21" i="2"/>
  <c r="D21" i="2"/>
  <c r="C21" i="2"/>
  <c r="B18" i="2"/>
  <c r="B21" i="2" s="1"/>
  <c r="B13" i="2"/>
  <c r="B12" i="2"/>
  <c r="B11" i="2"/>
  <c r="B10" i="2"/>
  <c r="B8" i="2"/>
  <c r="B7" i="2"/>
  <c r="B6" i="2"/>
  <c r="B3" i="2"/>
  <c r="J14" i="3"/>
  <c r="H14" i="3"/>
  <c r="F14" i="3"/>
  <c r="D14" i="3"/>
  <c r="B12" i="3"/>
  <c r="B11" i="3"/>
  <c r="B10" i="3"/>
  <c r="B9" i="3"/>
  <c r="B8" i="3"/>
  <c r="B7" i="3"/>
  <c r="B4" i="3"/>
  <c r="B3" i="3"/>
  <c r="L15" i="1"/>
  <c r="B12" i="1"/>
  <c r="B11" i="1"/>
  <c r="B10" i="1"/>
  <c r="B9" i="1"/>
  <c r="B8" i="1"/>
  <c r="B20" i="2"/>
  <c r="B3" i="1"/>
  <c r="B13" i="1" l="1"/>
  <c r="B14" i="1" s="1"/>
  <c r="B23" i="2"/>
  <c r="B16" i="2"/>
  <c r="B24" i="2" s="1"/>
  <c r="B14" i="3"/>
  <c r="E14" i="3"/>
  <c r="I14" i="3"/>
  <c r="C14" i="3"/>
  <c r="G14" i="3"/>
  <c r="K14" i="3"/>
  <c r="K23" i="1"/>
  <c r="G20" i="2"/>
  <c r="I20" i="2"/>
  <c r="K20" i="2"/>
  <c r="D20" i="2"/>
  <c r="F20" i="2"/>
  <c r="H20" i="2"/>
  <c r="J20" i="2"/>
  <c r="C20" i="2"/>
  <c r="E20" i="2"/>
  <c r="L12" i="1"/>
  <c r="L13" i="1" s="1"/>
  <c r="L14" i="1" s="1"/>
  <c r="L25" i="1" s="1"/>
  <c r="K24" i="1"/>
  <c r="L11" i="1"/>
  <c r="L10" i="1"/>
  <c r="L9" i="1"/>
  <c r="M9" i="1" s="1"/>
  <c r="L8" i="1"/>
  <c r="M8" i="1" s="1"/>
  <c r="L7" i="1"/>
  <c r="L6" i="1"/>
  <c r="L4" i="1"/>
  <c r="L23" i="1" s="1"/>
  <c r="A1" i="3"/>
  <c r="A1" i="2"/>
  <c r="A1" i="4" s="1"/>
  <c r="H24" i="1"/>
  <c r="I24" i="1"/>
  <c r="I23" i="1"/>
  <c r="J24" i="1"/>
  <c r="J23" i="1"/>
  <c r="B19" i="1"/>
  <c r="L19" i="1" l="1"/>
  <c r="L24" i="1" s="1"/>
  <c r="N24" i="1" s="1"/>
  <c r="L5" i="1"/>
  <c r="M24" i="1"/>
  <c r="N11" i="1"/>
  <c r="M11" i="1"/>
  <c r="M23" i="1"/>
  <c r="M4" i="1" s="1"/>
  <c r="N23" i="1"/>
  <c r="H25" i="1"/>
  <c r="J25" i="1"/>
  <c r="K25" i="1"/>
  <c r="M25" i="1" s="1"/>
  <c r="I25" i="1"/>
  <c r="N9" i="1"/>
  <c r="N8" i="1"/>
  <c r="N4" i="1" l="1"/>
  <c r="N6" i="1" s="1"/>
  <c r="H23" i="7"/>
  <c r="N25" i="1"/>
  <c r="M6" i="1"/>
  <c r="M10" i="1" l="1"/>
  <c r="M12" i="1" s="1"/>
  <c r="M13" i="1" s="1"/>
  <c r="N10" i="1"/>
  <c r="N12" i="1" s="1"/>
  <c r="N13" i="1" s="1"/>
  <c r="N5" i="1"/>
  <c r="M5" i="1"/>
  <c r="M14" i="1"/>
  <c r="M15" i="1" l="1"/>
  <c r="N14" i="1"/>
  <c r="N15" i="1" s="1"/>
</calcChain>
</file>

<file path=xl/sharedStrings.xml><?xml version="1.0" encoding="utf-8"?>
<sst xmlns="http://schemas.openxmlformats.org/spreadsheetml/2006/main" count="175" uniqueCount="110">
  <si>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</si>
  <si>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</si>
  <si>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</si>
  <si>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</si>
  <si>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</si>
  <si>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</si>
  <si>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</si>
  <si>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</si>
  <si>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</si>
  <si>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</si>
  <si>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</si>
  <si>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</si>
  <si>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</si>
  <si>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</si>
  <si>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</si>
  <si>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</si>
  <si>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</si>
  <si>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</si>
  <si>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</si>
  <si>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</si>
  <si>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</si>
  <si>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</si>
  <si>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</si>
  <si>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</si>
  <si>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</si>
  <si>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</si>
  <si>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</si>
  <si>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</si>
  <si>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</si>
  <si>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</si>
  <si>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</si>
  <si>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</si>
  <si>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</si>
  <si>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</si>
  <si>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</si>
  <si>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</si>
  <si>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</si>
  <si>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</si>
  <si>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</si>
  <si>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</si>
  <si>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</si>
  <si>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</si>
  <si>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</si>
  <si>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</si>
  <si>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</si>
  <si>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</si>
  <si>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</si>
  <si>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</si>
  <si>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You can customize this workbook as you want.</t>
  </si>
  <si>
    <t>Please don't edit the "Data Sheet" only.</t>
  </si>
  <si>
    <t>After customization, you can upload this back on Screener.</t>
  </si>
  <si>
    <t>Upload on:</t>
  </si>
  <si>
    <t>Download your customized workbooks now onwards.</t>
  </si>
  <si>
    <t>Now whenever you will "Export to excel" from Screener, it will export your customized file.</t>
  </si>
  <si>
    <t>TESTING:</t>
  </si>
  <si>
    <t>This is a testing feature currently.</t>
  </si>
  <si>
    <t>You can report any formula errors on the worksheet at:</t>
  </si>
  <si>
    <t>How to use it?</t>
  </si>
  <si>
    <t>EPS</t>
  </si>
  <si>
    <t>Price</t>
  </si>
  <si>
    <t>Return on Equity</t>
  </si>
  <si>
    <t>Return on Capital Emp</t>
  </si>
  <si>
    <t>LATEST VERSION</t>
  </si>
  <si>
    <t>CURRENT VERSION</t>
  </si>
  <si>
    <t>COSMO FILMS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</si>
  <si>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</si>
  <si>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</si>
  <si>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</si>
  <si>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</si>
  <si>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</si>
  <si>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</si>
  <si>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</si>
  <si>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</si>
  <si>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</si>
  <si>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</si>
  <si>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</si>
  <si>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</si>
  <si>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</si>
  <si>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</si>
  <si>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</si>
  <si>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</si>
  <si>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</si>
  <si>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</si>
  <si>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</si>
  <si>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</si>
  <si>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</si>
  <si>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</si>
  <si>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</si>
  <si>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</si>
  <si>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</si>
  <si>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</si>
  <si>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You can add custom formating, add conditional formating, add your own formulas… do ANYTHING.</t>
  </si>
  <si>
    <t xml:space="preserve"> https://www.screener.in/excel/</t>
  </si>
  <si>
    <t xml:space="preserve"> screener.feedback@dalal-street.in</t>
  </si>
  <si>
    <t>Net Profit Margin</t>
  </si>
  <si>
    <t>Depreciation % of NFA</t>
  </si>
  <si>
    <t>Net Fixed Asset (NFA)</t>
  </si>
  <si>
    <t>NFA to Turnover (NFAT)</t>
  </si>
  <si>
    <t>Dividend Payout Ratio</t>
  </si>
  <si>
    <t>Total Debt</t>
  </si>
  <si>
    <t>INR Crores</t>
  </si>
  <si>
    <t>Past Trends</t>
  </si>
  <si>
    <t>Equity</t>
  </si>
  <si>
    <t>Equity Capital</t>
  </si>
  <si>
    <t>Net Profit Growth</t>
  </si>
  <si>
    <t>Operating Profit Margin</t>
  </si>
  <si>
    <t>Operating Profit Growth</t>
  </si>
  <si>
    <t>ROE</t>
  </si>
  <si>
    <t>ROCE</t>
  </si>
  <si>
    <t>Debt to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</si>
</sst>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0.0%"/>
    <numFmt numFmtId="167" formatCode="_ * #,##0.0_ ;_ * \-#,##0.0_ ;_ * &quot;-&quot;??_ ;_ @_ 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9" fillId="0" borderId="0" xfId="1" applyNumberFormat="1" applyFont="1" applyFill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6" fillId="0" borderId="0" xfId="2" applyFont="1" applyBorder="1" applyAlignment="1" applyProtection="1">
      <alignment horizontal="left"/>
    </xf>
    <xf numFmtId="0" fontId="6" fillId="0" borderId="0" xfId="2" applyFont="1" applyBorder="1" applyAlignment="1" applyProtection="1"/>
    <xf numFmtId="0" fontId="0" fillId="0" borderId="0" xfId="0" applyFont="1" applyFill="1" applyBorder="1"/>
    <xf numFmtId="0" fontId="9" fillId="0" borderId="0" xfId="0" applyFont="1" applyFill="1" applyBorder="1"/>
    <xf numFmtId="164" fontId="0" fillId="0" borderId="0" xfId="1" applyNumberFormat="1" applyFont="1" applyBorder="1"/>
    <xf numFmtId="0" fontId="10" fillId="0" borderId="0" xfId="0" applyFont="1"/>
    <xf numFmtId="0" fontId="11" fillId="0" borderId="0" xfId="0" applyFont="1"/>
    <xf numFmtId="165" fontId="12" fillId="5" borderId="0" xfId="0" applyNumberFormat="1" applyFont="1" applyFill="1" applyBorder="1" applyAlignment="1">
      <alignment horizontal="center"/>
    </xf>
    <xf numFmtId="0" fontId="10" fillId="0" borderId="0" xfId="0" applyFont="1" applyBorder="1"/>
    <xf numFmtId="43" fontId="10" fillId="0" borderId="0" xfId="0" applyNumberFormat="1" applyFont="1"/>
    <xf numFmtId="166" fontId="13" fillId="0" borderId="0" xfId="6" applyNumberFormat="1" applyFont="1"/>
    <xf numFmtId="0" fontId="10" fillId="0" borderId="0" xfId="0" applyFont="1" applyFill="1" applyBorder="1"/>
    <xf numFmtId="0" fontId="12" fillId="5" borderId="0" xfId="0" applyFont="1" applyFill="1" applyBorder="1" applyAlignment="1">
      <alignment horizontal="center"/>
    </xf>
    <xf numFmtId="10" fontId="10" fillId="0" borderId="0" xfId="0" applyNumberFormat="1" applyFont="1"/>
    <xf numFmtId="43" fontId="10" fillId="0" borderId="0" xfId="1" applyFont="1"/>
    <xf numFmtId="0" fontId="11" fillId="0" borderId="0" xfId="0" applyFont="1" applyBorder="1"/>
    <xf numFmtId="166" fontId="10" fillId="0" borderId="0" xfId="6" applyNumberFormat="1" applyFont="1"/>
    <xf numFmtId="168" fontId="10" fillId="0" borderId="0" xfId="0" applyNumberFormat="1" applyFont="1"/>
    <xf numFmtId="168" fontId="11" fillId="0" borderId="0" xfId="0" applyNumberFormat="1" applyFont="1"/>
    <xf numFmtId="0" fontId="11" fillId="0" borderId="0" xfId="0" applyFont="1" applyFill="1" applyBorder="1"/>
    <xf numFmtId="166" fontId="11" fillId="0" borderId="0" xfId="6" applyNumberFormat="1" applyFont="1"/>
    <xf numFmtId="0" fontId="11" fillId="6" borderId="0" xfId="0" applyFont="1" applyFill="1"/>
    <xf numFmtId="168" fontId="11" fillId="6" borderId="0" xfId="0" applyNumberFormat="1" applyFont="1" applyFill="1"/>
    <xf numFmtId="10" fontId="10" fillId="0" borderId="0" xfId="6" applyNumberFormat="1" applyFont="1"/>
    <xf numFmtId="167" fontId="10" fillId="0" borderId="0" xfId="1" applyNumberFormat="1" applyFont="1"/>
    <xf numFmtId="0" fontId="14" fillId="0" borderId="0" xfId="0" applyFont="1" applyBorder="1"/>
    <xf numFmtId="166" fontId="14" fillId="0" borderId="0" xfId="6" applyNumberFormat="1" applyFont="1"/>
    <xf numFmtId="9" fontId="10" fillId="0" borderId="0" xfId="0" applyNumberFormat="1" applyFont="1"/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  <xf numFmtId="43" fontId="11" fillId="0" borderId="0" xfId="0" applyNumberFormat="1" applyFont="1"/>
  </cellXfs>
  <cellStyles count="7">
    <cellStyle name="60% - Accent1" xfId="3" builtinId="32"/>
    <cellStyle name="60% - Accent3" xfId="4" builtinId="40"/>
    <cellStyle name="Accent6" xfId="5" builtinId="49"/>
    <cellStyle name="Comma" xfId="1" builtinId="3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exce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SheetLayoutView="100" workbookViewId="0">
      <pane xSplit="1" ySplit="4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12" sqref="B12"/>
    </sheetView>
  </sheetViews>
  <sheetFormatPr defaultRowHeight="15" x14ac:dyDescent="0.25"/>
  <cols>
    <col min="1" max="1" width="20.7109375" style="6" customWidth="1"/>
    <col min="2" max="6" width="13.5703125" style="6" customWidth="1"/>
    <col min="7" max="7" width="14.85546875" style="6" bestFit="1" customWidth="1"/>
    <col min="8" max="11" width="13.5703125" style="6" customWidth="1"/>
    <col min="12" max="12" width="13.28515625" style="6" customWidth="1"/>
    <col min="13" max="14" width="12.140625" style="6" customWidth="1"/>
    <col min="15" max="16384" width="9.140625" style="6"/>
  </cols>
  <sheetData>
    <row r="1" spans="1:14" s="8" customFormat="1" x14ac:dyDescent="0.25">
      <c r="A1" s="8" t="str">
        <f>'Data Sheet'!B1</f>
        <v>COSMO FILMS LTD</v>
      </c>
      <c r="H1" t="str">
        <f>UPDATE</f>
        <v/>
      </c>
      <c r="J1" s="3"/>
      <c r="K1" s="3"/>
      <c r="M1" s="8" t="s">
        <v>1</v>
      </c>
    </row>
    <row r="3" spans="1:14" s="2" customFormat="1" x14ac:dyDescent="0.25">
      <c r="A3" s="15" t="s">
        <v>2</v>
      </c>
      <c r="B3" s="16">
        <f>'Data Sheet'!B16</f>
        <v>39172</v>
      </c>
      <c r="C3" s="16">
        <f>'Data Sheet'!C16</f>
        <v>39538</v>
      </c>
      <c r="D3" s="16">
        <f>'Data Sheet'!D16</f>
        <v>39903</v>
      </c>
      <c r="E3" s="16">
        <f>'Data Sheet'!E16</f>
        <v>40268</v>
      </c>
      <c r="F3" s="16">
        <f>'Data Sheet'!F16</f>
        <v>40633</v>
      </c>
      <c r="G3" s="16">
        <f>'Data Sheet'!G16</f>
        <v>40999</v>
      </c>
      <c r="H3" s="16">
        <f>'Data Sheet'!H16</f>
        <v>41364</v>
      </c>
      <c r="I3" s="16">
        <f>'Data Sheet'!I16</f>
        <v>41729</v>
      </c>
      <c r="J3" s="16">
        <f>'Data Sheet'!J16</f>
        <v>42094</v>
      </c>
      <c r="K3" s="16">
        <f>'Data Sheet'!K16</f>
        <v>42460</v>
      </c>
      <c r="L3" s="17" t="s">
        <v>3</v>
      </c>
      <c r="M3" s="17" t="s">
        <v>4</v>
      </c>
      <c r="N3" s="17" t="s">
        <v>5</v>
      </c>
    </row>
    <row r="4" spans="1:14" s="8" customFormat="1" x14ac:dyDescent="0.25">
      <c r="A4" s="8" t="s">
        <v>6</v>
      </c>
      <c r="B4" s="1">
        <f>'Data Sheet'!B17</f>
        <v>535.61</v>
      </c>
      <c r="C4" s="1">
        <f>'Data Sheet'!C17</f>
        <v>585.16</v>
      </c>
      <c r="D4" s="1">
        <f>'Data Sheet'!D17</f>
        <v>632.69000000000005</v>
      </c>
      <c r="E4" s="1">
        <f>'Data Sheet'!E17</f>
        <v>959.67</v>
      </c>
      <c r="F4" s="1">
        <f>'Data Sheet'!F17</f>
        <v>1135.03</v>
      </c>
      <c r="G4" s="1">
        <f>'Data Sheet'!G17</f>
        <v>1136.18</v>
      </c>
      <c r="H4" s="1">
        <f>'Data Sheet'!H17</f>
        <v>1265.6199999999999</v>
      </c>
      <c r="I4" s="1">
        <f>'Data Sheet'!I17</f>
        <v>1468.36</v>
      </c>
      <c r="J4" s="1">
        <f>'Data Sheet'!J17</f>
        <v>1646.78</v>
      </c>
      <c r="K4" s="1">
        <f>'Data Sheet'!K17</f>
        <v>1620.62</v>
      </c>
      <c r="L4" s="1">
        <f>SUM(Quarters!H4:K4)</f>
        <v>1563.14</v>
      </c>
      <c r="M4" s="1">
        <f>$K4+M23*K4</f>
        <v>1759.8425577172884</v>
      </c>
      <c r="N4" s="1">
        <f>$K4+N23*L4</f>
        <v>1595.7886670957866</v>
      </c>
    </row>
    <row r="5" spans="1:14" x14ac:dyDescent="0.25">
      <c r="A5" s="6" t="s">
        <v>7</v>
      </c>
      <c r="B5" s="9">
        <f>SUM('Data Sheet'!B18,'Data Sheet'!B20:B24, -1*'Data Sheet'!B19)</f>
        <v>467.56</v>
      </c>
      <c r="C5" s="9">
        <f>SUM('Data Sheet'!C18,'Data Sheet'!C20:C24, -1*'Data Sheet'!C19)</f>
        <v>496.55</v>
      </c>
      <c r="D5" s="9">
        <f>SUM('Data Sheet'!D18,'Data Sheet'!D20:D24, -1*'Data Sheet'!D19)</f>
        <v>554.46</v>
      </c>
      <c r="E5" s="9">
        <f>SUM('Data Sheet'!E18,'Data Sheet'!E20:E24, -1*'Data Sheet'!E19)</f>
        <v>867.55</v>
      </c>
      <c r="F5" s="9">
        <f>SUM('Data Sheet'!F18,'Data Sheet'!F20:F24, -1*'Data Sheet'!F19)</f>
        <v>1043.57</v>
      </c>
      <c r="G5" s="9">
        <f>SUM('Data Sheet'!G18,'Data Sheet'!G20:G24, -1*'Data Sheet'!G19)</f>
        <v>1051.3799999999999</v>
      </c>
      <c r="H5" s="9">
        <f>SUM('Data Sheet'!H18,'Data Sheet'!H20:H24, -1*'Data Sheet'!H19)</f>
        <v>1184.1300000000003</v>
      </c>
      <c r="I5" s="9">
        <f>SUM('Data Sheet'!I18,'Data Sheet'!I20:I24, -1*'Data Sheet'!I19)</f>
        <v>1388.39</v>
      </c>
      <c r="J5" s="9">
        <f>SUM('Data Sheet'!J18,'Data Sheet'!J20:J24, -1*'Data Sheet'!J19)</f>
        <v>1542.4200000000003</v>
      </c>
      <c r="K5" s="9">
        <f>SUM('Data Sheet'!K18,'Data Sheet'!K20:K24, -1*'Data Sheet'!K19)</f>
        <v>1436.2599999999998</v>
      </c>
      <c r="L5" s="9">
        <f>SUM(Quarters!H5:K5)</f>
        <v>1388.8500000000001</v>
      </c>
      <c r="M5" s="9">
        <f t="shared" ref="M5:N5" si="0">M4-M6</f>
        <v>1563.620236374001</v>
      </c>
      <c r="N5" s="9">
        <f t="shared" si="0"/>
        <v>1476.1798622489057</v>
      </c>
    </row>
    <row r="6" spans="1:14" s="8" customFormat="1" x14ac:dyDescent="0.25">
      <c r="A6" s="8" t="s">
        <v>8</v>
      </c>
      <c r="B6" s="1">
        <f>B4-B5</f>
        <v>68.050000000000011</v>
      </c>
      <c r="C6" s="1">
        <f t="shared" ref="C6:K6" si="1">C4-C5</f>
        <v>88.609999999999957</v>
      </c>
      <c r="D6" s="1">
        <f t="shared" si="1"/>
        <v>78.230000000000018</v>
      </c>
      <c r="E6" s="1">
        <f t="shared" si="1"/>
        <v>92.12</v>
      </c>
      <c r="F6" s="1">
        <f t="shared" si="1"/>
        <v>91.460000000000036</v>
      </c>
      <c r="G6" s="1">
        <f t="shared" si="1"/>
        <v>84.800000000000182</v>
      </c>
      <c r="H6" s="1">
        <f t="shared" si="1"/>
        <v>81.489999999999554</v>
      </c>
      <c r="I6" s="1">
        <f t="shared" si="1"/>
        <v>79.9699999999998</v>
      </c>
      <c r="J6" s="1">
        <f t="shared" si="1"/>
        <v>104.35999999999967</v>
      </c>
      <c r="K6" s="1">
        <f t="shared" si="1"/>
        <v>184.36000000000013</v>
      </c>
      <c r="L6" s="1">
        <f>SUM(Quarters!H6:K6)</f>
        <v>174.29</v>
      </c>
      <c r="M6" s="1">
        <f>M4*M24</f>
        <v>196.22232134328732</v>
      </c>
      <c r="N6" s="1">
        <f>N4*N24</f>
        <v>119.60880484688087</v>
      </c>
    </row>
    <row r="7" spans="1:14" x14ac:dyDescent="0.25">
      <c r="A7" s="6" t="s">
        <v>9</v>
      </c>
      <c r="B7" s="9">
        <f>'Data Sheet'!B25</f>
        <v>5.26</v>
      </c>
      <c r="C7" s="9">
        <f>'Data Sheet'!C25</f>
        <v>11.6</v>
      </c>
      <c r="D7" s="9">
        <f>'Data Sheet'!D25</f>
        <v>5.13</v>
      </c>
      <c r="E7" s="9">
        <f>'Data Sheet'!E25</f>
        <v>45.66</v>
      </c>
      <c r="F7" s="9">
        <f>'Data Sheet'!F25</f>
        <v>9.74</v>
      </c>
      <c r="G7" s="9">
        <f>'Data Sheet'!G25</f>
        <v>18.34</v>
      </c>
      <c r="H7" s="9">
        <f>'Data Sheet'!H25</f>
        <v>8</v>
      </c>
      <c r="I7" s="9">
        <f>'Data Sheet'!I25</f>
        <v>6.77</v>
      </c>
      <c r="J7" s="9">
        <f>'Data Sheet'!J25</f>
        <v>8.2799999999999994</v>
      </c>
      <c r="K7" s="9">
        <f>'Data Sheet'!K25</f>
        <v>5.54</v>
      </c>
      <c r="L7" s="9">
        <f>SUM(Quarters!H7:K7)</f>
        <v>5.3699999999999992</v>
      </c>
      <c r="M7" s="9">
        <v>0</v>
      </c>
      <c r="N7" s="9">
        <v>0</v>
      </c>
    </row>
    <row r="8" spans="1:14" x14ac:dyDescent="0.25">
      <c r="A8" s="6" t="s">
        <v>10</v>
      </c>
      <c r="B8" s="9">
        <f>'Data Sheet'!B26</f>
        <v>25.88</v>
      </c>
      <c r="C8" s="9">
        <f>'Data Sheet'!C26</f>
        <v>25.31</v>
      </c>
      <c r="D8" s="9">
        <f>'Data Sheet'!D26</f>
        <v>-23.72</v>
      </c>
      <c r="E8" s="9">
        <f>'Data Sheet'!E26</f>
        <v>33.86</v>
      </c>
      <c r="F8" s="9">
        <f>'Data Sheet'!F26</f>
        <v>34.39</v>
      </c>
      <c r="G8" s="9">
        <f>'Data Sheet'!G26</f>
        <v>35.909999999999997</v>
      </c>
      <c r="H8" s="9">
        <f>'Data Sheet'!H26</f>
        <v>38.81</v>
      </c>
      <c r="I8" s="9">
        <f>'Data Sheet'!I26</f>
        <v>45.32</v>
      </c>
      <c r="J8" s="9">
        <f>'Data Sheet'!J26</f>
        <v>34.54</v>
      </c>
      <c r="K8" s="9">
        <f>'Data Sheet'!K26</f>
        <v>35.68</v>
      </c>
      <c r="L8" s="9">
        <f>SUM(Quarters!H8:K8)</f>
        <v>37.22</v>
      </c>
      <c r="M8" s="9">
        <f>+$L8</f>
        <v>37.22</v>
      </c>
      <c r="N8" s="9">
        <f>+$L8</f>
        <v>37.22</v>
      </c>
    </row>
    <row r="9" spans="1:14" x14ac:dyDescent="0.25">
      <c r="A9" s="6" t="s">
        <v>11</v>
      </c>
      <c r="B9" s="9">
        <f>'Data Sheet'!B27</f>
        <v>17.45</v>
      </c>
      <c r="C9" s="9">
        <f>'Data Sheet'!C27</f>
        <v>14.88</v>
      </c>
      <c r="D9" s="9">
        <f>'Data Sheet'!D27</f>
        <v>18.07</v>
      </c>
      <c r="E9" s="9">
        <f>'Data Sheet'!E27</f>
        <v>21.25</v>
      </c>
      <c r="F9" s="9">
        <f>'Data Sheet'!F27</f>
        <v>26.3</v>
      </c>
      <c r="G9" s="9">
        <f>'Data Sheet'!G27</f>
        <v>28.46</v>
      </c>
      <c r="H9" s="9">
        <f>'Data Sheet'!H27</f>
        <v>29.01</v>
      </c>
      <c r="I9" s="9">
        <f>'Data Sheet'!I27</f>
        <v>43.22</v>
      </c>
      <c r="J9" s="9">
        <f>'Data Sheet'!J27</f>
        <v>39.880000000000003</v>
      </c>
      <c r="K9" s="9">
        <f>'Data Sheet'!K27</f>
        <v>30.18</v>
      </c>
      <c r="L9" s="9">
        <f>SUM(Quarters!H9:K9)</f>
        <v>30.119999999999997</v>
      </c>
      <c r="M9" s="9">
        <f>+$L9</f>
        <v>30.119999999999997</v>
      </c>
      <c r="N9" s="9">
        <f>+$L9</f>
        <v>30.119999999999997</v>
      </c>
    </row>
    <row r="10" spans="1:14" x14ac:dyDescent="0.25">
      <c r="A10" s="6" t="s">
        <v>12</v>
      </c>
      <c r="B10" s="9">
        <f>'Data Sheet'!B28</f>
        <v>31.51</v>
      </c>
      <c r="C10" s="9">
        <f>'Data Sheet'!C28</f>
        <v>60.55</v>
      </c>
      <c r="D10" s="9">
        <f>'Data Sheet'!D28</f>
        <v>94.05</v>
      </c>
      <c r="E10" s="9">
        <f>'Data Sheet'!E28</f>
        <v>82.97</v>
      </c>
      <c r="F10" s="9">
        <f>'Data Sheet'!F28</f>
        <v>40.51</v>
      </c>
      <c r="G10" s="9">
        <f>'Data Sheet'!G28</f>
        <v>38.770000000000003</v>
      </c>
      <c r="H10" s="9">
        <f>'Data Sheet'!H28</f>
        <v>21.67</v>
      </c>
      <c r="I10" s="9">
        <f>'Data Sheet'!I28</f>
        <v>-1.8</v>
      </c>
      <c r="J10" s="9">
        <f>'Data Sheet'!J28</f>
        <v>38.22</v>
      </c>
      <c r="K10" s="9">
        <f>'Data Sheet'!K28</f>
        <v>124.04</v>
      </c>
      <c r="L10" s="9">
        <f>SUM(Quarters!H10:K10)</f>
        <v>112.32000000000001</v>
      </c>
      <c r="M10" s="9">
        <f>M6+M7-SUM(M8:M9)</f>
        <v>128.88232134328732</v>
      </c>
      <c r="N10" s="9">
        <f>N6+N7-SUM(N8:N9)</f>
        <v>52.268804846880869</v>
      </c>
    </row>
    <row r="11" spans="1:14" x14ac:dyDescent="0.25">
      <c r="A11" s="6" t="s">
        <v>13</v>
      </c>
      <c r="B11" s="9">
        <f>'Data Sheet'!B29</f>
        <v>5.68</v>
      </c>
      <c r="C11" s="9">
        <f>'Data Sheet'!C29</f>
        <v>16.37</v>
      </c>
      <c r="D11" s="9">
        <f>'Data Sheet'!D29</f>
        <v>19.95</v>
      </c>
      <c r="E11" s="9">
        <f>'Data Sheet'!E29</f>
        <v>15.28</v>
      </c>
      <c r="F11" s="9">
        <f>'Data Sheet'!F29</f>
        <v>9.52</v>
      </c>
      <c r="G11" s="9">
        <f>'Data Sheet'!G29</f>
        <v>8.59</v>
      </c>
      <c r="H11" s="9">
        <f>'Data Sheet'!H29</f>
        <v>10.34</v>
      </c>
      <c r="I11" s="9">
        <f>'Data Sheet'!I29</f>
        <v>3.7</v>
      </c>
      <c r="J11" s="9">
        <f>'Data Sheet'!J29</f>
        <v>10.56</v>
      </c>
      <c r="K11" s="9">
        <f>'Data Sheet'!K29</f>
        <v>27.8</v>
      </c>
      <c r="L11" s="9">
        <f>SUM(Quarters!H11:K11)</f>
        <v>15.24</v>
      </c>
      <c r="M11" s="10">
        <f>IF($L10&gt;0,$L11/$L10,0)</f>
        <v>0.13568376068376067</v>
      </c>
      <c r="N11" s="10">
        <f>IF($L10&gt;0,$L11/$L10,0)</f>
        <v>0.13568376068376067</v>
      </c>
    </row>
    <row r="12" spans="1:14" s="8" customFormat="1" x14ac:dyDescent="0.25">
      <c r="A12" s="8" t="s">
        <v>14</v>
      </c>
      <c r="B12" s="1">
        <f>'Data Sheet'!B30</f>
        <v>25.83</v>
      </c>
      <c r="C12" s="1">
        <f>'Data Sheet'!C30</f>
        <v>44.18</v>
      </c>
      <c r="D12" s="1">
        <f>'Data Sheet'!D30</f>
        <v>74.099999999999994</v>
      </c>
      <c r="E12" s="1">
        <f>'Data Sheet'!E30</f>
        <v>63.48</v>
      </c>
      <c r="F12" s="1">
        <f>'Data Sheet'!F30</f>
        <v>34.76</v>
      </c>
      <c r="G12" s="1">
        <f>'Data Sheet'!G30</f>
        <v>31.52</v>
      </c>
      <c r="H12" s="1">
        <f>'Data Sheet'!H30</f>
        <v>11.33</v>
      </c>
      <c r="I12" s="1">
        <f>'Data Sheet'!I30</f>
        <v>-5.5</v>
      </c>
      <c r="J12" s="1">
        <f>'Data Sheet'!J30</f>
        <v>27.66</v>
      </c>
      <c r="K12" s="1">
        <f>'Data Sheet'!K30</f>
        <v>96.24</v>
      </c>
      <c r="L12" s="1">
        <f>SUM(Quarters!H12:K12)</f>
        <v>97.080000000000013</v>
      </c>
      <c r="M12" s="1">
        <f>M10-M11*M10</f>
        <v>111.39508329777718</v>
      </c>
      <c r="N12" s="1">
        <f>N10-N11*N10</f>
        <v>45.176776838810497</v>
      </c>
    </row>
    <row r="13" spans="1:14" x14ac:dyDescent="0.25">
      <c r="A13" s="11" t="s">
        <v>58</v>
      </c>
      <c r="B13" s="9">
        <f>IF('Data Sheet'!B93&gt;0,B12/'Data Sheet'!B93,0)</f>
        <v>13.286985092033591</v>
      </c>
      <c r="C13" s="9">
        <f>IF('Data Sheet'!C93&gt;0,C12/'Data Sheet'!C93,0)</f>
        <v>22.726248601085718</v>
      </c>
      <c r="D13" s="9">
        <f>IF('Data Sheet'!D93&gt;0,D12/'Data Sheet'!D93,0)</f>
        <v>38.117134933011577</v>
      </c>
      <c r="E13" s="9">
        <f>IF('Data Sheet'!E93&gt;0,E12/'Data Sheet'!E93,0)</f>
        <v>32.65419332722773</v>
      </c>
      <c r="F13" s="9">
        <f>IF('Data Sheet'!F93&gt;0,F12/'Data Sheet'!F93,0)</f>
        <v>17.880588532678576</v>
      </c>
      <c r="G13" s="9">
        <f>IF('Data Sheet'!G93&gt;0,G12/'Data Sheet'!G93,0)</f>
        <v>16.21392838176147</v>
      </c>
      <c r="H13" s="9">
        <f>IF('Data Sheet'!H93&gt;0,H12/'Data Sheet'!H93,0)</f>
        <v>5.8281593201681066</v>
      </c>
      <c r="I13" s="9">
        <f>IF('Data Sheet'!I93&gt;0,I12/'Data Sheet'!I93,0)</f>
        <v>-2.8292035534796631</v>
      </c>
      <c r="J13" s="9">
        <f>IF('Data Sheet'!J93&gt;0,J12/'Data Sheet'!J93,0)</f>
        <v>14.228339436533068</v>
      </c>
      <c r="K13" s="9">
        <f>IF('Data Sheet'!K93&gt;0,K12/'Data Sheet'!K93,0)</f>
        <v>49.505979297611795</v>
      </c>
      <c r="L13" s="9">
        <f>IF('Data Sheet'!$B6&gt;0,'Profit &amp; Loss'!L12/'Data Sheet'!$B6,0)</f>
        <v>49.938522377754076</v>
      </c>
      <c r="M13" s="9">
        <f>IF('Data Sheet'!$B6&gt;0,'Profit &amp; Loss'!M12/'Data Sheet'!$B6,0)</f>
        <v>57.302285332074824</v>
      </c>
      <c r="N13" s="9">
        <f>IF('Data Sheet'!$B6&gt;0,'Profit &amp; Loss'!N12/'Data Sheet'!$B6,0)</f>
        <v>23.239199434690356</v>
      </c>
    </row>
    <row r="14" spans="1:14" x14ac:dyDescent="0.25">
      <c r="A14" s="6" t="s">
        <v>16</v>
      </c>
      <c r="B14" s="9">
        <f>IF(B15&gt;0,B15/B13,"")</f>
        <v>6.0713547461091757</v>
      </c>
      <c r="C14" s="9">
        <f t="shared" ref="C14:K14" si="2">IF(C15&gt;0,C15/C13,"")</f>
        <v>4.3069140762335891</v>
      </c>
      <c r="D14" s="9">
        <f t="shared" si="2"/>
        <v>1.8154564901484482</v>
      </c>
      <c r="E14" s="9">
        <f t="shared" si="2"/>
        <v>3.7584759412098303</v>
      </c>
      <c r="F14" s="9">
        <f t="shared" si="2"/>
        <v>5.9181497189873413</v>
      </c>
      <c r="G14" s="9">
        <f t="shared" si="2"/>
        <v>5.4595035771573608</v>
      </c>
      <c r="H14" s="9">
        <f t="shared" si="2"/>
        <v>11.767008455428066</v>
      </c>
      <c r="I14" s="9">
        <f t="shared" si="2"/>
        <v>-19.662777509090912</v>
      </c>
      <c r="J14" s="9">
        <f t="shared" si="2"/>
        <v>6.0548175972523506</v>
      </c>
      <c r="K14" s="9">
        <f t="shared" si="2"/>
        <v>7.0163241880714891</v>
      </c>
      <c r="L14" s="9">
        <f t="shared" ref="L14" si="3">IF(L13&gt;0,L15/L13,0)</f>
        <v>6.5640708693860716</v>
      </c>
      <c r="M14" s="9">
        <f>M25</f>
        <v>6.5640708693860716</v>
      </c>
      <c r="N14" s="9">
        <f>N25</f>
        <v>5.8732075659983725</v>
      </c>
    </row>
    <row r="15" spans="1:14" s="8" customFormat="1" x14ac:dyDescent="0.25">
      <c r="A15" s="8" t="s">
        <v>59</v>
      </c>
      <c r="B15" s="1">
        <f>'Data Sheet'!B90</f>
        <v>80.67</v>
      </c>
      <c r="C15" s="1">
        <f>'Data Sheet'!C90</f>
        <v>97.88</v>
      </c>
      <c r="D15" s="1">
        <f>'Data Sheet'!D90</f>
        <v>69.2</v>
      </c>
      <c r="E15" s="1">
        <f>'Data Sheet'!E90</f>
        <v>122.73</v>
      </c>
      <c r="F15" s="1">
        <f>'Data Sheet'!F90</f>
        <v>105.82</v>
      </c>
      <c r="G15" s="1">
        <f>'Data Sheet'!G90</f>
        <v>88.52</v>
      </c>
      <c r="H15" s="1">
        <f>'Data Sheet'!H90</f>
        <v>68.58</v>
      </c>
      <c r="I15" s="1">
        <f>'Data Sheet'!I90</f>
        <v>55.63</v>
      </c>
      <c r="J15" s="1">
        <f>'Data Sheet'!J90</f>
        <v>86.15</v>
      </c>
      <c r="K15" s="1">
        <f>'Data Sheet'!K90</f>
        <v>347.35</v>
      </c>
      <c r="L15" s="1">
        <f>'Data Sheet'!B8</f>
        <v>327.8</v>
      </c>
      <c r="M15" s="12">
        <f>M13*M14</f>
        <v>376.13626189752114</v>
      </c>
      <c r="N15" s="13">
        <f>N13*N14</f>
        <v>136.48864194756851</v>
      </c>
    </row>
    <row r="17" spans="1:14" s="8" customFormat="1" x14ac:dyDescent="0.25">
      <c r="A17" s="8" t="s">
        <v>15</v>
      </c>
    </row>
    <row r="18" spans="1:14" x14ac:dyDescent="0.25">
      <c r="A18" s="6" t="s">
        <v>17</v>
      </c>
      <c r="B18" s="7">
        <f>IF('Data Sheet'!B30&gt;0, 'Data Sheet'!B31/'Data Sheet'!B30, 0)</f>
        <v>0.30120015485869145</v>
      </c>
      <c r="C18" s="7">
        <f>IF('Data Sheet'!C30&gt;0, 'Data Sheet'!C31/'Data Sheet'!C30, 0)</f>
        <v>0.22000905387052966</v>
      </c>
      <c r="D18" s="7">
        <f>IF('Data Sheet'!D30&gt;0, 'Data Sheet'!D31/'Data Sheet'!D30, 0)</f>
        <v>0.13117408906882594</v>
      </c>
      <c r="E18" s="7">
        <f>IF('Data Sheet'!E30&gt;0, 'Data Sheet'!E31/'Data Sheet'!E30, 0)</f>
        <v>0.15311909262759926</v>
      </c>
      <c r="F18" s="7">
        <f>IF('Data Sheet'!F30&gt;0, 'Data Sheet'!F31/'Data Sheet'!F30, 0)</f>
        <v>0.27963176064441891</v>
      </c>
      <c r="G18" s="7">
        <f>IF('Data Sheet'!G30&gt;0, 'Data Sheet'!G31/'Data Sheet'!G30, 0)</f>
        <v>0.30837563451776651</v>
      </c>
      <c r="H18" s="7">
        <f>IF('Data Sheet'!H30&gt;0, 'Data Sheet'!H31/'Data Sheet'!H30, 0)</f>
        <v>0.42894969108561343</v>
      </c>
      <c r="I18" s="7">
        <f>IF('Data Sheet'!I30&gt;0, 'Data Sheet'!I31/'Data Sheet'!I30, 0)</f>
        <v>0</v>
      </c>
      <c r="J18" s="7">
        <f>IF('Data Sheet'!J30&gt;0, 'Data Sheet'!J31/'Data Sheet'!J30, 0)</f>
        <v>0.24584237165582068</v>
      </c>
      <c r="K18" s="7">
        <f>IF('Data Sheet'!K30&gt;0, 'Data Sheet'!K31/'Data Sheet'!K30, 0)</f>
        <v>0.20199501246882795</v>
      </c>
    </row>
    <row r="19" spans="1:14" x14ac:dyDescent="0.25">
      <c r="A19" s="6" t="s">
        <v>18</v>
      </c>
      <c r="B19" s="7">
        <f t="shared" ref="B19:L19" si="4">IF(B6&gt;0,B6/B4,0)</f>
        <v>0.12705139933907136</v>
      </c>
      <c r="C19" s="7">
        <f t="shared" ref="C19:K19" si="5">IF(C6&gt;0,C6/C4,0)</f>
        <v>0.15142866908196043</v>
      </c>
      <c r="D19" s="7">
        <f t="shared" si="5"/>
        <v>0.12364665159872926</v>
      </c>
      <c r="E19" s="7">
        <f t="shared" si="5"/>
        <v>9.5991330353142237E-2</v>
      </c>
      <c r="F19" s="7">
        <f t="shared" si="5"/>
        <v>8.0579367946221725E-2</v>
      </c>
      <c r="G19" s="7">
        <f t="shared" si="5"/>
        <v>7.4636061187488056E-2</v>
      </c>
      <c r="H19" s="7">
        <f t="shared" si="5"/>
        <v>6.4387414863860848E-2</v>
      </c>
      <c r="I19" s="7">
        <f t="shared" si="5"/>
        <v>5.4462121005747779E-2</v>
      </c>
      <c r="J19" s="7">
        <f t="shared" si="5"/>
        <v>6.3372156572219535E-2</v>
      </c>
      <c r="K19" s="7">
        <f t="shared" si="5"/>
        <v>0.11375893176685474</v>
      </c>
      <c r="L19" s="7">
        <f t="shared" si="4"/>
        <v>0.11149992962882402</v>
      </c>
    </row>
    <row r="20" spans="1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 x14ac:dyDescent="0.25">
      <c r="A22" s="15"/>
      <c r="B22" s="16"/>
      <c r="C22" s="16"/>
      <c r="D22" s="16"/>
      <c r="E22" s="16"/>
      <c r="F22" s="16"/>
      <c r="G22" s="16" t="s">
        <v>19</v>
      </c>
      <c r="H22" s="16" t="s">
        <v>66</v>
      </c>
      <c r="I22" s="16" t="s">
        <v>67</v>
      </c>
      <c r="J22" s="16" t="s">
        <v>68</v>
      </c>
      <c r="K22" s="16" t="s">
        <v>69</v>
      </c>
      <c r="L22" s="17" t="s">
        <v>70</v>
      </c>
      <c r="M22" s="17" t="s">
        <v>20</v>
      </c>
      <c r="N22" s="17" t="s">
        <v>21</v>
      </c>
    </row>
    <row r="23" spans="1:14" s="8" customFormat="1" x14ac:dyDescent="0.25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0.13090424763192998</v>
      </c>
      <c r="I23" s="7">
        <f>IF(D4=0,"",POWER($K4/D4,1/7)-1)</f>
        <v>0.14381489119909818</v>
      </c>
      <c r="J23" s="7">
        <f>IF(F4=0,"",POWER($K4/F4,1/5)-1)</f>
        <v>7.3828115618235435E-2</v>
      </c>
      <c r="K23" s="7">
        <f>IF(H4=0,"",POWER($K4/H4, 1/3)-1)</f>
        <v>8.5906972465654263E-2</v>
      </c>
      <c r="L23" s="7">
        <f>IF(ISERROR(MAX(IF(J4=0,"",(K4-J4)/J4),IF(K4=0,"",(L4-K4)/K4))),"",MAX(IF(J4=0,"",(K4-J4)/J4),IF(K4=0,"",(L4-K4)/K4)))</f>
        <v>-1.5885546338915996E-2</v>
      </c>
      <c r="M23" s="22">
        <f>MAX(K23:L23)</f>
        <v>8.5906972465654263E-2</v>
      </c>
      <c r="N23" s="22">
        <f>MIN(H23:L23)</f>
        <v>-1.5885546338915996E-2</v>
      </c>
    </row>
    <row r="24" spans="1:14" x14ac:dyDescent="0.25">
      <c r="G24" s="6" t="s">
        <v>18</v>
      </c>
      <c r="H24" s="7">
        <f>IF(SUM(B4:$K$4)=0,"",SUMPRODUCT(B19:$K$19,B4:$K$4)/SUM(B4:$K$4))</f>
        <v>8.6789941851785707E-2</v>
      </c>
      <c r="I24" s="7">
        <f>IF(SUM(E4:$K$4)=0,"",SUMPRODUCT(E19:$K$19,E4:$K$4)/SUM(E4:$K$4))</f>
        <v>7.7831430224018769E-2</v>
      </c>
      <c r="J24" s="7">
        <f>IF(SUM(G4:$K$4)=0,"",SUMPRODUCT(G19:$K$19,G4:$K$4)/SUM(G4:$K$4))</f>
        <v>7.495278498534505E-2</v>
      </c>
      <c r="K24" s="7">
        <f>IF(SUM(I4:$K$4)=0, "", SUMPRODUCT(I19:$K$19,I4:$K$4)/SUM(I4:$K$4))</f>
        <v>7.7852340490227462E-2</v>
      </c>
      <c r="L24" s="7">
        <f>L19</f>
        <v>0.11149992962882402</v>
      </c>
      <c r="M24" s="22">
        <f>MAX(K24:L24)</f>
        <v>0.11149992962882402</v>
      </c>
      <c r="N24" s="22">
        <f>MIN(H24:L24)</f>
        <v>7.495278498534505E-2</v>
      </c>
    </row>
    <row r="25" spans="1:14" x14ac:dyDescent="0.25">
      <c r="G25" s="6" t="s">
        <v>23</v>
      </c>
      <c r="H25" s="9">
        <f>IF(ISERROR(AVERAGEIF(B14:$L14,"&gt;0")),"",AVERAGEIF(B14:$L14,"&gt;0"))</f>
        <v>5.8732075659983725</v>
      </c>
      <c r="I25" s="9">
        <f>IF(ISERROR(AVERAGEIF(E14:$L14,"&gt;0")),"",AVERAGEIF(E14:$L14,"&gt;0"))</f>
        <v>6.6483357639275003</v>
      </c>
      <c r="J25" s="9">
        <f>IF(ISERROR(AVERAGEIF(G14:$L14,"&gt;0")),"",AVERAGEIF(G14:$L14,"&gt;0"))</f>
        <v>7.3723449374590668</v>
      </c>
      <c r="K25" s="9">
        <f>IF(ISERROR(AVERAGEIF(I14:$L14,"&gt;0")),"",AVERAGEIF(I14:$L14,"&gt;0"))</f>
        <v>6.5450708849033035</v>
      </c>
      <c r="L25" s="9">
        <f>L14</f>
        <v>6.5640708693860716</v>
      </c>
      <c r="M25" s="1">
        <f>MAX(K25:L25)</f>
        <v>6.5640708693860716</v>
      </c>
      <c r="N25" s="1">
        <f>MIN(H25:L25)</f>
        <v>5.8732075659983725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2"/>
  <sheetViews>
    <sheetView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RowHeight="15" x14ac:dyDescent="0.25"/>
  <cols>
    <col min="1" max="1" width="20.7109375" style="6" customWidth="1"/>
    <col min="2" max="11" width="13.5703125" style="6" bestFit="1" customWidth="1"/>
    <col min="12" max="16384" width="9.140625" style="6"/>
  </cols>
  <sheetData>
    <row r="1" spans="1:11" s="8" customFormat="1" x14ac:dyDescent="0.25">
      <c r="A1" s="8" t="str">
        <f>'Profit &amp; Loss'!A1</f>
        <v>COSMO FILMS LTD</v>
      </c>
      <c r="E1" t="str">
        <f>UPDATE</f>
        <v/>
      </c>
      <c r="J1" s="4" t="s">
        <v>1</v>
      </c>
      <c r="K1" s="4"/>
    </row>
    <row r="3" spans="1:11" s="2" customFormat="1" x14ac:dyDescent="0.25">
      <c r="A3" s="15" t="s">
        <v>2</v>
      </c>
      <c r="B3" s="16">
        <f>'Data Sheet'!B41</f>
        <v>41820</v>
      </c>
      <c r="C3" s="16">
        <f>'Data Sheet'!C41</f>
        <v>41912</v>
      </c>
      <c r="D3" s="16">
        <f>'Data Sheet'!D41</f>
        <v>42004</v>
      </c>
      <c r="E3" s="16">
        <f>'Data Sheet'!E41</f>
        <v>42094</v>
      </c>
      <c r="F3" s="16">
        <f>'Data Sheet'!F41</f>
        <v>42185</v>
      </c>
      <c r="G3" s="16">
        <f>'Data Sheet'!G41</f>
        <v>42277</v>
      </c>
      <c r="H3" s="16">
        <f>'Data Sheet'!H41</f>
        <v>42369</v>
      </c>
      <c r="I3" s="16">
        <f>'Data Sheet'!I41</f>
        <v>42460</v>
      </c>
      <c r="J3" s="16">
        <f>'Data Sheet'!J41</f>
        <v>42551</v>
      </c>
      <c r="K3" s="16">
        <f>'Data Sheet'!K41</f>
        <v>42643</v>
      </c>
    </row>
    <row r="4" spans="1:11" s="8" customFormat="1" x14ac:dyDescent="0.25">
      <c r="A4" s="8" t="s">
        <v>6</v>
      </c>
      <c r="B4" s="1">
        <f>'Data Sheet'!B42</f>
        <v>443.45</v>
      </c>
      <c r="C4" s="1">
        <f>'Data Sheet'!C42</f>
        <v>450.66</v>
      </c>
      <c r="D4" s="1">
        <f>'Data Sheet'!D42</f>
        <v>360.99</v>
      </c>
      <c r="E4" s="1">
        <f>'Data Sheet'!E42</f>
        <v>391.68</v>
      </c>
      <c r="F4" s="1">
        <f>'Data Sheet'!F42</f>
        <v>408.94</v>
      </c>
      <c r="G4" s="1">
        <f>'Data Sheet'!G42</f>
        <v>436.08</v>
      </c>
      <c r="H4" s="1">
        <f>'Data Sheet'!H42</f>
        <v>389.26</v>
      </c>
      <c r="I4" s="1">
        <f>'Data Sheet'!I42</f>
        <v>386.36</v>
      </c>
      <c r="J4" s="1">
        <f>'Data Sheet'!J42</f>
        <v>382.53</v>
      </c>
      <c r="K4" s="1">
        <f>'Data Sheet'!K42</f>
        <v>404.99</v>
      </c>
    </row>
    <row r="5" spans="1:11" x14ac:dyDescent="0.25">
      <c r="A5" s="6" t="s">
        <v>7</v>
      </c>
      <c r="B5" s="9">
        <f>'Data Sheet'!B43</f>
        <v>417.95</v>
      </c>
      <c r="C5" s="9">
        <f>'Data Sheet'!C43</f>
        <v>423.87</v>
      </c>
      <c r="D5" s="9">
        <f>'Data Sheet'!D43</f>
        <v>347.2</v>
      </c>
      <c r="E5" s="9">
        <f>'Data Sheet'!E43</f>
        <v>356.95</v>
      </c>
      <c r="F5" s="9">
        <f>'Data Sheet'!F43</f>
        <v>363.01</v>
      </c>
      <c r="G5" s="9">
        <f>'Data Sheet'!G43</f>
        <v>387.47</v>
      </c>
      <c r="H5" s="9">
        <f>'Data Sheet'!H43</f>
        <v>344.88</v>
      </c>
      <c r="I5" s="9">
        <f>'Data Sheet'!I43</f>
        <v>340.92</v>
      </c>
      <c r="J5" s="9">
        <f>'Data Sheet'!J43</f>
        <v>341.35</v>
      </c>
      <c r="K5" s="9">
        <f>'Data Sheet'!K43</f>
        <v>361.7</v>
      </c>
    </row>
    <row r="6" spans="1:11" s="8" customFormat="1" x14ac:dyDescent="0.25">
      <c r="A6" s="8" t="s">
        <v>8</v>
      </c>
      <c r="B6" s="1">
        <f>'Data Sheet'!B50</f>
        <v>25.5</v>
      </c>
      <c r="C6" s="1">
        <f>'Data Sheet'!C50</f>
        <v>26.79</v>
      </c>
      <c r="D6" s="1">
        <f>'Data Sheet'!D50</f>
        <v>13.79</v>
      </c>
      <c r="E6" s="1">
        <f>'Data Sheet'!E50</f>
        <v>34.729999999999997</v>
      </c>
      <c r="F6" s="1">
        <f>'Data Sheet'!F50</f>
        <v>45.93</v>
      </c>
      <c r="G6" s="1">
        <f>'Data Sheet'!G50</f>
        <v>48.61</v>
      </c>
      <c r="H6" s="1">
        <f>'Data Sheet'!H50</f>
        <v>44.38</v>
      </c>
      <c r="I6" s="1">
        <f>'Data Sheet'!I50</f>
        <v>45.44</v>
      </c>
      <c r="J6" s="1">
        <f>'Data Sheet'!J50</f>
        <v>41.18</v>
      </c>
      <c r="K6" s="1">
        <f>'Data Sheet'!K50</f>
        <v>43.29</v>
      </c>
    </row>
    <row r="7" spans="1:11" x14ac:dyDescent="0.25">
      <c r="A7" s="6" t="s">
        <v>9</v>
      </c>
      <c r="B7" s="9">
        <f>'Data Sheet'!B44</f>
        <v>1.45</v>
      </c>
      <c r="C7" s="9">
        <f>'Data Sheet'!C44</f>
        <v>0.32</v>
      </c>
      <c r="D7" s="9">
        <f>'Data Sheet'!D44</f>
        <v>0.67</v>
      </c>
      <c r="E7" s="9">
        <f>'Data Sheet'!E44</f>
        <v>9.4</v>
      </c>
      <c r="F7" s="9">
        <f>'Data Sheet'!F44</f>
        <v>0.7</v>
      </c>
      <c r="G7" s="9">
        <f>'Data Sheet'!G44</f>
        <v>0.82</v>
      </c>
      <c r="H7" s="9">
        <f>'Data Sheet'!H44</f>
        <v>0.54</v>
      </c>
      <c r="I7" s="9">
        <f>'Data Sheet'!I44</f>
        <v>3.48</v>
      </c>
      <c r="J7" s="9">
        <f>'Data Sheet'!J44</f>
        <v>0.5</v>
      </c>
      <c r="K7" s="9">
        <f>'Data Sheet'!K44</f>
        <v>0.85</v>
      </c>
    </row>
    <row r="8" spans="1:11" x14ac:dyDescent="0.25">
      <c r="A8" s="6" t="s">
        <v>10</v>
      </c>
      <c r="B8" s="9">
        <f>'Data Sheet'!B45</f>
        <v>9.0399999999999991</v>
      </c>
      <c r="C8" s="9">
        <f>'Data Sheet'!C45</f>
        <v>8.57</v>
      </c>
      <c r="D8" s="9">
        <f>'Data Sheet'!D45</f>
        <v>8.5</v>
      </c>
      <c r="E8" s="9">
        <f>'Data Sheet'!E45</f>
        <v>8.43</v>
      </c>
      <c r="F8" s="9">
        <f>'Data Sheet'!F45</f>
        <v>8.5500000000000007</v>
      </c>
      <c r="G8" s="9">
        <f>'Data Sheet'!G45</f>
        <v>8.99</v>
      </c>
      <c r="H8" s="9">
        <f>'Data Sheet'!H45</f>
        <v>9.01</v>
      </c>
      <c r="I8" s="9">
        <f>'Data Sheet'!I45</f>
        <v>9.1300000000000008</v>
      </c>
      <c r="J8" s="9">
        <f>'Data Sheet'!J45</f>
        <v>9.44</v>
      </c>
      <c r="K8" s="9">
        <f>'Data Sheet'!K45</f>
        <v>9.64</v>
      </c>
    </row>
    <row r="9" spans="1:11" x14ac:dyDescent="0.25">
      <c r="A9" s="6" t="s">
        <v>11</v>
      </c>
      <c r="B9" s="9">
        <f>'Data Sheet'!B46</f>
        <v>10</v>
      </c>
      <c r="C9" s="9">
        <f>'Data Sheet'!C46</f>
        <v>9.58</v>
      </c>
      <c r="D9" s="9">
        <f>'Data Sheet'!D46</f>
        <v>9.66</v>
      </c>
      <c r="E9" s="9">
        <f>'Data Sheet'!E46</f>
        <v>10.64</v>
      </c>
      <c r="F9" s="9">
        <f>'Data Sheet'!F46</f>
        <v>8.01</v>
      </c>
      <c r="G9" s="9">
        <f>'Data Sheet'!G46</f>
        <v>7.51</v>
      </c>
      <c r="H9" s="9">
        <f>'Data Sheet'!H46</f>
        <v>7.06</v>
      </c>
      <c r="I9" s="9">
        <f>'Data Sheet'!I46</f>
        <v>7.61</v>
      </c>
      <c r="J9" s="9">
        <f>'Data Sheet'!J46</f>
        <v>7.59</v>
      </c>
      <c r="K9" s="9">
        <f>'Data Sheet'!K46</f>
        <v>7.86</v>
      </c>
    </row>
    <row r="10" spans="1:11" x14ac:dyDescent="0.25">
      <c r="A10" s="6" t="s">
        <v>12</v>
      </c>
      <c r="B10" s="9">
        <f>'Data Sheet'!B47</f>
        <v>7.91</v>
      </c>
      <c r="C10" s="9">
        <f>'Data Sheet'!C47</f>
        <v>8.9600000000000009</v>
      </c>
      <c r="D10" s="9">
        <f>'Data Sheet'!D47</f>
        <v>-3.7</v>
      </c>
      <c r="E10" s="9">
        <f>'Data Sheet'!E47</f>
        <v>25.06</v>
      </c>
      <c r="F10" s="9">
        <f>'Data Sheet'!F47</f>
        <v>30.07</v>
      </c>
      <c r="G10" s="9">
        <f>'Data Sheet'!G47</f>
        <v>32.93</v>
      </c>
      <c r="H10" s="9">
        <f>'Data Sheet'!H47</f>
        <v>28.85</v>
      </c>
      <c r="I10" s="9">
        <f>'Data Sheet'!I47</f>
        <v>32.18</v>
      </c>
      <c r="J10" s="9">
        <f>'Data Sheet'!J47</f>
        <v>24.65</v>
      </c>
      <c r="K10" s="9">
        <f>'Data Sheet'!K47</f>
        <v>26.64</v>
      </c>
    </row>
    <row r="11" spans="1:11" x14ac:dyDescent="0.25">
      <c r="A11" s="6" t="s">
        <v>13</v>
      </c>
      <c r="B11" s="9">
        <f>'Data Sheet'!B48</f>
        <v>4.01</v>
      </c>
      <c r="C11" s="9">
        <f>'Data Sheet'!C48</f>
        <v>4.5199999999999996</v>
      </c>
      <c r="D11" s="9">
        <f>'Data Sheet'!D48</f>
        <v>-8.7100000000000009</v>
      </c>
      <c r="E11" s="9">
        <f>'Data Sheet'!E48</f>
        <v>10.74</v>
      </c>
      <c r="F11" s="9">
        <f>'Data Sheet'!F48</f>
        <v>11.65</v>
      </c>
      <c r="G11" s="9">
        <f>'Data Sheet'!G48</f>
        <v>12.15</v>
      </c>
      <c r="H11" s="9">
        <f>'Data Sheet'!H48</f>
        <v>-4.08</v>
      </c>
      <c r="I11" s="9">
        <f>'Data Sheet'!I48</f>
        <v>8.07</v>
      </c>
      <c r="J11" s="9">
        <f>'Data Sheet'!J48</f>
        <v>5.73</v>
      </c>
      <c r="K11" s="9">
        <f>'Data Sheet'!K48</f>
        <v>5.52</v>
      </c>
    </row>
    <row r="12" spans="1:11" s="8" customFormat="1" x14ac:dyDescent="0.25">
      <c r="A12" s="8" t="s">
        <v>14</v>
      </c>
      <c r="B12" s="1">
        <f>'Data Sheet'!B49</f>
        <v>3.9</v>
      </c>
      <c r="C12" s="1">
        <f>'Data Sheet'!C49</f>
        <v>4.4400000000000004</v>
      </c>
      <c r="D12" s="1">
        <f>'Data Sheet'!D49</f>
        <v>5.01</v>
      </c>
      <c r="E12" s="1">
        <f>'Data Sheet'!E49</f>
        <v>14.32</v>
      </c>
      <c r="F12" s="1">
        <f>'Data Sheet'!F49</f>
        <v>18.420000000000002</v>
      </c>
      <c r="G12" s="1">
        <f>'Data Sheet'!G49</f>
        <v>20.78</v>
      </c>
      <c r="H12" s="1">
        <f>'Data Sheet'!H49</f>
        <v>32.93</v>
      </c>
      <c r="I12" s="1">
        <f>'Data Sheet'!I49</f>
        <v>24.11</v>
      </c>
      <c r="J12" s="1">
        <f>'Data Sheet'!J49</f>
        <v>18.920000000000002</v>
      </c>
      <c r="K12" s="1">
        <f>'Data Sheet'!K49</f>
        <v>21.12</v>
      </c>
    </row>
    <row r="14" spans="1:11" s="8" customFormat="1" x14ac:dyDescent="0.25">
      <c r="A14" s="2" t="s">
        <v>18</v>
      </c>
      <c r="B14" s="14">
        <f>IF(B4&gt;0,B6/B4,"")</f>
        <v>5.75036644492051E-2</v>
      </c>
      <c r="C14" s="14">
        <f t="shared" ref="C14:K14" si="0">IF(C4&gt;0,C6/C4,"")</f>
        <v>5.9446145653042202E-2</v>
      </c>
      <c r="D14" s="14">
        <f t="shared" si="0"/>
        <v>3.820050416909055E-2</v>
      </c>
      <c r="E14" s="14">
        <f t="shared" si="0"/>
        <v>8.8669321895424827E-2</v>
      </c>
      <c r="F14" s="14">
        <f t="shared" si="0"/>
        <v>0.11231476500220081</v>
      </c>
      <c r="G14" s="14">
        <f t="shared" si="0"/>
        <v>0.11147037240873235</v>
      </c>
      <c r="H14" s="14">
        <f t="shared" si="0"/>
        <v>0.1140112007398654</v>
      </c>
      <c r="I14" s="14">
        <f t="shared" si="0"/>
        <v>0.1176105186872347</v>
      </c>
      <c r="J14" s="14">
        <f t="shared" si="0"/>
        <v>0.10765168744935039</v>
      </c>
      <c r="K14" s="14">
        <f t="shared" si="0"/>
        <v>0.10689152818588113</v>
      </c>
    </row>
    <row r="22" s="30" customFormat="1" x14ac:dyDescent="0.25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5"/>
  <sheetViews>
    <sheetView workbookViewId="0">
      <pane xSplit="1" ySplit="3" topLeftCell="B5" activePane="bottomRight" state="frozen"/>
      <selection activeCell="C4" sqref="C4"/>
      <selection pane="topRight" activeCell="C4" sqref="C4"/>
      <selection pane="bottomLeft" activeCell="C4" sqref="C4"/>
      <selection pane="bottomRight" activeCell="C24" sqref="C24"/>
    </sheetView>
  </sheetViews>
  <sheetFormatPr defaultRowHeight="15" x14ac:dyDescent="0.25"/>
  <cols>
    <col min="1" max="1" width="22.85546875" style="11" bestFit="1" customWidth="1"/>
    <col min="2" max="2" width="13.5703125" style="11" customWidth="1"/>
    <col min="3" max="11" width="15.5703125" style="11" customWidth="1"/>
    <col min="12" max="16384" width="9.140625" style="11"/>
  </cols>
  <sheetData>
    <row r="1" spans="1:11" s="8" customFormat="1" x14ac:dyDescent="0.25">
      <c r="A1" s="8" t="str">
        <f>'Profit &amp; Loss'!A1</f>
        <v>COSMO FILMS LTD</v>
      </c>
      <c r="E1" t="str">
        <f>UPDATE</f>
        <v/>
      </c>
      <c r="G1"/>
      <c r="J1" s="4" t="s">
        <v>1</v>
      </c>
      <c r="K1" s="4"/>
    </row>
    <row r="2" spans="1:11" x14ac:dyDescent="0.25">
      <c r="G2" s="8"/>
      <c r="H2" s="8"/>
    </row>
    <row r="3" spans="1:11" s="18" customFormat="1" x14ac:dyDescent="0.25">
      <c r="A3" s="15" t="s">
        <v>2</v>
      </c>
      <c r="B3" s="16">
        <f>'Data Sheet'!B56</f>
        <v>39172</v>
      </c>
      <c r="C3" s="16">
        <f>'Data Sheet'!C56</f>
        <v>39538</v>
      </c>
      <c r="D3" s="16">
        <f>'Data Sheet'!D56</f>
        <v>39903</v>
      </c>
      <c r="E3" s="16">
        <f>'Data Sheet'!E56</f>
        <v>40268</v>
      </c>
      <c r="F3" s="16">
        <f>'Data Sheet'!F56</f>
        <v>40633</v>
      </c>
      <c r="G3" s="16">
        <f>'Data Sheet'!G56</f>
        <v>40999</v>
      </c>
      <c r="H3" s="16">
        <f>'Data Sheet'!H56</f>
        <v>41364</v>
      </c>
      <c r="I3" s="16">
        <f>'Data Sheet'!I56</f>
        <v>41729</v>
      </c>
      <c r="J3" s="16">
        <f>'Data Sheet'!J56</f>
        <v>42094</v>
      </c>
      <c r="K3" s="16">
        <f>'Data Sheet'!K56</f>
        <v>42460</v>
      </c>
    </row>
    <row r="4" spans="1:11" x14ac:dyDescent="0.25">
      <c r="A4" s="6" t="s">
        <v>24</v>
      </c>
      <c r="B4" s="19">
        <f>'Data Sheet'!B57</f>
        <v>19.440000000000001</v>
      </c>
      <c r="C4" s="19">
        <f>'Data Sheet'!C57</f>
        <v>19.440000000000001</v>
      </c>
      <c r="D4" s="19">
        <f>'Data Sheet'!D57</f>
        <v>19.440000000000001</v>
      </c>
      <c r="E4" s="19">
        <f>'Data Sheet'!E57</f>
        <v>19.440000000000001</v>
      </c>
      <c r="F4" s="19">
        <f>'Data Sheet'!F57</f>
        <v>19.440000000000001</v>
      </c>
      <c r="G4" s="19">
        <f>'Data Sheet'!G57</f>
        <v>19.440000000000001</v>
      </c>
      <c r="H4" s="19">
        <f>'Data Sheet'!H57</f>
        <v>19.440000000000001</v>
      </c>
      <c r="I4" s="19">
        <f>'Data Sheet'!I57</f>
        <v>19.440000000000001</v>
      </c>
      <c r="J4" s="19">
        <f>'Data Sheet'!J57</f>
        <v>19.440000000000001</v>
      </c>
      <c r="K4" s="19">
        <f>'Data Sheet'!K57</f>
        <v>19.440000000000001</v>
      </c>
    </row>
    <row r="5" spans="1:11" s="6" customFormat="1" x14ac:dyDescent="0.25">
      <c r="A5" s="6" t="s">
        <v>25</v>
      </c>
      <c r="B5" s="19">
        <f>'Data Sheet'!B58</f>
        <v>131.59</v>
      </c>
      <c r="C5" s="19">
        <f>'Data Sheet'!C58</f>
        <v>164.15</v>
      </c>
      <c r="D5" s="19">
        <f>'Data Sheet'!D58</f>
        <v>226.32</v>
      </c>
      <c r="E5" s="19">
        <f>'Data Sheet'!E58</f>
        <v>272.72000000000003</v>
      </c>
      <c r="F5" s="19">
        <f>'Data Sheet'!F58</f>
        <v>300.66000000000003</v>
      </c>
      <c r="G5" s="19">
        <f>'Data Sheet'!G58</f>
        <v>315.39999999999998</v>
      </c>
      <c r="H5" s="19">
        <f>'Data Sheet'!H58</f>
        <v>327.10000000000002</v>
      </c>
      <c r="I5" s="19">
        <f>'Data Sheet'!I58</f>
        <v>340.54</v>
      </c>
      <c r="J5" s="19">
        <f>'Data Sheet'!J58</f>
        <v>361.18</v>
      </c>
      <c r="K5" s="19">
        <f>'Data Sheet'!K58</f>
        <v>436.83</v>
      </c>
    </row>
    <row r="6" spans="1:11" x14ac:dyDescent="0.25">
      <c r="A6" s="11" t="s">
        <v>72</v>
      </c>
      <c r="B6" s="19">
        <f>'Data Sheet'!B59</f>
        <v>172.92</v>
      </c>
      <c r="C6" s="19">
        <f>'Data Sheet'!C59</f>
        <v>150.5</v>
      </c>
      <c r="D6" s="19">
        <f>'Data Sheet'!D59</f>
        <v>266.37</v>
      </c>
      <c r="E6" s="19">
        <f>'Data Sheet'!E59</f>
        <v>356.39</v>
      </c>
      <c r="F6" s="19">
        <f>'Data Sheet'!F59</f>
        <v>402.78</v>
      </c>
      <c r="G6" s="19">
        <f>'Data Sheet'!G59</f>
        <v>429.19</v>
      </c>
      <c r="H6" s="19">
        <f>'Data Sheet'!H59</f>
        <v>509.07</v>
      </c>
      <c r="I6" s="19">
        <f>'Data Sheet'!I59</f>
        <v>586.88</v>
      </c>
      <c r="J6" s="19">
        <f>'Data Sheet'!J59</f>
        <v>489.75</v>
      </c>
      <c r="K6" s="19">
        <f>'Data Sheet'!K59</f>
        <v>422.39</v>
      </c>
    </row>
    <row r="7" spans="1:11" s="6" customFormat="1" x14ac:dyDescent="0.25">
      <c r="A7" s="11" t="s">
        <v>73</v>
      </c>
      <c r="B7" s="19">
        <f>'Data Sheet'!B60</f>
        <v>88.75</v>
      </c>
      <c r="C7" s="19">
        <f>'Data Sheet'!C60</f>
        <v>115.05</v>
      </c>
      <c r="D7" s="19">
        <f>'Data Sheet'!D60</f>
        <v>140.86000000000001</v>
      </c>
      <c r="E7" s="19">
        <f>'Data Sheet'!E60</f>
        <v>189.63</v>
      </c>
      <c r="F7" s="19">
        <f>'Data Sheet'!F60</f>
        <v>194.19</v>
      </c>
      <c r="G7" s="19">
        <f>'Data Sheet'!G60</f>
        <v>200.58</v>
      </c>
      <c r="H7" s="19">
        <f>'Data Sheet'!H60</f>
        <v>204.26</v>
      </c>
      <c r="I7" s="19">
        <f>'Data Sheet'!I60</f>
        <v>251.67</v>
      </c>
      <c r="J7" s="19">
        <f>'Data Sheet'!J60</f>
        <v>255.16</v>
      </c>
      <c r="K7" s="19">
        <f>'Data Sheet'!K60</f>
        <v>299.27999999999997</v>
      </c>
    </row>
    <row r="8" spans="1:11" s="8" customFormat="1" x14ac:dyDescent="0.25">
      <c r="A8" s="8" t="s">
        <v>26</v>
      </c>
      <c r="B8" s="20">
        <f>'Data Sheet'!B61</f>
        <v>412.7</v>
      </c>
      <c r="C8" s="20">
        <f>'Data Sheet'!C61</f>
        <v>449.14</v>
      </c>
      <c r="D8" s="20">
        <f>'Data Sheet'!D61</f>
        <v>652.99</v>
      </c>
      <c r="E8" s="20">
        <f>'Data Sheet'!E61</f>
        <v>838.18</v>
      </c>
      <c r="F8" s="20">
        <f>'Data Sheet'!F61</f>
        <v>917.07</v>
      </c>
      <c r="G8" s="20">
        <f>'Data Sheet'!G61</f>
        <v>964.61</v>
      </c>
      <c r="H8" s="20">
        <f>'Data Sheet'!H61</f>
        <v>1059.8699999999999</v>
      </c>
      <c r="I8" s="20">
        <f>'Data Sheet'!I61</f>
        <v>1198.53</v>
      </c>
      <c r="J8" s="20">
        <f>'Data Sheet'!J61</f>
        <v>1125.53</v>
      </c>
      <c r="K8" s="20">
        <f>'Data Sheet'!K61</f>
        <v>1177.94</v>
      </c>
    </row>
    <row r="9" spans="1:11" s="8" customForma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6" t="s">
        <v>27</v>
      </c>
      <c r="B10" s="19">
        <f>'Data Sheet'!B62</f>
        <v>201.95</v>
      </c>
      <c r="C10" s="19">
        <f>'Data Sheet'!C62</f>
        <v>203.48</v>
      </c>
      <c r="D10" s="19">
        <f>'Data Sheet'!D62</f>
        <v>415.24</v>
      </c>
      <c r="E10" s="19">
        <f>'Data Sheet'!E62</f>
        <v>437.2</v>
      </c>
      <c r="F10" s="19">
        <f>'Data Sheet'!F62</f>
        <v>421.69</v>
      </c>
      <c r="G10" s="19">
        <f>'Data Sheet'!G62</f>
        <v>448.66</v>
      </c>
      <c r="H10" s="19">
        <f>'Data Sheet'!H62</f>
        <v>439.43</v>
      </c>
      <c r="I10" s="19">
        <f>'Data Sheet'!I62</f>
        <v>636.97</v>
      </c>
      <c r="J10" s="19">
        <f>'Data Sheet'!J62</f>
        <v>595.46</v>
      </c>
      <c r="K10" s="19">
        <f>'Data Sheet'!K62</f>
        <v>647.24</v>
      </c>
    </row>
    <row r="11" spans="1:11" x14ac:dyDescent="0.25">
      <c r="A11" s="6" t="s">
        <v>28</v>
      </c>
      <c r="B11" s="19">
        <f>'Data Sheet'!B63</f>
        <v>13.84</v>
      </c>
      <c r="C11" s="19">
        <f>'Data Sheet'!C63</f>
        <v>11.4</v>
      </c>
      <c r="D11" s="19">
        <f>'Data Sheet'!D63</f>
        <v>0.75</v>
      </c>
      <c r="E11" s="19">
        <f>'Data Sheet'!E63</f>
        <v>1.9</v>
      </c>
      <c r="F11" s="19">
        <f>'Data Sheet'!F63</f>
        <v>7.75</v>
      </c>
      <c r="G11" s="19">
        <f>'Data Sheet'!G63</f>
        <v>4.0199999999999996</v>
      </c>
      <c r="H11" s="19">
        <f>'Data Sheet'!H63</f>
        <v>157.69999999999999</v>
      </c>
      <c r="I11" s="19">
        <f>'Data Sheet'!I63</f>
        <v>1.58</v>
      </c>
      <c r="J11" s="19">
        <f>'Data Sheet'!J63</f>
        <v>14.04</v>
      </c>
      <c r="K11" s="19">
        <f>'Data Sheet'!K63</f>
        <v>12.03</v>
      </c>
    </row>
    <row r="12" spans="1:11" x14ac:dyDescent="0.25">
      <c r="A12" s="6" t="s">
        <v>29</v>
      </c>
      <c r="B12" s="19">
        <f>'Data Sheet'!B64</f>
        <v>8.2899999999999991</v>
      </c>
      <c r="C12" s="19">
        <f>'Data Sheet'!C64</f>
        <v>8.4600000000000009</v>
      </c>
      <c r="D12" s="19">
        <f>'Data Sheet'!D64</f>
        <v>7.83</v>
      </c>
      <c r="E12" s="19">
        <f>'Data Sheet'!E64</f>
        <v>8.89</v>
      </c>
      <c r="F12" s="19">
        <f>'Data Sheet'!F64</f>
        <v>0</v>
      </c>
      <c r="G12" s="19">
        <f>'Data Sheet'!G64</f>
        <v>11.82</v>
      </c>
      <c r="H12" s="19">
        <f>'Data Sheet'!H64</f>
        <v>4.21</v>
      </c>
      <c r="I12" s="19">
        <f>'Data Sheet'!I64</f>
        <v>29.6</v>
      </c>
      <c r="J12" s="19">
        <f>'Data Sheet'!J64</f>
        <v>35.53</v>
      </c>
      <c r="K12" s="19">
        <f>'Data Sheet'!K64</f>
        <v>30.8</v>
      </c>
    </row>
    <row r="13" spans="1:11" x14ac:dyDescent="0.25">
      <c r="A13" s="11" t="s">
        <v>74</v>
      </c>
      <c r="B13" s="19">
        <f>'Data Sheet'!B65</f>
        <v>188.62</v>
      </c>
      <c r="C13" s="19">
        <f>'Data Sheet'!C65</f>
        <v>225.8</v>
      </c>
      <c r="D13" s="19">
        <f>'Data Sheet'!D65</f>
        <v>229.17</v>
      </c>
      <c r="E13" s="19">
        <f>'Data Sheet'!E65</f>
        <v>390.19</v>
      </c>
      <c r="F13" s="19">
        <f>'Data Sheet'!F65</f>
        <v>487.63</v>
      </c>
      <c r="G13" s="19">
        <f>'Data Sheet'!G65</f>
        <v>500.11</v>
      </c>
      <c r="H13" s="19">
        <f>'Data Sheet'!H65</f>
        <v>458.53</v>
      </c>
      <c r="I13" s="19">
        <f>'Data Sheet'!I65</f>
        <v>530.38</v>
      </c>
      <c r="J13" s="19">
        <f>'Data Sheet'!J65</f>
        <v>480.5</v>
      </c>
      <c r="K13" s="19">
        <f>'Data Sheet'!K65</f>
        <v>487.87</v>
      </c>
    </row>
    <row r="14" spans="1:11" s="8" customFormat="1" x14ac:dyDescent="0.25">
      <c r="A14" s="8" t="s">
        <v>26</v>
      </c>
      <c r="B14" s="19">
        <f>'Data Sheet'!B66</f>
        <v>412.7</v>
      </c>
      <c r="C14" s="19">
        <f>'Data Sheet'!C66</f>
        <v>449.14</v>
      </c>
      <c r="D14" s="19">
        <f>'Data Sheet'!D66</f>
        <v>652.99</v>
      </c>
      <c r="E14" s="19">
        <f>'Data Sheet'!E66</f>
        <v>838.18</v>
      </c>
      <c r="F14" s="19">
        <f>'Data Sheet'!F66</f>
        <v>917.07</v>
      </c>
      <c r="G14" s="19">
        <f>'Data Sheet'!G66</f>
        <v>964.61</v>
      </c>
      <c r="H14" s="19">
        <f>'Data Sheet'!H66</f>
        <v>1059.8699999999999</v>
      </c>
      <c r="I14" s="19">
        <f>'Data Sheet'!I66</f>
        <v>1198.53</v>
      </c>
      <c r="J14" s="19">
        <f>'Data Sheet'!J66</f>
        <v>1125.53</v>
      </c>
      <c r="K14" s="19">
        <f>'Data Sheet'!K66</f>
        <v>1177.94</v>
      </c>
    </row>
    <row r="15" spans="1:11" x14ac:dyDescent="0.2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9" t="s">
        <v>30</v>
      </c>
      <c r="B16" s="21">
        <f>B13-B7</f>
        <v>99.87</v>
      </c>
      <c r="C16" s="21">
        <f t="shared" ref="C16:K16" si="0">C13-C7</f>
        <v>110.75000000000001</v>
      </c>
      <c r="D16" s="21">
        <f t="shared" si="0"/>
        <v>88.309999999999974</v>
      </c>
      <c r="E16" s="21">
        <f t="shared" si="0"/>
        <v>200.56</v>
      </c>
      <c r="F16" s="21">
        <f t="shared" si="0"/>
        <v>293.44</v>
      </c>
      <c r="G16" s="21">
        <f t="shared" si="0"/>
        <v>299.52999999999997</v>
      </c>
      <c r="H16" s="21">
        <f t="shared" si="0"/>
        <v>254.26999999999998</v>
      </c>
      <c r="I16" s="21">
        <f t="shared" si="0"/>
        <v>278.71000000000004</v>
      </c>
      <c r="J16" s="21">
        <f t="shared" si="0"/>
        <v>225.34</v>
      </c>
      <c r="K16" s="21">
        <f t="shared" si="0"/>
        <v>188.59000000000003</v>
      </c>
    </row>
    <row r="17" spans="1:11" x14ac:dyDescent="0.25">
      <c r="A17" s="11" t="s">
        <v>44</v>
      </c>
      <c r="B17" s="21">
        <f>'Data Sheet'!B67</f>
        <v>83.56</v>
      </c>
      <c r="C17" s="21">
        <f>'Data Sheet'!C67</f>
        <v>93.28</v>
      </c>
      <c r="D17" s="21">
        <f>'Data Sheet'!D67</f>
        <v>51.72</v>
      </c>
      <c r="E17" s="21">
        <f>'Data Sheet'!E67</f>
        <v>146.76</v>
      </c>
      <c r="F17" s="21">
        <f>'Data Sheet'!F67</f>
        <v>169.65</v>
      </c>
      <c r="G17" s="21">
        <f>'Data Sheet'!G67</f>
        <v>130.80000000000001</v>
      </c>
      <c r="H17" s="21">
        <f>'Data Sheet'!H67</f>
        <v>128.78</v>
      </c>
      <c r="I17" s="21">
        <f>'Data Sheet'!I67</f>
        <v>138.26</v>
      </c>
      <c r="J17" s="21">
        <f>'Data Sheet'!J67</f>
        <v>121.95</v>
      </c>
      <c r="K17" s="21">
        <f>'Data Sheet'!K67</f>
        <v>117.44</v>
      </c>
    </row>
    <row r="18" spans="1:11" x14ac:dyDescent="0.25">
      <c r="A18" s="11" t="s">
        <v>45</v>
      </c>
      <c r="B18" s="21">
        <f>'Data Sheet'!B68</f>
        <v>55.96</v>
      </c>
      <c r="C18" s="21">
        <f>'Data Sheet'!C68</f>
        <v>70.430000000000007</v>
      </c>
      <c r="D18" s="21">
        <f>'Data Sheet'!D68</f>
        <v>85.57</v>
      </c>
      <c r="E18" s="21">
        <f>'Data Sheet'!E68</f>
        <v>134.88999999999999</v>
      </c>
      <c r="F18" s="21">
        <f>'Data Sheet'!F68</f>
        <v>162.05000000000001</v>
      </c>
      <c r="G18" s="21">
        <f>'Data Sheet'!G68</f>
        <v>173.95</v>
      </c>
      <c r="H18" s="21">
        <f>'Data Sheet'!H68</f>
        <v>151.33000000000001</v>
      </c>
      <c r="I18" s="21">
        <f>'Data Sheet'!I68</f>
        <v>202.44</v>
      </c>
      <c r="J18" s="21">
        <f>'Data Sheet'!J68</f>
        <v>179.54</v>
      </c>
      <c r="K18" s="21">
        <f>'Data Sheet'!K68</f>
        <v>172.04</v>
      </c>
    </row>
    <row r="20" spans="1:11" x14ac:dyDescent="0.25">
      <c r="A20" s="11" t="s">
        <v>46</v>
      </c>
      <c r="B20" s="5">
        <f>IF('Profit &amp; Loss'!B4&gt;0,'Balance Sheet'!B17/('Profit &amp; Loss'!B4/365),0)</f>
        <v>56.943298295401505</v>
      </c>
      <c r="C20" s="5">
        <f>IF('Profit &amp; Loss'!C4&gt;0,'Balance Sheet'!C17/('Profit &amp; Loss'!C4/365),0)</f>
        <v>58.184428190580356</v>
      </c>
      <c r="D20" s="5">
        <f>IF('Profit &amp; Loss'!D4&gt;0,'Balance Sheet'!D17/('Profit &amp; Loss'!D4/365),0)</f>
        <v>29.837361108915896</v>
      </c>
      <c r="E20" s="5">
        <f>IF('Profit &amp; Loss'!E4&gt;0,'Balance Sheet'!E17/('Profit &amp; Loss'!E4/365),0)</f>
        <v>55.818562630904374</v>
      </c>
      <c r="F20" s="5">
        <f>IF('Profit &amp; Loss'!F4&gt;0,'Balance Sheet'!F17/('Profit &amp; Loss'!F4/365),0)</f>
        <v>54.555606459741156</v>
      </c>
      <c r="G20" s="5">
        <f>IF('Profit &amp; Loss'!G4&gt;0,'Balance Sheet'!G17/('Profit &amp; Loss'!G4/365),0)</f>
        <v>42.019750391663294</v>
      </c>
      <c r="H20" s="5">
        <f>IF('Profit &amp; Loss'!H4&gt;0,'Balance Sheet'!H17/('Profit &amp; Loss'!H4/365),0)</f>
        <v>37.139662773976397</v>
      </c>
      <c r="I20" s="5">
        <f>IF('Profit &amp; Loss'!I4&gt;0,'Balance Sheet'!I17/('Profit &amp; Loss'!I4/365),0)</f>
        <v>34.368206706802148</v>
      </c>
      <c r="J20" s="5">
        <f>IF('Profit &amp; Loss'!J4&gt;0,'Balance Sheet'!J17/('Profit &amp; Loss'!J4/365),0)</f>
        <v>27.029566790949612</v>
      </c>
      <c r="K20" s="5">
        <f>IF('Profit &amp; Loss'!K4&gt;0,'Balance Sheet'!K17/('Profit &amp; Loss'!K4/365),0)</f>
        <v>26.450124026607099</v>
      </c>
    </row>
    <row r="21" spans="1:11" x14ac:dyDescent="0.25">
      <c r="A21" s="11" t="s">
        <v>47</v>
      </c>
      <c r="B21" s="5">
        <f>IF('Balance Sheet'!B18&gt;0,'Profit &amp; Loss'!B4/'Balance Sheet'!B18,0)</f>
        <v>9.5713009292351678</v>
      </c>
      <c r="C21" s="5">
        <f>IF('Balance Sheet'!C18&gt;0,'Profit &amp; Loss'!C4/'Balance Sheet'!C18,0)</f>
        <v>8.3083913105210829</v>
      </c>
      <c r="D21" s="5">
        <f>IF('Balance Sheet'!D18&gt;0,'Profit &amp; Loss'!D4/'Balance Sheet'!D18,0)</f>
        <v>7.3938296131821915</v>
      </c>
      <c r="E21" s="5">
        <f>IF('Balance Sheet'!E18&gt;0,'Profit &amp; Loss'!E4/'Balance Sheet'!E18,0)</f>
        <v>7.1144636370375869</v>
      </c>
      <c r="F21" s="5">
        <f>IF('Balance Sheet'!F18&gt;0,'Profit &amp; Loss'!F4/'Balance Sheet'!F18,0)</f>
        <v>7.0041962357297125</v>
      </c>
      <c r="G21" s="5">
        <f>IF('Balance Sheet'!G18&gt;0,'Profit &amp; Loss'!G4/'Balance Sheet'!G18,0)</f>
        <v>6.531647025007187</v>
      </c>
      <c r="H21" s="5">
        <f>IF('Balance Sheet'!H18&gt;0,'Profit &amp; Loss'!H4/'Balance Sheet'!H18,0)</f>
        <v>8.3633119672239467</v>
      </c>
      <c r="I21" s="5">
        <f>IF('Balance Sheet'!I18&gt;0,'Profit &amp; Loss'!I4/'Balance Sheet'!I18,0)</f>
        <v>7.2533096226042284</v>
      </c>
      <c r="J21" s="5">
        <f>IF('Balance Sheet'!J18&gt;0,'Profit &amp; Loss'!J4/'Balance Sheet'!J18,0)</f>
        <v>9.1722178901637523</v>
      </c>
      <c r="K21" s="5">
        <f>IF('Balance Sheet'!K18&gt;0,'Profit &amp; Loss'!K4/'Balance Sheet'!K18,0)</f>
        <v>9.4200186003255055</v>
      </c>
    </row>
    <row r="23" spans="1:11" s="8" customFormat="1" x14ac:dyDescent="0.25">
      <c r="A23" s="8" t="s">
        <v>60</v>
      </c>
      <c r="B23" s="14">
        <f>IF(SUM('Balance Sheet'!B4:B5)&gt;0,'Profit &amp; Loss'!B12/SUM('Balance Sheet'!B4:B5),"")</f>
        <v>0.17102562404820232</v>
      </c>
      <c r="C23" s="14">
        <f>IF(SUM('Balance Sheet'!C4:C5)&gt;0,'Profit &amp; Loss'!C12/SUM('Balance Sheet'!C4:C5),"")</f>
        <v>0.24064491530039761</v>
      </c>
      <c r="D23" s="14">
        <f>IF(SUM('Balance Sheet'!D4:D5)&gt;0,'Profit &amp; Loss'!D12/SUM('Balance Sheet'!D4:D5),"")</f>
        <v>0.301513671875</v>
      </c>
      <c r="E23" s="14">
        <f>IF(SUM('Balance Sheet'!E4:E5)&gt;0,'Profit &amp; Loss'!E12/SUM('Balance Sheet'!E4:E5),"")</f>
        <v>0.21727820372398682</v>
      </c>
      <c r="F23" s="14">
        <f>IF(SUM('Balance Sheet'!F4:F5)&gt;0,'Profit &amp; Loss'!F12/SUM('Balance Sheet'!F4:F5),"")</f>
        <v>0.10859106529209621</v>
      </c>
      <c r="G23" s="14">
        <f>IF(SUM('Balance Sheet'!G4:G5)&gt;0,'Profit &amp; Loss'!G12/SUM('Balance Sheet'!G4:G5),"")</f>
        <v>9.4134512005734083E-2</v>
      </c>
      <c r="H23" s="14">
        <f>IF(SUM('Balance Sheet'!H4:H5)&gt;0,'Profit &amp; Loss'!H12/SUM('Balance Sheet'!H4:H5),"")</f>
        <v>3.2694638425578577E-2</v>
      </c>
      <c r="I23" s="14">
        <f>IF(SUM('Balance Sheet'!I4:I5)&gt;0,'Profit &amp; Loss'!I12/SUM('Balance Sheet'!I4:I5),"")</f>
        <v>-1.5278626590366131E-2</v>
      </c>
      <c r="J23" s="14">
        <f>IF(SUM('Balance Sheet'!J4:J5)&gt;0,'Profit &amp; Loss'!J12/SUM('Balance Sheet'!J4:J5),"")</f>
        <v>7.2670905364930899E-2</v>
      </c>
      <c r="K23" s="14">
        <f>IF(SUM('Balance Sheet'!K4:K5)&gt;0,'Profit &amp; Loss'!K12/SUM('Balance Sheet'!K4:K5),"")</f>
        <v>0.21092774015385626</v>
      </c>
    </row>
    <row r="24" spans="1:11" s="8" customFormat="1" x14ac:dyDescent="0.25">
      <c r="A24" s="8" t="s">
        <v>61</v>
      </c>
      <c r="B24" s="14">
        <f>IF(('Balance Sheet'!B10+'Balance Sheet'!B16)&gt;0,('Profit &amp; Loss'!B6-'Profit &amp; Loss'!B8-'Profit &amp; Loss'!B11)/('Balance Sheet'!B10+'Balance Sheet'!B16),"")</f>
        <v>0.12089987409714405</v>
      </c>
      <c r="C24" s="14">
        <f>IF(('Balance Sheet'!C10+'Balance Sheet'!C16)&gt;0,('Profit &amp; Loss'!C6-'Profit &amp; Loss'!C8-'Profit &amp; Loss'!C11)/('Balance Sheet'!C10+'Balance Sheet'!C16),"")</f>
        <v>0.14934920281322581</v>
      </c>
      <c r="D24" s="14">
        <f>IF(('Balance Sheet'!D10+'Balance Sheet'!D16)&gt;0,('Profit &amp; Loss'!D6-'Profit &amp; Loss'!D8-'Profit &amp; Loss'!D11)/('Balance Sheet'!D10+'Balance Sheet'!D16),"")</f>
        <v>0.16284380895640954</v>
      </c>
      <c r="E24" s="14">
        <f>IF(('Balance Sheet'!E10+'Balance Sheet'!E16)&gt;0,('Profit &amp; Loss'!E6-'Profit &amp; Loss'!E8-'Profit &amp; Loss'!E11)/('Balance Sheet'!E10+'Balance Sheet'!E16),"")</f>
        <v>6.7392122428499762E-2</v>
      </c>
      <c r="F24" s="14">
        <f>IF(('Balance Sheet'!F10+'Balance Sheet'!F16)&gt;0,('Profit &amp; Loss'!F6-'Profit &amp; Loss'!F8-'Profit &amp; Loss'!F11)/('Balance Sheet'!F10+'Balance Sheet'!F16),"")</f>
        <v>6.6491407156740789E-2</v>
      </c>
      <c r="G24" s="14">
        <f>IF(('Balance Sheet'!G10+'Balance Sheet'!G16)&gt;0,('Profit &amp; Loss'!G6-'Profit &amp; Loss'!G8-'Profit &amp; Loss'!G11)/('Balance Sheet'!G10+'Balance Sheet'!G16),"")</f>
        <v>5.3863323487349707E-2</v>
      </c>
      <c r="H24" s="14">
        <f>IF(('Balance Sheet'!H10+'Balance Sheet'!H16)&gt;0,('Profit &amp; Loss'!H6-'Profit &amp; Loss'!H8-'Profit &amp; Loss'!H11)/('Balance Sheet'!H10+'Balance Sheet'!H16),"")</f>
        <v>4.6619576185670385E-2</v>
      </c>
      <c r="I24" s="14">
        <f>IF(('Balance Sheet'!I10+'Balance Sheet'!I16)&gt;0,('Profit &amp; Loss'!I6-'Profit &amp; Loss'!I8-'Profit &amp; Loss'!I11)/('Balance Sheet'!I10+'Balance Sheet'!I16),"")</f>
        <v>3.3800017473352914E-2</v>
      </c>
      <c r="J24" s="14">
        <f>IF(('Balance Sheet'!J10+'Balance Sheet'!J16)&gt;0,('Profit &amp; Loss'!J6-'Profit &amp; Loss'!J8-'Profit &amp; Loss'!J11)/('Balance Sheet'!J10+'Balance Sheet'!J16),"")</f>
        <v>7.2197855750486928E-2</v>
      </c>
      <c r="K24" s="14">
        <f>IF(('Balance Sheet'!K10+'Balance Sheet'!K16)&gt;0,('Profit &amp; Loss'!K6-'Profit &amp; Loss'!K8-'Profit &amp; Loss'!K11)/('Balance Sheet'!K10+'Balance Sheet'!K16),"")</f>
        <v>0.14462271035976229</v>
      </c>
    </row>
    <row r="25" spans="1:11" s="18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RowHeight="15" x14ac:dyDescent="0.25"/>
  <cols>
    <col min="1" max="1" width="26.85546875" style="6" bestFit="1" customWidth="1"/>
    <col min="2" max="6" width="13.5703125" style="6" customWidth="1"/>
    <col min="7" max="11" width="13.5703125" style="6" bestFit="1" customWidth="1"/>
    <col min="12" max="16384" width="9.140625" style="6"/>
  </cols>
  <sheetData>
    <row r="1" spans="1:11" s="8" customFormat="1" x14ac:dyDescent="0.25">
      <c r="A1" s="8" t="str">
        <f>'Balance Sheet'!A1</f>
        <v>COSMO FILMS LTD</v>
      </c>
      <c r="E1" t="str">
        <f>UPDATE</f>
        <v/>
      </c>
      <c r="F1"/>
      <c r="J1" s="4" t="s">
        <v>1</v>
      </c>
      <c r="K1" s="4"/>
    </row>
    <row r="3" spans="1:11" s="2" customFormat="1" x14ac:dyDescent="0.25">
      <c r="A3" s="15" t="s">
        <v>2</v>
      </c>
      <c r="B3" s="16">
        <f>'Data Sheet'!B81</f>
        <v>39172</v>
      </c>
      <c r="C3" s="16">
        <f>'Data Sheet'!C81</f>
        <v>39538</v>
      </c>
      <c r="D3" s="16">
        <f>'Data Sheet'!D81</f>
        <v>39903</v>
      </c>
      <c r="E3" s="16">
        <f>'Data Sheet'!E81</f>
        <v>40268</v>
      </c>
      <c r="F3" s="16">
        <f>'Data Sheet'!F81</f>
        <v>40633</v>
      </c>
      <c r="G3" s="16">
        <f>'Data Sheet'!G81</f>
        <v>40999</v>
      </c>
      <c r="H3" s="16">
        <f>'Data Sheet'!H81</f>
        <v>41364</v>
      </c>
      <c r="I3" s="16">
        <f>'Data Sheet'!I81</f>
        <v>41729</v>
      </c>
      <c r="J3" s="16">
        <f>'Data Sheet'!J81</f>
        <v>42094</v>
      </c>
      <c r="K3" s="16">
        <f>'Data Sheet'!K81</f>
        <v>42460</v>
      </c>
    </row>
    <row r="4" spans="1:11" s="8" customFormat="1" x14ac:dyDescent="0.25">
      <c r="A4" s="8" t="s">
        <v>32</v>
      </c>
      <c r="B4" s="1">
        <f>'Data Sheet'!B82</f>
        <v>72.739999999999995</v>
      </c>
      <c r="C4" s="1">
        <f>'Data Sheet'!C82</f>
        <v>53.7</v>
      </c>
      <c r="D4" s="1">
        <f>'Data Sheet'!D82</f>
        <v>101.48</v>
      </c>
      <c r="E4" s="1">
        <f>'Data Sheet'!E82</f>
        <v>-6.85</v>
      </c>
      <c r="F4" s="1">
        <f>'Data Sheet'!F82</f>
        <v>26.83</v>
      </c>
      <c r="G4" s="1">
        <f>'Data Sheet'!G82</f>
        <v>55.32</v>
      </c>
      <c r="H4" s="1">
        <f>'Data Sheet'!H82</f>
        <v>93.87</v>
      </c>
      <c r="I4" s="1">
        <f>'Data Sheet'!I82</f>
        <v>59.34</v>
      </c>
      <c r="J4" s="1">
        <f>'Data Sheet'!J82</f>
        <v>129.1</v>
      </c>
      <c r="K4" s="1">
        <f>'Data Sheet'!K82</f>
        <v>222.42</v>
      </c>
    </row>
    <row r="5" spans="1:11" x14ac:dyDescent="0.25">
      <c r="A5" s="6" t="s">
        <v>33</v>
      </c>
      <c r="B5" s="9">
        <f>'Data Sheet'!B83</f>
        <v>-30.5</v>
      </c>
      <c r="C5" s="9">
        <f>'Data Sheet'!C83</f>
        <v>-24.12</v>
      </c>
      <c r="D5" s="9">
        <f>'Data Sheet'!D83</f>
        <v>-154</v>
      </c>
      <c r="E5" s="9">
        <f>'Data Sheet'!E83</f>
        <v>-59.59</v>
      </c>
      <c r="F5" s="9">
        <f>'Data Sheet'!F83</f>
        <v>-40.5</v>
      </c>
      <c r="G5" s="9">
        <f>'Data Sheet'!G83</f>
        <v>-33.69</v>
      </c>
      <c r="H5" s="9">
        <f>'Data Sheet'!H83</f>
        <v>-138.86000000000001</v>
      </c>
      <c r="I5" s="9">
        <f>'Data Sheet'!I83</f>
        <v>-51.1</v>
      </c>
      <c r="J5" s="9">
        <f>'Data Sheet'!J83</f>
        <v>-43.6</v>
      </c>
      <c r="K5" s="9">
        <f>'Data Sheet'!K83</f>
        <v>-78.400000000000006</v>
      </c>
    </row>
    <row r="6" spans="1:11" x14ac:dyDescent="0.25">
      <c r="A6" s="6" t="s">
        <v>34</v>
      </c>
      <c r="B6" s="9">
        <f>'Data Sheet'!B84</f>
        <v>-28.52</v>
      </c>
      <c r="C6" s="9">
        <f>'Data Sheet'!C84</f>
        <v>-40.799999999999997</v>
      </c>
      <c r="D6" s="9">
        <f>'Data Sheet'!D84</f>
        <v>90.27</v>
      </c>
      <c r="E6" s="9">
        <f>'Data Sheet'!E84</f>
        <v>65.13</v>
      </c>
      <c r="F6" s="9">
        <f>'Data Sheet'!F84</f>
        <v>13.88</v>
      </c>
      <c r="G6" s="9">
        <f>'Data Sheet'!G84</f>
        <v>-17.489999999999998</v>
      </c>
      <c r="H6" s="9">
        <f>'Data Sheet'!H84</f>
        <v>35.94</v>
      </c>
      <c r="I6" s="9">
        <f>'Data Sheet'!I84</f>
        <v>19.38</v>
      </c>
      <c r="J6" s="9">
        <f>'Data Sheet'!J84</f>
        <v>-121.31</v>
      </c>
      <c r="K6" s="9">
        <f>'Data Sheet'!K84</f>
        <v>-137.55000000000001</v>
      </c>
    </row>
    <row r="7" spans="1:11" s="8" customFormat="1" x14ac:dyDescent="0.25">
      <c r="A7" s="8" t="s">
        <v>35</v>
      </c>
      <c r="B7" s="1">
        <f>'Data Sheet'!B85</f>
        <v>13.72</v>
      </c>
      <c r="C7" s="1">
        <f>'Data Sheet'!C85</f>
        <v>-11.22</v>
      </c>
      <c r="D7" s="1">
        <f>'Data Sheet'!D85</f>
        <v>37.75</v>
      </c>
      <c r="E7" s="1">
        <f>'Data Sheet'!E85</f>
        <v>-1.31</v>
      </c>
      <c r="F7" s="1">
        <f>'Data Sheet'!F85</f>
        <v>0.21</v>
      </c>
      <c r="G7" s="1">
        <f>'Data Sheet'!G85</f>
        <v>4.1399999999999997</v>
      </c>
      <c r="H7" s="1">
        <f>'Data Sheet'!H85</f>
        <v>-9.0500000000000007</v>
      </c>
      <c r="I7" s="1">
        <f>'Data Sheet'!I85</f>
        <v>27.62</v>
      </c>
      <c r="J7" s="1">
        <f>'Data Sheet'!J85</f>
        <v>-35.81</v>
      </c>
      <c r="K7" s="1">
        <f>'Data Sheet'!K85</f>
        <v>6.47</v>
      </c>
    </row>
    <row r="8" spans="1:11" x14ac:dyDescent="0.25">
      <c r="A8" s="29"/>
      <c r="B8" s="9"/>
      <c r="C8" s="9"/>
      <c r="D8" s="9"/>
      <c r="E8" s="9"/>
      <c r="F8" s="9"/>
      <c r="G8" s="9"/>
      <c r="H8" s="9"/>
      <c r="I8" s="9"/>
      <c r="J8" s="9"/>
      <c r="K8" s="9"/>
    </row>
    <row r="24" s="29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6"/>
  <sheetViews>
    <sheetView workbookViewId="0">
      <selection activeCell="B8" sqref="B8"/>
    </sheetView>
  </sheetViews>
  <sheetFormatPr defaultRowHeight="15" x14ac:dyDescent="0.25"/>
  <cols>
    <col min="1" max="1" width="9.140625" style="8"/>
    <col min="2" max="2" width="10.5703125" style="11" customWidth="1"/>
    <col min="3" max="3" width="13.28515625" style="26" customWidth="1"/>
    <col min="4" max="5" width="9.140625" style="11"/>
    <col min="6" max="6" width="6.85546875" style="11" customWidth="1"/>
    <col min="7" max="16384" width="9.140625" style="11"/>
  </cols>
  <sheetData>
    <row r="1" spans="1:7" ht="21" x14ac:dyDescent="0.35">
      <c r="A1" s="25" t="s">
        <v>57</v>
      </c>
    </row>
    <row r="3" spans="1:7" x14ac:dyDescent="0.25">
      <c r="A3" s="8" t="s">
        <v>48</v>
      </c>
    </row>
    <row r="4" spans="1:7" x14ac:dyDescent="0.25">
      <c r="B4" s="11" t="s">
        <v>91</v>
      </c>
    </row>
    <row r="5" spans="1:7" x14ac:dyDescent="0.25">
      <c r="B5" s="11" t="s">
        <v>49</v>
      </c>
    </row>
    <row r="7" spans="1:7" x14ac:dyDescent="0.25">
      <c r="A7" s="8" t="s">
        <v>50</v>
      </c>
    </row>
    <row r="8" spans="1:7" x14ac:dyDescent="0.25">
      <c r="B8" s="11" t="s">
        <v>51</v>
      </c>
      <c r="C8" s="27" t="s">
        <v>92</v>
      </c>
    </row>
    <row r="10" spans="1:7" x14ac:dyDescent="0.25">
      <c r="A10" s="8" t="s">
        <v>52</v>
      </c>
    </row>
    <row r="11" spans="1:7" x14ac:dyDescent="0.25">
      <c r="B11" s="11" t="s">
        <v>53</v>
      </c>
    </row>
    <row r="14" spans="1:7" x14ac:dyDescent="0.25">
      <c r="A14" s="8" t="s">
        <v>54</v>
      </c>
    </row>
    <row r="15" spans="1:7" x14ac:dyDescent="0.25">
      <c r="B15" s="11" t="s">
        <v>55</v>
      </c>
    </row>
    <row r="16" spans="1:7" x14ac:dyDescent="0.25">
      <c r="B16" s="11" t="s">
        <v>56</v>
      </c>
      <c r="G16" s="28" t="s">
        <v>93</v>
      </c>
    </row>
  </sheetData>
  <hyperlinks>
    <hyperlink ref="C8" r:id="rId1" display=" http://www.screener.in/exce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pane xSplit="1" ySplit="1" topLeftCell="B35" activePane="bottomRight" state="frozen"/>
      <selection activeCell="C4" sqref="C4"/>
      <selection pane="topRight" activeCell="C4" sqref="C4"/>
      <selection pane="bottomLeft" activeCell="C4" sqref="C4"/>
      <selection pane="bottomRight" activeCell="I35" sqref="I35"/>
    </sheetView>
  </sheetViews>
  <sheetFormatPr defaultRowHeight="15" x14ac:dyDescent="0.25"/>
  <cols>
    <col min="1" max="1" width="27.7109375" style="5" bestFit="1" customWidth="1"/>
    <col min="2" max="11" width="13.5703125" style="5" bestFit="1" customWidth="1"/>
    <col min="12" max="16384" width="9.140625" style="5"/>
  </cols>
  <sheetData>
    <row r="1" spans="1:11" s="1" customFormat="1" x14ac:dyDescent="0.25">
      <c r="A1" s="1" t="s">
        <v>0</v>
      </c>
      <c r="B1" s="1" t="s">
        <v>64</v>
      </c>
      <c r="E1" s="55" t="str">
        <f>IF(B2&lt;&gt;B3, "A NEW VERSION OF THE WORKSHEET IS AVAILABLE", "")</f>
        <v/>
      </c>
      <c r="F1" s="55"/>
      <c r="G1" s="55"/>
      <c r="H1" s="55"/>
      <c r="I1" s="55"/>
      <c r="J1" s="55"/>
      <c r="K1" s="55"/>
    </row>
    <row r="2" spans="1:11" x14ac:dyDescent="0.25">
      <c r="A2" s="1" t="s">
        <v>62</v>
      </c>
      <c r="B2" s="5">
        <v>2.1</v>
      </c>
      <c r="E2" s="56" t="s">
        <v>36</v>
      </c>
      <c r="F2" s="56"/>
      <c r="G2" s="56"/>
      <c r="H2" s="56"/>
      <c r="I2" s="56"/>
      <c r="J2" s="56"/>
      <c r="K2" s="56"/>
    </row>
    <row r="3" spans="1:11" x14ac:dyDescent="0.25">
      <c r="A3" s="1" t="s">
        <v>63</v>
      </c>
      <c r="B3" s="5">
        <v>2.1</v>
      </c>
    </row>
    <row r="4" spans="1:11" x14ac:dyDescent="0.25">
      <c r="A4" s="1"/>
    </row>
    <row r="5" spans="1:11" x14ac:dyDescent="0.25">
      <c r="A5" s="1" t="s">
        <v>65</v>
      </c>
    </row>
    <row r="6" spans="1:11" x14ac:dyDescent="0.25">
      <c r="A6" s="5" t="s">
        <v>42</v>
      </c>
      <c r="B6" s="5">
        <f>IF(B9&gt;0, B9/B8, 0)</f>
        <v>1.9439902379499694</v>
      </c>
    </row>
    <row r="7" spans="1:11" x14ac:dyDescent="0.25">
      <c r="A7" s="5" t="s">
        <v>31</v>
      </c>
      <c r="B7">
        <v>10</v>
      </c>
    </row>
    <row r="8" spans="1:11" x14ac:dyDescent="0.25">
      <c r="A8" s="5" t="s">
        <v>43</v>
      </c>
      <c r="B8">
        <v>327.8</v>
      </c>
    </row>
    <row r="9" spans="1:11" x14ac:dyDescent="0.25">
      <c r="A9" s="5" t="s">
        <v>80</v>
      </c>
      <c r="B9">
        <v>637.24</v>
      </c>
    </row>
    <row r="15" spans="1:11" x14ac:dyDescent="0.25">
      <c r="A15" s="1" t="s">
        <v>37</v>
      </c>
    </row>
    <row r="16" spans="1:11" s="24" customFormat="1" x14ac:dyDescent="0.25">
      <c r="A16" s="23" t="s">
        <v>38</v>
      </c>
      <c r="B16" s="16">
        <v>39172</v>
      </c>
      <c r="C16" s="16">
        <v>39538</v>
      </c>
      <c r="D16" s="16">
        <v>39903</v>
      </c>
      <c r="E16" s="16">
        <v>40268</v>
      </c>
      <c r="F16" s="16">
        <v>40633</v>
      </c>
      <c r="G16" s="16">
        <v>40999</v>
      </c>
      <c r="H16" s="16">
        <v>41364</v>
      </c>
      <c r="I16" s="16">
        <v>41729</v>
      </c>
      <c r="J16" s="16">
        <v>42094</v>
      </c>
      <c r="K16" s="16">
        <v>42460</v>
      </c>
    </row>
    <row r="17" spans="1:11" s="9" customFormat="1" x14ac:dyDescent="0.25">
      <c r="A17" s="9" t="s">
        <v>6</v>
      </c>
      <c r="B17">
        <v>535.61</v>
      </c>
      <c r="C17">
        <v>585.16</v>
      </c>
      <c r="D17">
        <v>632.69000000000005</v>
      </c>
      <c r="E17">
        <v>959.67</v>
      </c>
      <c r="F17">
        <v>1135.03</v>
      </c>
      <c r="G17">
        <v>1136.18</v>
      </c>
      <c r="H17">
        <v>1265.6199999999999</v>
      </c>
      <c r="I17">
        <v>1468.36</v>
      </c>
      <c r="J17">
        <v>1646.78</v>
      </c>
      <c r="K17">
        <v>1620.62</v>
      </c>
    </row>
    <row r="18" spans="1:11" s="9" customFormat="1" x14ac:dyDescent="0.25">
      <c r="A18" s="5" t="s">
        <v>81</v>
      </c>
      <c r="B18">
        <v>320.91000000000003</v>
      </c>
      <c r="C18">
        <v>343.82</v>
      </c>
      <c r="D18">
        <v>406.89</v>
      </c>
      <c r="E18">
        <v>625.77</v>
      </c>
      <c r="F18">
        <v>711.88</v>
      </c>
      <c r="G18">
        <v>728.3</v>
      </c>
      <c r="H18">
        <v>826.2</v>
      </c>
      <c r="I18">
        <v>1036.1300000000001</v>
      </c>
      <c r="J18">
        <v>1123.22</v>
      </c>
      <c r="K18">
        <v>1005.97</v>
      </c>
    </row>
    <row r="19" spans="1:11" s="9" customFormat="1" x14ac:dyDescent="0.25">
      <c r="A19" s="5" t="s">
        <v>82</v>
      </c>
      <c r="B19">
        <v>-9.9600000000000009</v>
      </c>
      <c r="C19">
        <v>0.14000000000000001</v>
      </c>
      <c r="D19">
        <v>32.630000000000003</v>
      </c>
      <c r="E19">
        <v>37.880000000000003</v>
      </c>
      <c r="F19">
        <v>10.27</v>
      </c>
      <c r="G19">
        <v>13.5</v>
      </c>
      <c r="H19">
        <v>-4.8899999999999997</v>
      </c>
      <c r="I19">
        <v>33.5</v>
      </c>
      <c r="J19">
        <v>-28.17</v>
      </c>
      <c r="K19">
        <v>-19.28</v>
      </c>
    </row>
    <row r="20" spans="1:11" s="9" customFormat="1" x14ac:dyDescent="0.25">
      <c r="A20" s="5" t="s">
        <v>83</v>
      </c>
      <c r="B20">
        <v>36.94</v>
      </c>
      <c r="C20">
        <v>38.729999999999997</v>
      </c>
      <c r="D20">
        <v>47.72</v>
      </c>
      <c r="E20">
        <v>57.79</v>
      </c>
      <c r="F20">
        <v>70.540000000000006</v>
      </c>
      <c r="G20">
        <v>77.22</v>
      </c>
      <c r="H20">
        <v>89.69</v>
      </c>
      <c r="I20">
        <v>89.28</v>
      </c>
      <c r="J20">
        <v>104.45</v>
      </c>
      <c r="K20">
        <v>98.02</v>
      </c>
    </row>
    <row r="21" spans="1:11" s="9" customFormat="1" x14ac:dyDescent="0.25">
      <c r="A21" s="5" t="s">
        <v>84</v>
      </c>
      <c r="B21">
        <v>25.05</v>
      </c>
      <c r="C21">
        <v>31.98</v>
      </c>
      <c r="D21">
        <v>33.07</v>
      </c>
      <c r="E21">
        <v>49.31</v>
      </c>
      <c r="F21">
        <v>61.41</v>
      </c>
      <c r="G21">
        <v>61.4</v>
      </c>
      <c r="H21">
        <v>67.38</v>
      </c>
      <c r="I21">
        <v>75.239999999999995</v>
      </c>
      <c r="J21">
        <v>74.05</v>
      </c>
      <c r="K21">
        <v>78.31</v>
      </c>
    </row>
    <row r="22" spans="1:11" s="9" customFormat="1" x14ac:dyDescent="0.25">
      <c r="A22" s="5" t="s">
        <v>85</v>
      </c>
      <c r="B22">
        <v>24.51</v>
      </c>
      <c r="C22">
        <v>32.15</v>
      </c>
      <c r="D22">
        <v>36.93</v>
      </c>
      <c r="E22">
        <v>84.17</v>
      </c>
      <c r="F22">
        <v>102.07</v>
      </c>
      <c r="G22">
        <v>102.23</v>
      </c>
      <c r="H22">
        <v>90.34</v>
      </c>
      <c r="I22">
        <v>97.93</v>
      </c>
      <c r="J22">
        <v>105.01</v>
      </c>
      <c r="K22">
        <v>121.59</v>
      </c>
    </row>
    <row r="23" spans="1:11" s="9" customFormat="1" x14ac:dyDescent="0.25">
      <c r="A23" s="5" t="s">
        <v>86</v>
      </c>
      <c r="B23">
        <v>44.98</v>
      </c>
      <c r="C23">
        <v>42.42</v>
      </c>
      <c r="D23">
        <v>47.65</v>
      </c>
      <c r="E23">
        <v>85.2</v>
      </c>
      <c r="F23">
        <v>97.75</v>
      </c>
      <c r="G23">
        <v>77.7</v>
      </c>
      <c r="H23">
        <v>81.88</v>
      </c>
      <c r="I23">
        <v>89.07</v>
      </c>
      <c r="J23">
        <v>101.89</v>
      </c>
      <c r="K23">
        <v>102.26</v>
      </c>
    </row>
    <row r="24" spans="1:11" s="9" customFormat="1" x14ac:dyDescent="0.25">
      <c r="A24" s="5" t="s">
        <v>87</v>
      </c>
      <c r="B24">
        <v>5.21</v>
      </c>
      <c r="C24">
        <v>7.59</v>
      </c>
      <c r="D24">
        <v>14.83</v>
      </c>
      <c r="E24">
        <v>3.19</v>
      </c>
      <c r="F24">
        <v>10.19</v>
      </c>
      <c r="G24">
        <v>18.03</v>
      </c>
      <c r="H24">
        <v>23.75</v>
      </c>
      <c r="I24">
        <v>34.24</v>
      </c>
      <c r="J24">
        <v>5.63</v>
      </c>
      <c r="K24">
        <v>10.83</v>
      </c>
    </row>
    <row r="25" spans="1:11" s="9" customFormat="1" x14ac:dyDescent="0.25">
      <c r="A25" s="9" t="s">
        <v>9</v>
      </c>
      <c r="B25">
        <v>5.26</v>
      </c>
      <c r="C25">
        <v>11.6</v>
      </c>
      <c r="D25">
        <v>5.13</v>
      </c>
      <c r="E25">
        <v>45.66</v>
      </c>
      <c r="F25">
        <v>9.74</v>
      </c>
      <c r="G25">
        <v>18.34</v>
      </c>
      <c r="H25">
        <v>8</v>
      </c>
      <c r="I25">
        <v>6.77</v>
      </c>
      <c r="J25">
        <v>8.2799999999999994</v>
      </c>
      <c r="K25">
        <v>5.54</v>
      </c>
    </row>
    <row r="26" spans="1:11" s="9" customFormat="1" x14ac:dyDescent="0.25">
      <c r="A26" s="9" t="s">
        <v>10</v>
      </c>
      <c r="B26">
        <v>25.88</v>
      </c>
      <c r="C26">
        <v>25.31</v>
      </c>
      <c r="D26">
        <v>-23.72</v>
      </c>
      <c r="E26">
        <v>33.86</v>
      </c>
      <c r="F26">
        <v>34.39</v>
      </c>
      <c r="G26">
        <v>35.909999999999997</v>
      </c>
      <c r="H26">
        <v>38.81</v>
      </c>
      <c r="I26">
        <v>45.32</v>
      </c>
      <c r="J26">
        <v>34.54</v>
      </c>
      <c r="K26">
        <v>35.68</v>
      </c>
    </row>
    <row r="27" spans="1:11" s="9" customFormat="1" x14ac:dyDescent="0.25">
      <c r="A27" s="9" t="s">
        <v>11</v>
      </c>
      <c r="B27">
        <v>17.45</v>
      </c>
      <c r="C27">
        <v>14.88</v>
      </c>
      <c r="D27">
        <v>18.07</v>
      </c>
      <c r="E27">
        <v>21.25</v>
      </c>
      <c r="F27">
        <v>26.3</v>
      </c>
      <c r="G27">
        <v>28.46</v>
      </c>
      <c r="H27">
        <v>29.01</v>
      </c>
      <c r="I27">
        <v>43.22</v>
      </c>
      <c r="J27">
        <v>39.880000000000003</v>
      </c>
      <c r="K27">
        <v>30.18</v>
      </c>
    </row>
    <row r="28" spans="1:11" s="9" customFormat="1" x14ac:dyDescent="0.25">
      <c r="A28" s="9" t="s">
        <v>12</v>
      </c>
      <c r="B28">
        <v>31.51</v>
      </c>
      <c r="C28">
        <v>60.55</v>
      </c>
      <c r="D28">
        <v>94.05</v>
      </c>
      <c r="E28">
        <v>82.97</v>
      </c>
      <c r="F28">
        <v>40.51</v>
      </c>
      <c r="G28">
        <v>38.770000000000003</v>
      </c>
      <c r="H28">
        <v>21.67</v>
      </c>
      <c r="I28">
        <v>-1.8</v>
      </c>
      <c r="J28">
        <v>38.22</v>
      </c>
      <c r="K28">
        <v>124.04</v>
      </c>
    </row>
    <row r="29" spans="1:11" s="9" customFormat="1" x14ac:dyDescent="0.25">
      <c r="A29" s="9" t="s">
        <v>13</v>
      </c>
      <c r="B29">
        <v>5.68</v>
      </c>
      <c r="C29">
        <v>16.37</v>
      </c>
      <c r="D29">
        <v>19.95</v>
      </c>
      <c r="E29">
        <v>15.28</v>
      </c>
      <c r="F29">
        <v>9.52</v>
      </c>
      <c r="G29">
        <v>8.59</v>
      </c>
      <c r="H29">
        <v>10.34</v>
      </c>
      <c r="I29">
        <v>3.7</v>
      </c>
      <c r="J29">
        <v>10.56</v>
      </c>
      <c r="K29">
        <v>27.8</v>
      </c>
    </row>
    <row r="30" spans="1:11" s="9" customFormat="1" x14ac:dyDescent="0.25">
      <c r="A30" s="9" t="s">
        <v>14</v>
      </c>
      <c r="B30">
        <v>25.83</v>
      </c>
      <c r="C30">
        <v>44.18</v>
      </c>
      <c r="D30">
        <v>74.099999999999994</v>
      </c>
      <c r="E30">
        <v>63.48</v>
      </c>
      <c r="F30">
        <v>34.76</v>
      </c>
      <c r="G30">
        <v>31.52</v>
      </c>
      <c r="H30">
        <v>11.33</v>
      </c>
      <c r="I30">
        <v>-5.5</v>
      </c>
      <c r="J30">
        <v>27.66</v>
      </c>
      <c r="K30">
        <v>96.24</v>
      </c>
    </row>
    <row r="31" spans="1:11" s="9" customFormat="1" x14ac:dyDescent="0.25">
      <c r="A31" s="9" t="s">
        <v>71</v>
      </c>
      <c r="B31">
        <v>7.78</v>
      </c>
      <c r="C31">
        <v>9.7200000000000006</v>
      </c>
      <c r="D31">
        <v>9.7200000000000006</v>
      </c>
      <c r="E31">
        <v>9.7200000000000006</v>
      </c>
      <c r="F31">
        <v>9.7200000000000006</v>
      </c>
      <c r="G31">
        <v>9.7200000000000006</v>
      </c>
      <c r="H31">
        <v>4.8600000000000003</v>
      </c>
      <c r="I31">
        <v>1.94</v>
      </c>
      <c r="J31">
        <v>6.8</v>
      </c>
      <c r="K31">
        <v>19.440000000000001</v>
      </c>
    </row>
    <row r="32" spans="1:11" s="9" customFormat="1" x14ac:dyDescent="0.25"/>
    <row r="33" spans="1:11" x14ac:dyDescent="0.25">
      <c r="A33" s="9"/>
    </row>
    <row r="34" spans="1:11" x14ac:dyDescent="0.25">
      <c r="A34" s="9"/>
    </row>
    <row r="35" spans="1:11" x14ac:dyDescent="0.25">
      <c r="A35" s="9"/>
    </row>
    <row r="36" spans="1:11" x14ac:dyDescent="0.25">
      <c r="A36" s="9"/>
    </row>
    <row r="37" spans="1:11" x14ac:dyDescent="0.25">
      <c r="A37" s="9"/>
    </row>
    <row r="38" spans="1:11" x14ac:dyDescent="0.25">
      <c r="A38" s="9"/>
    </row>
    <row r="39" spans="1:11" x14ac:dyDescent="0.25">
      <c r="A39" s="9"/>
    </row>
    <row r="40" spans="1:11" x14ac:dyDescent="0.25">
      <c r="A40" s="1" t="s">
        <v>39</v>
      </c>
    </row>
    <row r="41" spans="1:11" s="24" customFormat="1" x14ac:dyDescent="0.25">
      <c r="A41" s="23" t="s">
        <v>38</v>
      </c>
      <c r="B41" s="16">
        <v>41820</v>
      </c>
      <c r="C41" s="16">
        <v>41912</v>
      </c>
      <c r="D41" s="16">
        <v>42004</v>
      </c>
      <c r="E41" s="16">
        <v>42094</v>
      </c>
      <c r="F41" s="16">
        <v>42185</v>
      </c>
      <c r="G41" s="16">
        <v>42277</v>
      </c>
      <c r="H41" s="16">
        <v>42369</v>
      </c>
      <c r="I41" s="16">
        <v>42460</v>
      </c>
      <c r="J41" s="16">
        <v>42551</v>
      </c>
      <c r="K41" s="16">
        <v>42643</v>
      </c>
    </row>
    <row r="42" spans="1:11" s="9" customFormat="1" x14ac:dyDescent="0.25">
      <c r="A42" s="9" t="s">
        <v>6</v>
      </c>
      <c r="B42">
        <v>443.45</v>
      </c>
      <c r="C42">
        <v>450.66</v>
      </c>
      <c r="D42">
        <v>360.99</v>
      </c>
      <c r="E42">
        <v>391.68</v>
      </c>
      <c r="F42">
        <v>408.94</v>
      </c>
      <c r="G42">
        <v>436.08</v>
      </c>
      <c r="H42">
        <v>389.26</v>
      </c>
      <c r="I42">
        <v>386.36</v>
      </c>
      <c r="J42">
        <v>382.53</v>
      </c>
      <c r="K42">
        <v>404.99</v>
      </c>
    </row>
    <row r="43" spans="1:11" s="9" customFormat="1" x14ac:dyDescent="0.25">
      <c r="A43" s="9" t="s">
        <v>7</v>
      </c>
      <c r="B43">
        <v>417.95</v>
      </c>
      <c r="C43">
        <v>423.87</v>
      </c>
      <c r="D43">
        <v>347.2</v>
      </c>
      <c r="E43">
        <v>356.95</v>
      </c>
      <c r="F43">
        <v>363.01</v>
      </c>
      <c r="G43">
        <v>387.47</v>
      </c>
      <c r="H43">
        <v>344.88</v>
      </c>
      <c r="I43">
        <v>340.92</v>
      </c>
      <c r="J43">
        <v>341.35</v>
      </c>
      <c r="K43">
        <v>361.7</v>
      </c>
    </row>
    <row r="44" spans="1:11" s="9" customFormat="1" x14ac:dyDescent="0.25">
      <c r="A44" s="9" t="s">
        <v>9</v>
      </c>
      <c r="B44">
        <v>1.45</v>
      </c>
      <c r="C44">
        <v>0.32</v>
      </c>
      <c r="D44">
        <v>0.67</v>
      </c>
      <c r="E44">
        <v>9.4</v>
      </c>
      <c r="F44">
        <v>0.7</v>
      </c>
      <c r="G44">
        <v>0.82</v>
      </c>
      <c r="H44">
        <v>0.54</v>
      </c>
      <c r="I44">
        <v>3.48</v>
      </c>
      <c r="J44">
        <v>0.5</v>
      </c>
      <c r="K44">
        <v>0.85</v>
      </c>
    </row>
    <row r="45" spans="1:11" s="9" customFormat="1" x14ac:dyDescent="0.25">
      <c r="A45" s="9" t="s">
        <v>10</v>
      </c>
      <c r="B45">
        <v>9.0399999999999991</v>
      </c>
      <c r="C45">
        <v>8.57</v>
      </c>
      <c r="D45">
        <v>8.5</v>
      </c>
      <c r="E45">
        <v>8.43</v>
      </c>
      <c r="F45">
        <v>8.5500000000000007</v>
      </c>
      <c r="G45">
        <v>8.99</v>
      </c>
      <c r="H45">
        <v>9.01</v>
      </c>
      <c r="I45">
        <v>9.1300000000000008</v>
      </c>
      <c r="J45">
        <v>9.44</v>
      </c>
      <c r="K45">
        <v>9.64</v>
      </c>
    </row>
    <row r="46" spans="1:11" s="9" customFormat="1" x14ac:dyDescent="0.25">
      <c r="A46" s="9" t="s">
        <v>11</v>
      </c>
      <c r="B46">
        <v>10</v>
      </c>
      <c r="C46">
        <v>9.58</v>
      </c>
      <c r="D46">
        <v>9.66</v>
      </c>
      <c r="E46">
        <v>10.64</v>
      </c>
      <c r="F46">
        <v>8.01</v>
      </c>
      <c r="G46">
        <v>7.51</v>
      </c>
      <c r="H46">
        <v>7.06</v>
      </c>
      <c r="I46">
        <v>7.61</v>
      </c>
      <c r="J46">
        <v>7.59</v>
      </c>
      <c r="K46">
        <v>7.86</v>
      </c>
    </row>
    <row r="47" spans="1:11" s="9" customFormat="1" x14ac:dyDescent="0.25">
      <c r="A47" s="9" t="s">
        <v>12</v>
      </c>
      <c r="B47">
        <v>7.91</v>
      </c>
      <c r="C47">
        <v>8.9600000000000009</v>
      </c>
      <c r="D47">
        <v>-3.7</v>
      </c>
      <c r="E47">
        <v>25.06</v>
      </c>
      <c r="F47">
        <v>30.07</v>
      </c>
      <c r="G47">
        <v>32.93</v>
      </c>
      <c r="H47">
        <v>28.85</v>
      </c>
      <c r="I47">
        <v>32.18</v>
      </c>
      <c r="J47">
        <v>24.65</v>
      </c>
      <c r="K47">
        <v>26.64</v>
      </c>
    </row>
    <row r="48" spans="1:11" s="9" customFormat="1" x14ac:dyDescent="0.25">
      <c r="A48" s="9" t="s">
        <v>13</v>
      </c>
      <c r="B48">
        <v>4.01</v>
      </c>
      <c r="C48">
        <v>4.5199999999999996</v>
      </c>
      <c r="D48">
        <v>-8.7100000000000009</v>
      </c>
      <c r="E48">
        <v>10.74</v>
      </c>
      <c r="F48">
        <v>11.65</v>
      </c>
      <c r="G48">
        <v>12.15</v>
      </c>
      <c r="H48">
        <v>-4.08</v>
      </c>
      <c r="I48">
        <v>8.07</v>
      </c>
      <c r="J48">
        <v>5.73</v>
      </c>
      <c r="K48">
        <v>5.52</v>
      </c>
    </row>
    <row r="49" spans="1:11" s="9" customFormat="1" x14ac:dyDescent="0.25">
      <c r="A49" s="9" t="s">
        <v>14</v>
      </c>
      <c r="B49">
        <v>3.9</v>
      </c>
      <c r="C49">
        <v>4.4400000000000004</v>
      </c>
      <c r="D49">
        <v>5.01</v>
      </c>
      <c r="E49">
        <v>14.32</v>
      </c>
      <c r="F49">
        <v>18.420000000000002</v>
      </c>
      <c r="G49">
        <v>20.78</v>
      </c>
      <c r="H49">
        <v>32.93</v>
      </c>
      <c r="I49">
        <v>24.11</v>
      </c>
      <c r="J49">
        <v>18.920000000000002</v>
      </c>
      <c r="K49">
        <v>21.12</v>
      </c>
    </row>
    <row r="50" spans="1:11" x14ac:dyDescent="0.25">
      <c r="A50" s="9" t="s">
        <v>8</v>
      </c>
      <c r="B50">
        <v>25.5</v>
      </c>
      <c r="C50">
        <v>26.79</v>
      </c>
      <c r="D50">
        <v>13.79</v>
      </c>
      <c r="E50">
        <v>34.729999999999997</v>
      </c>
      <c r="F50">
        <v>45.93</v>
      </c>
      <c r="G50">
        <v>48.61</v>
      </c>
      <c r="H50">
        <v>44.38</v>
      </c>
      <c r="I50">
        <v>45.44</v>
      </c>
      <c r="J50">
        <v>41.18</v>
      </c>
      <c r="K50">
        <v>43.29</v>
      </c>
    </row>
    <row r="51" spans="1:11" x14ac:dyDescent="0.25">
      <c r="A51" s="9"/>
    </row>
    <row r="52" spans="1:11" x14ac:dyDescent="0.25">
      <c r="A52" s="9"/>
    </row>
    <row r="53" spans="1:11" x14ac:dyDescent="0.25">
      <c r="A53" s="9"/>
    </row>
    <row r="54" spans="1:11" x14ac:dyDescent="0.25">
      <c r="A54" s="9"/>
    </row>
    <row r="55" spans="1:11" x14ac:dyDescent="0.25">
      <c r="A55" s="1" t="s">
        <v>40</v>
      </c>
    </row>
    <row r="56" spans="1:11" s="24" customFormat="1" x14ac:dyDescent="0.25">
      <c r="A56" s="23" t="s">
        <v>38</v>
      </c>
      <c r="B56" s="16">
        <v>39172</v>
      </c>
      <c r="C56" s="16">
        <v>39538</v>
      </c>
      <c r="D56" s="16">
        <v>39903</v>
      </c>
      <c r="E56" s="16">
        <v>40268</v>
      </c>
      <c r="F56" s="16">
        <v>40633</v>
      </c>
      <c r="G56" s="16">
        <v>40999</v>
      </c>
      <c r="H56" s="16">
        <v>41364</v>
      </c>
      <c r="I56" s="16">
        <v>41729</v>
      </c>
      <c r="J56" s="16">
        <v>42094</v>
      </c>
      <c r="K56" s="16">
        <v>42460</v>
      </c>
    </row>
    <row r="57" spans="1:11" x14ac:dyDescent="0.25">
      <c r="A57" s="9" t="s">
        <v>24</v>
      </c>
      <c r="B57">
        <v>19.440000000000001</v>
      </c>
      <c r="C57">
        <v>19.440000000000001</v>
      </c>
      <c r="D57">
        <v>19.440000000000001</v>
      </c>
      <c r="E57">
        <v>19.440000000000001</v>
      </c>
      <c r="F57">
        <v>19.440000000000001</v>
      </c>
      <c r="G57">
        <v>19.440000000000001</v>
      </c>
      <c r="H57">
        <v>19.440000000000001</v>
      </c>
      <c r="I57">
        <v>19.440000000000001</v>
      </c>
      <c r="J57">
        <v>19.440000000000001</v>
      </c>
      <c r="K57">
        <v>19.440000000000001</v>
      </c>
    </row>
    <row r="58" spans="1:11" x14ac:dyDescent="0.25">
      <c r="A58" s="9" t="s">
        <v>25</v>
      </c>
      <c r="B58">
        <v>131.59</v>
      </c>
      <c r="C58">
        <v>164.15</v>
      </c>
      <c r="D58">
        <v>226.32</v>
      </c>
      <c r="E58">
        <v>272.72000000000003</v>
      </c>
      <c r="F58">
        <v>300.66000000000003</v>
      </c>
      <c r="G58">
        <v>315.39999999999998</v>
      </c>
      <c r="H58">
        <v>327.10000000000002</v>
      </c>
      <c r="I58">
        <v>340.54</v>
      </c>
      <c r="J58">
        <v>361.18</v>
      </c>
      <c r="K58">
        <v>436.83</v>
      </c>
    </row>
    <row r="59" spans="1:11" x14ac:dyDescent="0.25">
      <c r="A59" s="9" t="s">
        <v>72</v>
      </c>
      <c r="B59">
        <v>172.92</v>
      </c>
      <c r="C59">
        <v>150.5</v>
      </c>
      <c r="D59">
        <v>266.37</v>
      </c>
      <c r="E59">
        <v>356.39</v>
      </c>
      <c r="F59">
        <v>402.78</v>
      </c>
      <c r="G59">
        <v>429.19</v>
      </c>
      <c r="H59">
        <v>509.07</v>
      </c>
      <c r="I59">
        <v>586.88</v>
      </c>
      <c r="J59">
        <v>489.75</v>
      </c>
      <c r="K59">
        <v>422.39</v>
      </c>
    </row>
    <row r="60" spans="1:11" x14ac:dyDescent="0.25">
      <c r="A60" s="9" t="s">
        <v>73</v>
      </c>
      <c r="B60">
        <v>88.75</v>
      </c>
      <c r="C60">
        <v>115.05</v>
      </c>
      <c r="D60">
        <v>140.86000000000001</v>
      </c>
      <c r="E60">
        <v>189.63</v>
      </c>
      <c r="F60">
        <v>194.19</v>
      </c>
      <c r="G60">
        <v>200.58</v>
      </c>
      <c r="H60">
        <v>204.26</v>
      </c>
      <c r="I60">
        <v>251.67</v>
      </c>
      <c r="J60">
        <v>255.16</v>
      </c>
      <c r="K60">
        <v>299.27999999999997</v>
      </c>
    </row>
    <row r="61" spans="1:11" s="1" customFormat="1" x14ac:dyDescent="0.25">
      <c r="A61" s="1" t="s">
        <v>26</v>
      </c>
      <c r="B61">
        <v>412.7</v>
      </c>
      <c r="C61">
        <v>449.14</v>
      </c>
      <c r="D61">
        <v>652.99</v>
      </c>
      <c r="E61">
        <v>838.18</v>
      </c>
      <c r="F61">
        <v>917.07</v>
      </c>
      <c r="G61">
        <v>964.61</v>
      </c>
      <c r="H61">
        <v>1059.8699999999999</v>
      </c>
      <c r="I61">
        <v>1198.53</v>
      </c>
      <c r="J61">
        <v>1125.53</v>
      </c>
      <c r="K61">
        <v>1177.94</v>
      </c>
    </row>
    <row r="62" spans="1:11" x14ac:dyDescent="0.25">
      <c r="A62" s="9" t="s">
        <v>27</v>
      </c>
      <c r="B62">
        <v>201.95</v>
      </c>
      <c r="C62">
        <v>203.48</v>
      </c>
      <c r="D62">
        <v>415.24</v>
      </c>
      <c r="E62">
        <v>437.2</v>
      </c>
      <c r="F62">
        <v>421.69</v>
      </c>
      <c r="G62">
        <v>448.66</v>
      </c>
      <c r="H62">
        <v>439.43</v>
      </c>
      <c r="I62">
        <v>636.97</v>
      </c>
      <c r="J62">
        <v>595.46</v>
      </c>
      <c r="K62">
        <v>647.24</v>
      </c>
    </row>
    <row r="63" spans="1:11" x14ac:dyDescent="0.25">
      <c r="A63" s="9" t="s">
        <v>28</v>
      </c>
      <c r="B63">
        <v>13.84</v>
      </c>
      <c r="C63">
        <v>11.4</v>
      </c>
      <c r="D63">
        <v>0.75</v>
      </c>
      <c r="E63">
        <v>1.9</v>
      </c>
      <c r="F63">
        <v>7.75</v>
      </c>
      <c r="G63">
        <v>4.0199999999999996</v>
      </c>
      <c r="H63">
        <v>157.69999999999999</v>
      </c>
      <c r="I63">
        <v>1.58</v>
      </c>
      <c r="J63">
        <v>14.04</v>
      </c>
      <c r="K63">
        <v>12.03</v>
      </c>
    </row>
    <row r="64" spans="1:11" x14ac:dyDescent="0.25">
      <c r="A64" s="9" t="s">
        <v>29</v>
      </c>
      <c r="B64">
        <v>8.2899999999999991</v>
      </c>
      <c r="C64">
        <v>8.4600000000000009</v>
      </c>
      <c r="D64">
        <v>7.83</v>
      </c>
      <c r="E64">
        <v>8.89</v>
      </c>
      <c r="G64">
        <v>11.82</v>
      </c>
      <c r="H64">
        <v>4.21</v>
      </c>
      <c r="I64">
        <v>29.6</v>
      </c>
      <c r="J64">
        <v>35.53</v>
      </c>
      <c r="K64">
        <v>30.8</v>
      </c>
    </row>
    <row r="65" spans="1:11" x14ac:dyDescent="0.25">
      <c r="A65" s="9" t="s">
        <v>74</v>
      </c>
      <c r="B65">
        <v>188.62</v>
      </c>
      <c r="C65">
        <v>225.8</v>
      </c>
      <c r="D65">
        <v>229.17</v>
      </c>
      <c r="E65">
        <v>390.19</v>
      </c>
      <c r="F65">
        <v>487.63</v>
      </c>
      <c r="G65">
        <v>500.11</v>
      </c>
      <c r="H65">
        <v>458.53</v>
      </c>
      <c r="I65">
        <v>530.38</v>
      </c>
      <c r="J65">
        <v>480.5</v>
      </c>
      <c r="K65">
        <v>487.87</v>
      </c>
    </row>
    <row r="66" spans="1:11" s="1" customFormat="1" x14ac:dyDescent="0.25">
      <c r="A66" s="1" t="s">
        <v>26</v>
      </c>
      <c r="B66">
        <v>412.7</v>
      </c>
      <c r="C66">
        <v>449.14</v>
      </c>
      <c r="D66">
        <v>652.99</v>
      </c>
      <c r="E66">
        <v>838.18</v>
      </c>
      <c r="F66">
        <v>917.07</v>
      </c>
      <c r="G66">
        <v>964.61</v>
      </c>
      <c r="H66">
        <v>1059.8699999999999</v>
      </c>
      <c r="I66">
        <v>1198.53</v>
      </c>
      <c r="J66">
        <v>1125.53</v>
      </c>
      <c r="K66">
        <v>1177.94</v>
      </c>
    </row>
    <row r="67" spans="1:11" s="9" customFormat="1" x14ac:dyDescent="0.25">
      <c r="A67" s="9" t="s">
        <v>79</v>
      </c>
      <c r="B67">
        <v>83.56</v>
      </c>
      <c r="C67">
        <v>93.28</v>
      </c>
      <c r="D67">
        <v>51.72</v>
      </c>
      <c r="E67">
        <v>146.76</v>
      </c>
      <c r="F67">
        <v>169.65</v>
      </c>
      <c r="G67">
        <v>130.80000000000001</v>
      </c>
      <c r="H67">
        <v>128.78</v>
      </c>
      <c r="I67">
        <v>138.26</v>
      </c>
      <c r="J67">
        <v>121.95</v>
      </c>
      <c r="K67">
        <v>117.44</v>
      </c>
    </row>
    <row r="68" spans="1:11" x14ac:dyDescent="0.25">
      <c r="A68" s="9" t="s">
        <v>45</v>
      </c>
      <c r="B68">
        <v>55.96</v>
      </c>
      <c r="C68">
        <v>70.430000000000007</v>
      </c>
      <c r="D68">
        <v>85.57</v>
      </c>
      <c r="E68">
        <v>134.88999999999999</v>
      </c>
      <c r="F68">
        <v>162.05000000000001</v>
      </c>
      <c r="G68">
        <v>173.95</v>
      </c>
      <c r="H68">
        <v>151.33000000000001</v>
      </c>
      <c r="I68">
        <v>202.44</v>
      </c>
      <c r="J68">
        <v>179.54</v>
      </c>
      <c r="K68">
        <v>172.04</v>
      </c>
    </row>
    <row r="69" spans="1:11" x14ac:dyDescent="0.25">
      <c r="A69" s="5" t="s">
        <v>88</v>
      </c>
      <c r="B69">
        <v>18.52</v>
      </c>
      <c r="C69">
        <v>7.31</v>
      </c>
      <c r="D69">
        <v>45.06</v>
      </c>
      <c r="E69">
        <v>43.75</v>
      </c>
      <c r="F69">
        <v>68.849999999999994</v>
      </c>
      <c r="G69">
        <v>61.42</v>
      </c>
      <c r="H69">
        <v>34.07</v>
      </c>
      <c r="I69">
        <v>59.97</v>
      </c>
      <c r="J69">
        <v>25.01</v>
      </c>
      <c r="K69">
        <v>32.35</v>
      </c>
    </row>
    <row r="70" spans="1:11" x14ac:dyDescent="0.25">
      <c r="A70" s="5" t="s">
        <v>75</v>
      </c>
      <c r="B70">
        <v>19440076</v>
      </c>
      <c r="C70">
        <v>19440076</v>
      </c>
      <c r="D70">
        <v>19440076</v>
      </c>
      <c r="E70">
        <v>19440076</v>
      </c>
      <c r="F70">
        <v>19440076</v>
      </c>
      <c r="G70">
        <v>19440076</v>
      </c>
      <c r="H70">
        <v>19440100</v>
      </c>
      <c r="I70">
        <v>19440100</v>
      </c>
      <c r="J70">
        <v>19440076</v>
      </c>
      <c r="K70">
        <v>19440076</v>
      </c>
    </row>
    <row r="71" spans="1:11" x14ac:dyDescent="0.25">
      <c r="A71" s="5" t="s">
        <v>76</v>
      </c>
    </row>
    <row r="72" spans="1:11" x14ac:dyDescent="0.25">
      <c r="A72" s="5" t="s">
        <v>89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</row>
    <row r="74" spans="1:11" x14ac:dyDescent="0.25">
      <c r="A74" s="9"/>
    </row>
    <row r="75" spans="1:11" x14ac:dyDescent="0.25">
      <c r="A75" s="9"/>
    </row>
    <row r="76" spans="1:11" x14ac:dyDescent="0.25">
      <c r="A76" s="9"/>
    </row>
    <row r="77" spans="1:11" x14ac:dyDescent="0.25">
      <c r="A77" s="9"/>
    </row>
    <row r="78" spans="1:11" x14ac:dyDescent="0.25">
      <c r="A78" s="9"/>
    </row>
    <row r="79" spans="1:11" x14ac:dyDescent="0.25">
      <c r="A79" s="9"/>
    </row>
    <row r="80" spans="1:11" x14ac:dyDescent="0.25">
      <c r="A80" s="1" t="s">
        <v>41</v>
      </c>
    </row>
    <row r="81" spans="1:11" s="24" customFormat="1" x14ac:dyDescent="0.25">
      <c r="A81" s="23" t="s">
        <v>38</v>
      </c>
      <c r="B81" s="16">
        <v>39172</v>
      </c>
      <c r="C81" s="16">
        <v>39538</v>
      </c>
      <c r="D81" s="16">
        <v>39903</v>
      </c>
      <c r="E81" s="16">
        <v>40268</v>
      </c>
      <c r="F81" s="16">
        <v>40633</v>
      </c>
      <c r="G81" s="16">
        <v>40999</v>
      </c>
      <c r="H81" s="16">
        <v>41364</v>
      </c>
      <c r="I81" s="16">
        <v>41729</v>
      </c>
      <c r="J81" s="16">
        <v>42094</v>
      </c>
      <c r="K81" s="16">
        <v>42460</v>
      </c>
    </row>
    <row r="82" spans="1:11" s="1" customFormat="1" x14ac:dyDescent="0.25">
      <c r="A82" s="9" t="s">
        <v>32</v>
      </c>
      <c r="B82">
        <v>72.739999999999995</v>
      </c>
      <c r="C82">
        <v>53.7</v>
      </c>
      <c r="D82">
        <v>101.48</v>
      </c>
      <c r="E82">
        <v>-6.85</v>
      </c>
      <c r="F82">
        <v>26.83</v>
      </c>
      <c r="G82">
        <v>55.32</v>
      </c>
      <c r="H82">
        <v>93.87</v>
      </c>
      <c r="I82">
        <v>59.34</v>
      </c>
      <c r="J82">
        <v>129.1</v>
      </c>
      <c r="K82">
        <v>222.42</v>
      </c>
    </row>
    <row r="83" spans="1:11" s="9" customFormat="1" x14ac:dyDescent="0.25">
      <c r="A83" s="9" t="s">
        <v>33</v>
      </c>
      <c r="B83">
        <v>-30.5</v>
      </c>
      <c r="C83">
        <v>-24.12</v>
      </c>
      <c r="D83">
        <v>-154</v>
      </c>
      <c r="E83">
        <v>-59.59</v>
      </c>
      <c r="F83">
        <v>-40.5</v>
      </c>
      <c r="G83">
        <v>-33.69</v>
      </c>
      <c r="H83">
        <v>-138.86000000000001</v>
      </c>
      <c r="I83">
        <v>-51.1</v>
      </c>
      <c r="J83">
        <v>-43.6</v>
      </c>
      <c r="K83">
        <v>-78.400000000000006</v>
      </c>
    </row>
    <row r="84" spans="1:11" s="9" customFormat="1" x14ac:dyDescent="0.25">
      <c r="A84" s="9" t="s">
        <v>34</v>
      </c>
      <c r="B84">
        <v>-28.52</v>
      </c>
      <c r="C84">
        <v>-40.799999999999997</v>
      </c>
      <c r="D84">
        <v>90.27</v>
      </c>
      <c r="E84">
        <v>65.13</v>
      </c>
      <c r="F84">
        <v>13.88</v>
      </c>
      <c r="G84">
        <v>-17.489999999999998</v>
      </c>
      <c r="H84">
        <v>35.94</v>
      </c>
      <c r="I84">
        <v>19.38</v>
      </c>
      <c r="J84">
        <v>-121.31</v>
      </c>
      <c r="K84">
        <v>-137.55000000000001</v>
      </c>
    </row>
    <row r="85" spans="1:11" s="1" customFormat="1" x14ac:dyDescent="0.25">
      <c r="A85" s="9" t="s">
        <v>35</v>
      </c>
      <c r="B85">
        <v>13.72</v>
      </c>
      <c r="C85">
        <v>-11.22</v>
      </c>
      <c r="D85">
        <v>37.75</v>
      </c>
      <c r="E85">
        <v>-1.31</v>
      </c>
      <c r="F85">
        <v>0.21</v>
      </c>
      <c r="G85">
        <v>4.1399999999999997</v>
      </c>
      <c r="H85">
        <v>-9.0500000000000007</v>
      </c>
      <c r="I85">
        <v>27.62</v>
      </c>
      <c r="J85">
        <v>-35.81</v>
      </c>
      <c r="K85">
        <v>6.47</v>
      </c>
    </row>
    <row r="86" spans="1:11" x14ac:dyDescent="0.25">
      <c r="A86" s="9"/>
    </row>
    <row r="87" spans="1:11" x14ac:dyDescent="0.25">
      <c r="A87" s="9"/>
    </row>
    <row r="88" spans="1:11" x14ac:dyDescent="0.25">
      <c r="A88" s="9"/>
    </row>
    <row r="89" spans="1:11" x14ac:dyDescent="0.25">
      <c r="A89" s="9"/>
    </row>
    <row r="90" spans="1:11" s="1" customFormat="1" x14ac:dyDescent="0.25">
      <c r="A90" s="1" t="s">
        <v>78</v>
      </c>
      <c r="B90">
        <v>80.67</v>
      </c>
      <c r="C90">
        <v>97.88</v>
      </c>
      <c r="D90">
        <v>69.2</v>
      </c>
      <c r="E90">
        <v>122.73</v>
      </c>
      <c r="F90">
        <v>105.82</v>
      </c>
      <c r="G90">
        <v>88.52</v>
      </c>
      <c r="H90">
        <v>68.58</v>
      </c>
      <c r="I90">
        <v>55.63</v>
      </c>
      <c r="J90">
        <v>86.15</v>
      </c>
      <c r="K90">
        <v>347.35</v>
      </c>
    </row>
    <row r="92" spans="1:11" s="1" customFormat="1" x14ac:dyDescent="0.25">
      <c r="A92" s="1" t="s">
        <v>77</v>
      </c>
    </row>
    <row r="93" spans="1:11" x14ac:dyDescent="0.25">
      <c r="A93" s="5" t="s">
        <v>90</v>
      </c>
      <c r="B93" s="31">
        <f>IF($B7&gt;0,(B70*B72/$B7)+SUM(C71:$K71),0)/10000000</f>
        <v>1.9440075999999999</v>
      </c>
      <c r="C93" s="31">
        <f>IF($B7&gt;0,(C70*C72/$B7)+SUM(D71:$K71),0)/10000000</f>
        <v>1.9440075999999999</v>
      </c>
      <c r="D93" s="31">
        <f>IF($B7&gt;0,(D70*D72/$B7)+SUM(E71:$K71),0)/10000000</f>
        <v>1.9440075999999999</v>
      </c>
      <c r="E93" s="31">
        <f>IF($B7&gt;0,(E70*E72/$B7)+SUM(F71:$K71),0)/10000000</f>
        <v>1.9440075999999999</v>
      </c>
      <c r="F93" s="31">
        <f>IF($B7&gt;0,(F70*F72/$B7)+SUM(G71:$K71),0)/10000000</f>
        <v>1.9440075999999999</v>
      </c>
      <c r="G93" s="31">
        <f>IF($B7&gt;0,(G70*G72/$B7)+SUM(H71:$K71),0)/10000000</f>
        <v>1.9440075999999999</v>
      </c>
      <c r="H93" s="31">
        <f>IF($B7&gt;0,(H70*H72/$B7)+SUM(I71:$K71),0)/10000000</f>
        <v>1.94401</v>
      </c>
      <c r="I93" s="31">
        <f>IF($B7&gt;0,(I70*I72/$B7)+SUM(J71:$K71),0)/10000000</f>
        <v>1.94401</v>
      </c>
      <c r="J93" s="31">
        <f>IF($B7&gt;0,(J70*J72/$B7)+SUM(K71:$K71),0)/10000000</f>
        <v>1.9440075999999999</v>
      </c>
      <c r="K93" s="31">
        <f>IF($B7&gt;0,(K70*K72/$B7),0)/10000000</f>
        <v>1.9440075999999999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90" zoomScaleNormal="90" workbookViewId="0"/>
  </sheetViews>
  <sheetFormatPr defaultRowHeight="14.25" x14ac:dyDescent="0.2"/>
  <cols>
    <col min="1" max="1" width="25.85546875" style="32" bestFit="1" customWidth="1"/>
    <col min="2" max="11" width="10.42578125" style="32" customWidth="1"/>
    <col min="12" max="16384" width="9.140625" style="32"/>
  </cols>
  <sheetData>
    <row r="1" spans="1:13" x14ac:dyDescent="0.2">
      <c r="A1" s="33" t="s">
        <v>100</v>
      </c>
      <c r="B1" s="34">
        <f>'Data Sheet'!B16</f>
        <v>39172</v>
      </c>
      <c r="C1" s="34">
        <f>'Data Sheet'!C16</f>
        <v>39538</v>
      </c>
      <c r="D1" s="34">
        <f>'Data Sheet'!D16</f>
        <v>39903</v>
      </c>
      <c r="E1" s="34">
        <f>'Data Sheet'!E16</f>
        <v>40268</v>
      </c>
      <c r="F1" s="34">
        <f>'Data Sheet'!F16</f>
        <v>40633</v>
      </c>
      <c r="G1" s="34">
        <f>'Data Sheet'!G16</f>
        <v>40999</v>
      </c>
      <c r="H1" s="34">
        <f>'Data Sheet'!H16</f>
        <v>41364</v>
      </c>
      <c r="I1" s="34">
        <f>'Data Sheet'!I16</f>
        <v>41729</v>
      </c>
      <c r="J1" s="34">
        <f>'Data Sheet'!J16</f>
        <v>42094</v>
      </c>
      <c r="K1" s="34">
        <f>'Data Sheet'!K16</f>
        <v>42460</v>
      </c>
    </row>
    <row r="2" spans="1:13" x14ac:dyDescent="0.2">
      <c r="A2" s="35" t="s">
        <v>6</v>
      </c>
      <c r="B2" s="51">
        <f>'Data Sheet'!B17</f>
        <v>535.61</v>
      </c>
      <c r="C2" s="51">
        <f>'Data Sheet'!C17</f>
        <v>585.16</v>
      </c>
      <c r="D2" s="51">
        <f>'Data Sheet'!D17</f>
        <v>632.69000000000005</v>
      </c>
      <c r="E2" s="51">
        <f>'Data Sheet'!E17</f>
        <v>959.67</v>
      </c>
      <c r="F2" s="51">
        <f>'Data Sheet'!F17</f>
        <v>1135.03</v>
      </c>
      <c r="G2" s="51">
        <f>'Data Sheet'!G17</f>
        <v>1136.18</v>
      </c>
      <c r="H2" s="51">
        <f>'Data Sheet'!H17</f>
        <v>1265.6199999999999</v>
      </c>
      <c r="I2" s="51">
        <f>'Data Sheet'!I17</f>
        <v>1468.36</v>
      </c>
      <c r="J2" s="51">
        <f>'Data Sheet'!J17</f>
        <v>1646.78</v>
      </c>
      <c r="K2" s="51">
        <f>'Data Sheet'!K17</f>
        <v>1620.62</v>
      </c>
    </row>
    <row r="3" spans="1:13" x14ac:dyDescent="0.2">
      <c r="A3" s="35" t="s">
        <v>8</v>
      </c>
      <c r="B3" s="51">
        <f>'Profit &amp; Loss'!B6</f>
        <v>68.050000000000011</v>
      </c>
      <c r="C3" s="51">
        <f>'Profit &amp; Loss'!C6</f>
        <v>88.609999999999957</v>
      </c>
      <c r="D3" s="51">
        <f>'Profit &amp; Loss'!D6</f>
        <v>78.230000000000018</v>
      </c>
      <c r="E3" s="51">
        <f>'Profit &amp; Loss'!E6</f>
        <v>92.12</v>
      </c>
      <c r="F3" s="51">
        <f>'Profit &amp; Loss'!F6</f>
        <v>91.460000000000036</v>
      </c>
      <c r="G3" s="51">
        <f>'Profit &amp; Loss'!G6</f>
        <v>84.800000000000182</v>
      </c>
      <c r="H3" s="51">
        <f>'Profit &amp; Loss'!H6</f>
        <v>81.489999999999554</v>
      </c>
      <c r="I3" s="51">
        <f>'Profit &amp; Loss'!I6</f>
        <v>79.9699999999998</v>
      </c>
      <c r="J3" s="51">
        <f>'Profit &amp; Loss'!J6</f>
        <v>104.35999999999967</v>
      </c>
      <c r="K3" s="51">
        <f>'Profit &amp; Loss'!K6</f>
        <v>184.36000000000013</v>
      </c>
      <c r="L3" s="36"/>
    </row>
    <row r="4" spans="1:13" x14ac:dyDescent="0.2">
      <c r="A4" s="52" t="s">
        <v>105</v>
      </c>
      <c r="B4" s="47">
        <f>B3/B2</f>
        <v>0.12705139933907136</v>
      </c>
      <c r="C4" s="47">
        <f t="shared" ref="C4:K4" si="0">C3/C2</f>
        <v>0.15142866908196043</v>
      </c>
      <c r="D4" s="47">
        <f t="shared" si="0"/>
        <v>0.12364665159872926</v>
      </c>
      <c r="E4" s="47">
        <f t="shared" si="0"/>
        <v>9.5991330353142237E-2</v>
      </c>
      <c r="F4" s="47">
        <f t="shared" si="0"/>
        <v>8.0579367946221725E-2</v>
      </c>
      <c r="G4" s="47">
        <f t="shared" si="0"/>
        <v>7.4636061187488056E-2</v>
      </c>
      <c r="H4" s="47">
        <f t="shared" si="0"/>
        <v>6.4387414863860848E-2</v>
      </c>
      <c r="I4" s="47">
        <f t="shared" si="0"/>
        <v>5.4462121005747779E-2</v>
      </c>
      <c r="J4" s="47">
        <f t="shared" si="0"/>
        <v>6.3372156572219535E-2</v>
      </c>
      <c r="K4" s="47">
        <f t="shared" si="0"/>
        <v>0.11375893176685474</v>
      </c>
    </row>
    <row r="5" spans="1:13" x14ac:dyDescent="0.2">
      <c r="A5" s="35" t="s">
        <v>14</v>
      </c>
      <c r="B5" s="51">
        <f>'Profit &amp; Loss'!B12</f>
        <v>25.83</v>
      </c>
      <c r="C5" s="51">
        <f>'Profit &amp; Loss'!C12</f>
        <v>44.18</v>
      </c>
      <c r="D5" s="51">
        <f>'Profit &amp; Loss'!D12</f>
        <v>74.099999999999994</v>
      </c>
      <c r="E5" s="51">
        <f>'Profit &amp; Loss'!E12</f>
        <v>63.48</v>
      </c>
      <c r="F5" s="51">
        <f>'Profit &amp; Loss'!F12</f>
        <v>34.76</v>
      </c>
      <c r="G5" s="51">
        <f>'Profit &amp; Loss'!G12</f>
        <v>31.52</v>
      </c>
      <c r="H5" s="51">
        <f>'Profit &amp; Loss'!H12</f>
        <v>11.33</v>
      </c>
      <c r="I5" s="51">
        <f>'Profit &amp; Loss'!I12</f>
        <v>-5.5</v>
      </c>
      <c r="J5" s="51">
        <f>'Profit &amp; Loss'!J12</f>
        <v>27.66</v>
      </c>
      <c r="K5" s="51">
        <f>'Profit &amp; Loss'!K12</f>
        <v>96.24</v>
      </c>
      <c r="L5" s="57">
        <f>SUM(B5:K5)</f>
        <v>403.59999999999997</v>
      </c>
    </row>
    <row r="6" spans="1:13" x14ac:dyDescent="0.2">
      <c r="A6" s="42" t="s">
        <v>94</v>
      </c>
      <c r="B6" s="53">
        <f>B5/B2</f>
        <v>4.8225387875506426E-2</v>
      </c>
      <c r="C6" s="53">
        <f>C5/C2</f>
        <v>7.5500717752409602E-2</v>
      </c>
      <c r="D6" s="53">
        <f t="shared" ref="D6:K6" si="1">D5/D2</f>
        <v>0.11711896821508162</v>
      </c>
      <c r="E6" s="53">
        <f t="shared" si="1"/>
        <v>6.6147738285035479E-2</v>
      </c>
      <c r="F6" s="53">
        <f t="shared" si="1"/>
        <v>3.062474119626794E-2</v>
      </c>
      <c r="G6" s="53">
        <f t="shared" si="1"/>
        <v>2.7742083120632293E-2</v>
      </c>
      <c r="H6" s="53">
        <f t="shared" si="1"/>
        <v>8.9521341318879299E-3</v>
      </c>
      <c r="I6" s="53">
        <f t="shared" si="1"/>
        <v>-3.7456754474379582E-3</v>
      </c>
      <c r="J6" s="53">
        <f t="shared" si="1"/>
        <v>1.679641482165195E-2</v>
      </c>
      <c r="K6" s="53">
        <f t="shared" si="1"/>
        <v>5.9384679937307942E-2</v>
      </c>
    </row>
    <row r="7" spans="1:13" x14ac:dyDescent="0.2">
      <c r="A7" s="35" t="s">
        <v>10</v>
      </c>
      <c r="B7" s="36">
        <f>'Profit &amp; Loss'!B8</f>
        <v>25.88</v>
      </c>
      <c r="C7" s="36">
        <f>'Profit &amp; Loss'!C8</f>
        <v>25.31</v>
      </c>
      <c r="D7" s="36">
        <f>'Profit &amp; Loss'!D8</f>
        <v>-23.72</v>
      </c>
      <c r="E7" s="36">
        <f>'Profit &amp; Loss'!E8</f>
        <v>33.86</v>
      </c>
      <c r="F7" s="36">
        <f>'Profit &amp; Loss'!F8</f>
        <v>34.39</v>
      </c>
      <c r="G7" s="36">
        <f>'Profit &amp; Loss'!G8</f>
        <v>35.909999999999997</v>
      </c>
      <c r="H7" s="36">
        <f>'Profit &amp; Loss'!H8</f>
        <v>38.81</v>
      </c>
      <c r="I7" s="36">
        <f>'Profit &amp; Loss'!I8</f>
        <v>45.32</v>
      </c>
      <c r="J7" s="36">
        <f>'Profit &amp; Loss'!J8</f>
        <v>34.54</v>
      </c>
      <c r="K7" s="36">
        <f>'Profit &amp; Loss'!K8</f>
        <v>35.68</v>
      </c>
      <c r="L7" s="36">
        <f>SUM(B7:K7)</f>
        <v>285.97999999999996</v>
      </c>
    </row>
    <row r="8" spans="1:13" x14ac:dyDescent="0.2">
      <c r="A8" s="35" t="s">
        <v>96</v>
      </c>
      <c r="B8" s="36">
        <f>'Balance Sheet'!B10</f>
        <v>201.95</v>
      </c>
      <c r="C8" s="36">
        <f>'Balance Sheet'!C10</f>
        <v>203.48</v>
      </c>
      <c r="D8" s="36">
        <f>'Balance Sheet'!D10</f>
        <v>415.24</v>
      </c>
      <c r="E8" s="36">
        <f>'Balance Sheet'!E10</f>
        <v>437.2</v>
      </c>
      <c r="F8" s="36">
        <f>'Balance Sheet'!F10</f>
        <v>421.69</v>
      </c>
      <c r="G8" s="36">
        <f>'Balance Sheet'!G10</f>
        <v>448.66</v>
      </c>
      <c r="H8" s="36">
        <f>'Balance Sheet'!H10</f>
        <v>439.43</v>
      </c>
      <c r="I8" s="36">
        <f>'Balance Sheet'!I10</f>
        <v>636.97</v>
      </c>
      <c r="J8" s="36">
        <f>'Balance Sheet'!J10</f>
        <v>595.46</v>
      </c>
      <c r="K8" s="36">
        <f>'Balance Sheet'!K10</f>
        <v>647.24</v>
      </c>
      <c r="L8" s="36">
        <f>K8+L7</f>
        <v>933.22</v>
      </c>
      <c r="M8" s="36">
        <f>L8-B8</f>
        <v>731.27</v>
      </c>
    </row>
    <row r="9" spans="1:13" x14ac:dyDescent="0.2">
      <c r="A9" s="35" t="s">
        <v>95</v>
      </c>
      <c r="B9" s="37">
        <f>B7/B8</f>
        <v>0.12815053230997772</v>
      </c>
      <c r="C9" s="37">
        <f>C7/C8</f>
        <v>0.12438568901120503</v>
      </c>
      <c r="D9" s="37">
        <f t="shared" ref="D9:K9" si="2">D7/D8</f>
        <v>-5.7123591176187261E-2</v>
      </c>
      <c r="E9" s="37">
        <f t="shared" si="2"/>
        <v>7.7447392497712722E-2</v>
      </c>
      <c r="F9" s="37">
        <f t="shared" si="2"/>
        <v>8.1552799449832819E-2</v>
      </c>
      <c r="G9" s="37">
        <f t="shared" si="2"/>
        <v>8.0038336379440994E-2</v>
      </c>
      <c r="H9" s="37">
        <f t="shared" si="2"/>
        <v>8.8318958650979676E-2</v>
      </c>
      <c r="I9" s="37">
        <f t="shared" si="2"/>
        <v>7.1149347692983964E-2</v>
      </c>
      <c r="J9" s="37">
        <f t="shared" si="2"/>
        <v>5.8005575521445599E-2</v>
      </c>
      <c r="K9" s="37">
        <f t="shared" si="2"/>
        <v>5.5126382794635685E-2</v>
      </c>
    </row>
    <row r="10" spans="1:13" x14ac:dyDescent="0.2">
      <c r="A10" s="35" t="s">
        <v>97</v>
      </c>
      <c r="C10" s="36">
        <f>SUM(B2:C2)/SUM(B8:C8)</f>
        <v>2.7643982931702147</v>
      </c>
      <c r="D10" s="36">
        <f t="shared" ref="D10:K10" si="3">SUM(C2:D2)/SUM(C8:D8)</f>
        <v>1.9683378588052751</v>
      </c>
      <c r="E10" s="36">
        <f t="shared" si="3"/>
        <v>1.8680024400544319</v>
      </c>
      <c r="F10" s="36">
        <f t="shared" si="3"/>
        <v>2.4388454866164468</v>
      </c>
      <c r="G10" s="36">
        <f t="shared" si="3"/>
        <v>2.609536393404952</v>
      </c>
      <c r="H10" s="36">
        <f t="shared" si="3"/>
        <v>2.7044556294970103</v>
      </c>
      <c r="I10" s="36">
        <f t="shared" si="3"/>
        <v>2.5399293942772196</v>
      </c>
      <c r="J10" s="36">
        <f t="shared" si="3"/>
        <v>2.5276405150799639</v>
      </c>
      <c r="K10" s="36">
        <f t="shared" si="3"/>
        <v>2.6292749658002732</v>
      </c>
    </row>
    <row r="11" spans="1:13" x14ac:dyDescent="0.2">
      <c r="A11" s="35" t="s">
        <v>17</v>
      </c>
      <c r="B11" s="32">
        <f>'Data Sheet'!B31</f>
        <v>7.78</v>
      </c>
      <c r="C11" s="32">
        <f>'Data Sheet'!C31</f>
        <v>9.7200000000000006</v>
      </c>
      <c r="D11" s="32">
        <f>'Data Sheet'!D31</f>
        <v>9.7200000000000006</v>
      </c>
      <c r="E11" s="32">
        <f>'Data Sheet'!E31</f>
        <v>9.7200000000000006</v>
      </c>
      <c r="F11" s="32">
        <f>'Data Sheet'!F31</f>
        <v>9.7200000000000006</v>
      </c>
      <c r="G11" s="32">
        <f>'Data Sheet'!G31</f>
        <v>9.7200000000000006</v>
      </c>
      <c r="H11" s="32">
        <f>'Data Sheet'!H31</f>
        <v>4.8600000000000003</v>
      </c>
      <c r="I11" s="32">
        <f>'Data Sheet'!I31</f>
        <v>1.94</v>
      </c>
      <c r="J11" s="32">
        <f>'Data Sheet'!J31</f>
        <v>6.8</v>
      </c>
      <c r="K11" s="32">
        <f>'Data Sheet'!K31</f>
        <v>19.440000000000001</v>
      </c>
      <c r="L11" s="36">
        <f>SUM(B11:K11)</f>
        <v>89.419999999999987</v>
      </c>
    </row>
    <row r="12" spans="1:13" x14ac:dyDescent="0.2">
      <c r="A12" s="38" t="s">
        <v>98</v>
      </c>
      <c r="B12" s="37">
        <f>B11/B5</f>
        <v>0.30120015485869145</v>
      </c>
      <c r="C12" s="37">
        <f>C11/C5</f>
        <v>0.22000905387052966</v>
      </c>
      <c r="D12" s="37">
        <f t="shared" ref="D12:K12" si="4">D11/D5</f>
        <v>0.13117408906882594</v>
      </c>
      <c r="E12" s="37">
        <f t="shared" si="4"/>
        <v>0.15311909262759926</v>
      </c>
      <c r="F12" s="37">
        <f t="shared" si="4"/>
        <v>0.27963176064441891</v>
      </c>
      <c r="G12" s="37">
        <f t="shared" si="4"/>
        <v>0.30837563451776651</v>
      </c>
      <c r="H12" s="37">
        <f t="shared" si="4"/>
        <v>0.42894969108561343</v>
      </c>
      <c r="I12" s="37">
        <f t="shared" si="4"/>
        <v>-0.35272727272727272</v>
      </c>
      <c r="J12" s="37">
        <f t="shared" si="4"/>
        <v>0.24584237165582068</v>
      </c>
      <c r="K12" s="37">
        <f t="shared" si="4"/>
        <v>0.20199501246882795</v>
      </c>
    </row>
    <row r="13" spans="1:13" x14ac:dyDescent="0.2">
      <c r="A13" s="38" t="s">
        <v>102</v>
      </c>
      <c r="B13" s="44">
        <f>'Balance Sheet'!B4</f>
        <v>19.440000000000001</v>
      </c>
      <c r="C13" s="44">
        <f>'Balance Sheet'!C4</f>
        <v>19.440000000000001</v>
      </c>
      <c r="D13" s="44">
        <f>'Balance Sheet'!D4</f>
        <v>19.440000000000001</v>
      </c>
      <c r="E13" s="44">
        <f>'Balance Sheet'!E4</f>
        <v>19.440000000000001</v>
      </c>
      <c r="F13" s="44">
        <f>'Balance Sheet'!F4</f>
        <v>19.440000000000001</v>
      </c>
      <c r="G13" s="44">
        <f>'Balance Sheet'!G4</f>
        <v>19.440000000000001</v>
      </c>
      <c r="H13" s="44">
        <f>'Balance Sheet'!H4</f>
        <v>19.440000000000001</v>
      </c>
      <c r="I13" s="44">
        <f>'Balance Sheet'!I4</f>
        <v>19.440000000000001</v>
      </c>
      <c r="J13" s="44">
        <f>'Balance Sheet'!J4</f>
        <v>19.440000000000001</v>
      </c>
      <c r="K13" s="44">
        <f>'Balance Sheet'!K4</f>
        <v>19.440000000000001</v>
      </c>
    </row>
    <row r="14" spans="1:13" x14ac:dyDescent="0.2">
      <c r="A14" s="38" t="s">
        <v>25</v>
      </c>
      <c r="B14" s="44">
        <f>'Balance Sheet'!B5</f>
        <v>131.59</v>
      </c>
      <c r="C14" s="44">
        <f>'Balance Sheet'!C5</f>
        <v>164.15</v>
      </c>
      <c r="D14" s="44">
        <f>'Balance Sheet'!D5</f>
        <v>226.32</v>
      </c>
      <c r="E14" s="44">
        <f>'Balance Sheet'!E5</f>
        <v>272.72000000000003</v>
      </c>
      <c r="F14" s="44">
        <f>'Balance Sheet'!F5</f>
        <v>300.66000000000003</v>
      </c>
      <c r="G14" s="44">
        <f>'Balance Sheet'!G5</f>
        <v>315.39999999999998</v>
      </c>
      <c r="H14" s="44">
        <f>'Balance Sheet'!H5</f>
        <v>327.10000000000002</v>
      </c>
      <c r="I14" s="44">
        <f>'Balance Sheet'!I5</f>
        <v>340.54</v>
      </c>
      <c r="J14" s="44">
        <f>'Balance Sheet'!J5</f>
        <v>361.18</v>
      </c>
      <c r="K14" s="44">
        <f>'Balance Sheet'!K5</f>
        <v>436.83</v>
      </c>
    </row>
    <row r="15" spans="1:13" x14ac:dyDescent="0.2">
      <c r="A15" s="48" t="s">
        <v>103</v>
      </c>
      <c r="B15" s="49">
        <f>SUM(B13:B14)</f>
        <v>151.03</v>
      </c>
      <c r="C15" s="49">
        <f t="shared" ref="C15:K15" si="5">SUM(C13:C14)</f>
        <v>183.59</v>
      </c>
      <c r="D15" s="49">
        <f t="shared" si="5"/>
        <v>245.76</v>
      </c>
      <c r="E15" s="49">
        <f t="shared" si="5"/>
        <v>292.16000000000003</v>
      </c>
      <c r="F15" s="49">
        <f t="shared" si="5"/>
        <v>320.10000000000002</v>
      </c>
      <c r="G15" s="49">
        <f t="shared" si="5"/>
        <v>334.84</v>
      </c>
      <c r="H15" s="49">
        <f t="shared" si="5"/>
        <v>346.54</v>
      </c>
      <c r="I15" s="49">
        <f t="shared" si="5"/>
        <v>359.98</v>
      </c>
      <c r="J15" s="49">
        <f t="shared" si="5"/>
        <v>380.62</v>
      </c>
      <c r="K15" s="49">
        <f t="shared" si="5"/>
        <v>456.27</v>
      </c>
    </row>
    <row r="16" spans="1:13" x14ac:dyDescent="0.2">
      <c r="A16" s="46" t="s">
        <v>99</v>
      </c>
      <c r="B16" s="45">
        <f>'Balance Sheet'!B6</f>
        <v>172.92</v>
      </c>
      <c r="C16" s="45">
        <f>'Balance Sheet'!C6</f>
        <v>150.5</v>
      </c>
      <c r="D16" s="45">
        <f>'Balance Sheet'!D6</f>
        <v>266.37</v>
      </c>
      <c r="E16" s="45">
        <f>'Balance Sheet'!E6</f>
        <v>356.39</v>
      </c>
      <c r="F16" s="45">
        <f>'Balance Sheet'!F6</f>
        <v>402.78</v>
      </c>
      <c r="G16" s="45">
        <f>'Balance Sheet'!G6</f>
        <v>429.19</v>
      </c>
      <c r="H16" s="45">
        <f>'Balance Sheet'!H6</f>
        <v>509.07</v>
      </c>
      <c r="I16" s="45">
        <f>'Balance Sheet'!I6</f>
        <v>586.88</v>
      </c>
      <c r="J16" s="45">
        <f>'Balance Sheet'!J6</f>
        <v>489.75</v>
      </c>
      <c r="K16" s="45">
        <f>'Balance Sheet'!K6</f>
        <v>422.39</v>
      </c>
    </row>
    <row r="17" spans="1:11" x14ac:dyDescent="0.2">
      <c r="A17" s="33" t="s">
        <v>109</v>
      </c>
      <c r="B17" s="41">
        <f>B16/B15</f>
        <v>1.1449380917698471</v>
      </c>
      <c r="C17" s="41">
        <f t="shared" ref="C17:K17" si="6">C16/C15</f>
        <v>0.819761424914211</v>
      </c>
      <c r="D17" s="41">
        <f t="shared" si="6"/>
        <v>1.0838623046875</v>
      </c>
      <c r="E17" s="41">
        <f t="shared" si="6"/>
        <v>1.2198452902519166</v>
      </c>
      <c r="F17" s="41">
        <f t="shared" si="6"/>
        <v>1.2582942830365509</v>
      </c>
      <c r="G17" s="41">
        <f t="shared" si="6"/>
        <v>1.2817763708039662</v>
      </c>
      <c r="H17" s="41">
        <f t="shared" si="6"/>
        <v>1.4690079067351531</v>
      </c>
      <c r="I17" s="41">
        <f t="shared" si="6"/>
        <v>1.6303127951552863</v>
      </c>
      <c r="J17" s="41">
        <f t="shared" si="6"/>
        <v>1.2867164100677841</v>
      </c>
      <c r="K17" s="41">
        <f t="shared" si="6"/>
        <v>0.92574572073552941</v>
      </c>
    </row>
    <row r="19" spans="1:11" x14ac:dyDescent="0.2">
      <c r="A19" s="32" t="s">
        <v>107</v>
      </c>
      <c r="B19" s="54">
        <f>'Balance Sheet'!B23</f>
        <v>0.17102562404820232</v>
      </c>
      <c r="C19" s="54">
        <f>'Balance Sheet'!C23</f>
        <v>0.24064491530039761</v>
      </c>
      <c r="D19" s="54">
        <f>'Balance Sheet'!D23</f>
        <v>0.301513671875</v>
      </c>
      <c r="E19" s="54">
        <f>'Balance Sheet'!E23</f>
        <v>0.21727820372398682</v>
      </c>
      <c r="F19" s="54">
        <f>'Balance Sheet'!F23</f>
        <v>0.10859106529209621</v>
      </c>
      <c r="G19" s="54">
        <f>'Balance Sheet'!G23</f>
        <v>9.4134512005734083E-2</v>
      </c>
      <c r="H19" s="54">
        <f>'Balance Sheet'!H23</f>
        <v>3.2694638425578577E-2</v>
      </c>
      <c r="I19" s="54">
        <f>'Balance Sheet'!I23</f>
        <v>-1.5278626590366131E-2</v>
      </c>
      <c r="J19" s="54">
        <f>'Balance Sheet'!J23</f>
        <v>7.2670905364930899E-2</v>
      </c>
      <c r="K19" s="54">
        <f>'Balance Sheet'!K23</f>
        <v>0.21092774015385626</v>
      </c>
    </row>
    <row r="20" spans="1:11" x14ac:dyDescent="0.2">
      <c r="A20" s="32" t="s">
        <v>108</v>
      </c>
      <c r="B20" s="54">
        <f>'Balance Sheet'!B24</f>
        <v>0.12089987409714405</v>
      </c>
      <c r="C20" s="54">
        <f>'Balance Sheet'!C24</f>
        <v>0.14934920281322581</v>
      </c>
      <c r="D20" s="54">
        <f>'Balance Sheet'!D24</f>
        <v>0.16284380895640954</v>
      </c>
      <c r="E20" s="54">
        <f>'Balance Sheet'!E24</f>
        <v>6.7392122428499762E-2</v>
      </c>
      <c r="F20" s="54">
        <f>'Balance Sheet'!F24</f>
        <v>6.6491407156740789E-2</v>
      </c>
      <c r="G20" s="54">
        <f>'Balance Sheet'!G24</f>
        <v>5.3863323487349707E-2</v>
      </c>
      <c r="H20" s="54">
        <f>'Balance Sheet'!H24</f>
        <v>4.6619576185670385E-2</v>
      </c>
      <c r="I20" s="54">
        <f>'Balance Sheet'!I24</f>
        <v>3.3800017473352914E-2</v>
      </c>
      <c r="J20" s="54">
        <f>'Balance Sheet'!J24</f>
        <v>7.2197855750486928E-2</v>
      </c>
      <c r="K20" s="54">
        <f>'Balance Sheet'!K24</f>
        <v>0.14462271035976229</v>
      </c>
    </row>
    <row r="22" spans="1:11" x14ac:dyDescent="0.2">
      <c r="A22" s="33" t="s">
        <v>101</v>
      </c>
      <c r="B22" s="34" t="s">
        <v>66</v>
      </c>
      <c r="C22" s="34" t="s">
        <v>67</v>
      </c>
      <c r="D22" s="34" t="s">
        <v>68</v>
      </c>
      <c r="E22" s="34" t="s">
        <v>69</v>
      </c>
      <c r="F22" s="39" t="s">
        <v>70</v>
      </c>
      <c r="G22" s="39" t="s">
        <v>20</v>
      </c>
      <c r="H22" s="39" t="s">
        <v>21</v>
      </c>
    </row>
    <row r="23" spans="1:11" x14ac:dyDescent="0.2">
      <c r="A23" s="32" t="str">
        <f>'Profit &amp; Loss'!G23</f>
        <v>Sales Growth</v>
      </c>
      <c r="B23" s="40">
        <f>'Profit &amp; Loss'!H23</f>
        <v>0.13090424763192998</v>
      </c>
      <c r="C23" s="40">
        <f>'Profit &amp; Loss'!I23</f>
        <v>0.14381489119909818</v>
      </c>
      <c r="D23" s="40">
        <f>'Profit &amp; Loss'!J23</f>
        <v>7.3828115618235435E-2</v>
      </c>
      <c r="E23" s="40">
        <f>'Profit &amp; Loss'!K23</f>
        <v>8.5906972465654263E-2</v>
      </c>
      <c r="F23" s="40">
        <f>'Profit &amp; Loss'!L23</f>
        <v>-1.5885546338915996E-2</v>
      </c>
      <c r="G23" s="40">
        <f>'Profit &amp; Loss'!M23</f>
        <v>8.5906972465654263E-2</v>
      </c>
      <c r="H23" s="40">
        <f>'Profit &amp; Loss'!N23</f>
        <v>-1.5885546338915996E-2</v>
      </c>
    </row>
    <row r="24" spans="1:11" x14ac:dyDescent="0.2">
      <c r="A24" s="35" t="s">
        <v>106</v>
      </c>
      <c r="B24" s="50">
        <f>POWER($K3/B3,1/9)-1</f>
        <v>0.11710288763311172</v>
      </c>
      <c r="C24" s="50">
        <f>POWER($K3/D3,1/7)-1</f>
        <v>0.13027667935061493</v>
      </c>
      <c r="D24" s="50">
        <f>POWER($K3/F3,1/7)-1</f>
        <v>0.10532701864327754</v>
      </c>
      <c r="E24" s="50">
        <f>POWER($K3/H3,1/7)-1</f>
        <v>0.12370359119011254</v>
      </c>
      <c r="F24" s="43">
        <f>K3/J3-1</f>
        <v>0.76657723265619682</v>
      </c>
      <c r="G24" s="40">
        <f>E24</f>
        <v>0.12370359119011254</v>
      </c>
      <c r="H24" s="40">
        <f>C24</f>
        <v>0.13027667935061493</v>
      </c>
    </row>
    <row r="25" spans="1:11" x14ac:dyDescent="0.2">
      <c r="A25" s="35" t="s">
        <v>104</v>
      </c>
      <c r="B25" s="50">
        <f>POWER($K5/B5,1/9)-1</f>
        <v>0.15736443919214715</v>
      </c>
      <c r="C25" s="50">
        <f>POWER($K5/D5,1/7)-1</f>
        <v>3.8053242781536101E-2</v>
      </c>
      <c r="D25" s="50">
        <f>POWER($K5/F5,1/7)-1</f>
        <v>0.15659753877027138</v>
      </c>
      <c r="E25" s="50">
        <f>POWER($K5/H5,1/7)-1</f>
        <v>0.35747626079926587</v>
      </c>
      <c r="F25" s="43">
        <f>K5/J5-1</f>
        <v>2.4793926247288502</v>
      </c>
      <c r="G25" s="40">
        <f>E25</f>
        <v>0.35747626079926587</v>
      </c>
      <c r="H25" s="40">
        <f>C25</f>
        <v>3.8053242781536101E-2</v>
      </c>
    </row>
    <row r="26" spans="1:11" x14ac:dyDescent="0.2">
      <c r="A26" s="32" t="str">
        <f>'Profit &amp; Loss'!G24</f>
        <v>OPM</v>
      </c>
      <c r="B26" s="40">
        <f>'Profit &amp; Loss'!H24</f>
        <v>8.6789941851785707E-2</v>
      </c>
      <c r="C26" s="40">
        <f>'Profit &amp; Loss'!I24</f>
        <v>7.7831430224018769E-2</v>
      </c>
      <c r="D26" s="40">
        <f>'Profit &amp; Loss'!J24</f>
        <v>7.495278498534505E-2</v>
      </c>
      <c r="E26" s="40">
        <f>'Profit &amp; Loss'!K24</f>
        <v>7.7852340490227462E-2</v>
      </c>
      <c r="F26" s="40">
        <f>'Profit &amp; Loss'!L24</f>
        <v>0.11149992962882402</v>
      </c>
      <c r="G26" s="40">
        <f>'Profit &amp; Loss'!M24</f>
        <v>0.11149992962882402</v>
      </c>
      <c r="H26" s="40">
        <f>'Profit &amp; Loss'!N24</f>
        <v>7.495278498534505E-2</v>
      </c>
    </row>
    <row r="27" spans="1:11" x14ac:dyDescent="0.2">
      <c r="A27" s="32" t="str">
        <f>'Profit &amp; Loss'!G25</f>
        <v>Price to Earning</v>
      </c>
      <c r="B27" s="41">
        <f>'Profit &amp; Loss'!H25</f>
        <v>5.8732075659983725</v>
      </c>
      <c r="C27" s="41">
        <f>'Profit &amp; Loss'!I25</f>
        <v>6.6483357639275003</v>
      </c>
      <c r="D27" s="41">
        <f>'Profit &amp; Loss'!J25</f>
        <v>7.3723449374590668</v>
      </c>
      <c r="E27" s="41">
        <f>'Profit &amp; Loss'!K25</f>
        <v>6.5450708849033035</v>
      </c>
      <c r="F27" s="41">
        <f>'Profit &amp; Loss'!L25</f>
        <v>6.5640708693860716</v>
      </c>
      <c r="G27" s="41">
        <f>'Profit &amp; Loss'!M25</f>
        <v>6.5640708693860716</v>
      </c>
      <c r="H27" s="41">
        <f>'Profit &amp; Loss'!N25</f>
        <v>5.8732075659983725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Profit &amp; Loss</vt:lpstr>
      <vt:lpstr>Quarters</vt:lpstr>
      <vt:lpstr>Balance Sheet</vt:lpstr>
      <vt:lpstr>Cash Flow</vt:lpstr>
      <vt:lpstr>Customization</vt:lpstr>
      <vt:lpstr>Data Sheet</vt:lpstr>
      <vt:lpstr>SSGR</vt:lpstr>
      <vt:lpstr>UPDATE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vijayga</cp:lastModifiedBy>
  <cp:lastPrinted>2012-12-06T18:14:13Z</cp:lastPrinted>
  <dcterms:created xsi:type="dcterms:W3CDTF">2012-08-17T09:55:37Z</dcterms:created>
  <dcterms:modified xsi:type="dcterms:W3CDTF">2016-12-11T15:48:30Z</dcterms:modified>
</cp:coreProperties>
</file>