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abson\summer term\ccd\sum zero\phoenix lamps\"/>
    </mc:Choice>
  </mc:AlternateContent>
  <bookViews>
    <workbookView xWindow="0" yWindow="0" windowWidth="19605" windowHeight="7680" tabRatio="593" firstSheet="1" activeTab="6"/>
  </bookViews>
  <sheets>
    <sheet name="Profit &amp; Loss" sheetId="1" r:id="rId1"/>
    <sheet name="Quarters" sheetId="2" r:id="rId2"/>
    <sheet name="Balance Sheet" sheetId="3" r:id="rId3"/>
    <sheet name="Cash Flow" sheetId="4" r:id="rId4"/>
    <sheet name="Customization" sheetId="5" r:id="rId5"/>
    <sheet name="Other Input Data" sheetId="6" r:id="rId6"/>
    <sheet name="Data Sheet" sheetId="7" r:id="rId7"/>
    <sheet name="Cost Analysis" sheetId="8" r:id="rId8"/>
  </sheets>
  <definedNames>
    <definedName name="BS">'Balance Sheet'!$A$3:$K$17</definedName>
    <definedName name="PL">'Profit &amp; Loss'!$A$3:$N$21</definedName>
  </definedNames>
  <calcPr calcId="152510"/>
</workbook>
</file>

<file path=xl/calcChain.xml><?xml version="1.0" encoding="utf-8"?>
<calcChain xmlns="http://schemas.openxmlformats.org/spreadsheetml/2006/main">
  <c r="K69" i="7" l="1"/>
  <c r="J69" i="7"/>
  <c r="I69" i="7"/>
  <c r="H69" i="7"/>
  <c r="G69" i="7"/>
  <c r="F69" i="7"/>
  <c r="E69" i="7"/>
  <c r="D69" i="7"/>
  <c r="C69" i="7"/>
  <c r="B69" i="7"/>
  <c r="K16" i="7"/>
  <c r="J16" i="7"/>
  <c r="I16" i="7"/>
  <c r="H16" i="7"/>
  <c r="G16" i="7"/>
  <c r="F16" i="7"/>
  <c r="E16" i="7"/>
  <c r="D16" i="7"/>
  <c r="C16" i="7"/>
  <c r="B16" i="7"/>
  <c r="K27" i="5" l="1"/>
  <c r="K28" i="5" s="1"/>
  <c r="J27" i="5"/>
  <c r="J28" i="5" s="1"/>
  <c r="I27" i="5"/>
  <c r="I28" i="5" s="1"/>
  <c r="H27" i="5"/>
  <c r="H28" i="5" s="1"/>
  <c r="G27" i="5"/>
  <c r="G28" i="5" s="1"/>
  <c r="F27" i="5"/>
  <c r="F28" i="5" s="1"/>
  <c r="E27" i="5"/>
  <c r="E28" i="5" s="1"/>
  <c r="D27" i="5"/>
  <c r="D28" i="5" s="1"/>
  <c r="C27" i="5"/>
  <c r="C28" i="5" s="1"/>
  <c r="B27" i="5"/>
  <c r="B28" i="5" s="1"/>
  <c r="B39" i="6"/>
  <c r="B40" i="6"/>
  <c r="B46" i="6"/>
  <c r="K46" i="6"/>
  <c r="K50" i="6"/>
  <c r="K34" i="6"/>
  <c r="K56" i="5" s="1"/>
  <c r="K35" i="6"/>
  <c r="K30" i="6"/>
  <c r="K36" i="6"/>
  <c r="K69" i="6" s="1"/>
  <c r="K25" i="6"/>
  <c r="K13" i="8" s="1"/>
  <c r="J46" i="6"/>
  <c r="J50" i="6"/>
  <c r="J66" i="6" s="1"/>
  <c r="J34" i="6"/>
  <c r="J35" i="6"/>
  <c r="J56" i="5" s="1"/>
  <c r="J30" i="6"/>
  <c r="J36" i="6"/>
  <c r="J25" i="6"/>
  <c r="J26" i="5" s="1"/>
  <c r="I46" i="6"/>
  <c r="I50" i="6"/>
  <c r="I34" i="6"/>
  <c r="I35" i="6"/>
  <c r="I64" i="6" s="1"/>
  <c r="I30" i="6"/>
  <c r="I36" i="6"/>
  <c r="I25" i="6"/>
  <c r="H46" i="6"/>
  <c r="H50" i="6"/>
  <c r="H34" i="6"/>
  <c r="H35" i="6"/>
  <c r="H30" i="6"/>
  <c r="H36" i="6"/>
  <c r="H57" i="6" s="1"/>
  <c r="H25" i="6"/>
  <c r="G46" i="6"/>
  <c r="G50" i="6"/>
  <c r="G34" i="6"/>
  <c r="G56" i="5" s="1"/>
  <c r="G35" i="6"/>
  <c r="G30" i="6"/>
  <c r="G36" i="6"/>
  <c r="G57" i="6" s="1"/>
  <c r="G25" i="6"/>
  <c r="G13" i="8" s="1"/>
  <c r="F46" i="6"/>
  <c r="F50" i="6"/>
  <c r="F66" i="6" s="1"/>
  <c r="F34" i="6"/>
  <c r="F21" i="5" s="1"/>
  <c r="F35" i="6"/>
  <c r="F57" i="6" s="1"/>
  <c r="F30" i="6"/>
  <c r="F36" i="6"/>
  <c r="F25" i="6"/>
  <c r="F40" i="5" s="1"/>
  <c r="E46" i="6"/>
  <c r="E50" i="6"/>
  <c r="E34" i="6"/>
  <c r="E35" i="6"/>
  <c r="E30" i="6"/>
  <c r="E36" i="6"/>
  <c r="E25" i="6"/>
  <c r="E13" i="8" s="1"/>
  <c r="D46" i="6"/>
  <c r="D25" i="5" s="1"/>
  <c r="D50" i="6"/>
  <c r="D66" i="6" s="1"/>
  <c r="D34" i="6"/>
  <c r="D35" i="6"/>
  <c r="D30" i="6"/>
  <c r="D36" i="6"/>
  <c r="D57" i="6" s="1"/>
  <c r="D25" i="6"/>
  <c r="C46" i="6"/>
  <c r="C50" i="6"/>
  <c r="C57" i="5" s="1"/>
  <c r="C34" i="6"/>
  <c r="C35" i="6"/>
  <c r="C30" i="6"/>
  <c r="C36" i="6"/>
  <c r="C64" i="6" s="1"/>
  <c r="C25" i="6"/>
  <c r="C13" i="8" s="1"/>
  <c r="B37" i="6"/>
  <c r="B42" i="6"/>
  <c r="B43" i="6"/>
  <c r="B28" i="6"/>
  <c r="B34" i="5" s="1"/>
  <c r="B36" i="6"/>
  <c r="C42" i="6"/>
  <c r="C43" i="6"/>
  <c r="C28" i="6"/>
  <c r="C34" i="5" s="1"/>
  <c r="D42" i="6"/>
  <c r="D43" i="6"/>
  <c r="D28" i="6"/>
  <c r="E42" i="6"/>
  <c r="E43" i="6"/>
  <c r="E28" i="6"/>
  <c r="E34" i="5" s="1"/>
  <c r="F42" i="6"/>
  <c r="F43" i="6"/>
  <c r="F20" i="5" s="1"/>
  <c r="F28" i="6"/>
  <c r="G42" i="6"/>
  <c r="G43" i="6"/>
  <c r="G28" i="6"/>
  <c r="G34" i="5" s="1"/>
  <c r="H42" i="6"/>
  <c r="H43" i="6"/>
  <c r="H28" i="6"/>
  <c r="H34" i="5" s="1"/>
  <c r="I42" i="6"/>
  <c r="I43" i="6"/>
  <c r="I28" i="6"/>
  <c r="I34" i="5" s="1"/>
  <c r="J42" i="6"/>
  <c r="J43" i="6"/>
  <c r="J20" i="5" s="1"/>
  <c r="J28" i="6"/>
  <c r="K42" i="6"/>
  <c r="K43" i="6"/>
  <c r="K28" i="6"/>
  <c r="K34" i="5" s="1"/>
  <c r="B34" i="6"/>
  <c r="B50" i="6"/>
  <c r="B35" i="6"/>
  <c r="B30" i="6"/>
  <c r="D16" i="5" s="1"/>
  <c r="B25" i="6"/>
  <c r="K44" i="6"/>
  <c r="K45" i="6"/>
  <c r="K33" i="6"/>
  <c r="K32" i="6"/>
  <c r="J44" i="6"/>
  <c r="J45" i="6"/>
  <c r="J33" i="6"/>
  <c r="J32" i="6"/>
  <c r="I44" i="6"/>
  <c r="I45" i="6"/>
  <c r="I33" i="6"/>
  <c r="I32" i="6"/>
  <c r="H44" i="6"/>
  <c r="H45" i="6"/>
  <c r="H33" i="6"/>
  <c r="H32" i="6"/>
  <c r="G44" i="6"/>
  <c r="G45" i="6"/>
  <c r="G33" i="6"/>
  <c r="G54" i="6" s="1"/>
  <c r="G32" i="6"/>
  <c r="F44" i="6"/>
  <c r="F45" i="6"/>
  <c r="F33" i="6"/>
  <c r="F54" i="6" s="1"/>
  <c r="F32" i="6"/>
  <c r="E44" i="6"/>
  <c r="E45" i="6"/>
  <c r="E33" i="6"/>
  <c r="E54" i="6" s="1"/>
  <c r="E32" i="6"/>
  <c r="D44" i="6"/>
  <c r="D45" i="6"/>
  <c r="D33" i="6"/>
  <c r="D54" i="6" s="1"/>
  <c r="D32" i="6"/>
  <c r="C44" i="6"/>
  <c r="C45" i="6"/>
  <c r="C33" i="6"/>
  <c r="C54" i="6" s="1"/>
  <c r="C32" i="6"/>
  <c r="B44" i="6"/>
  <c r="B45" i="6"/>
  <c r="B33" i="6"/>
  <c r="B54" i="6" s="1"/>
  <c r="B32" i="6"/>
  <c r="H4" i="2"/>
  <c r="I4" i="2"/>
  <c r="J4" i="2"/>
  <c r="K19" i="2" s="1"/>
  <c r="K4" i="2"/>
  <c r="D4" i="2"/>
  <c r="E4" i="2"/>
  <c r="F4" i="2"/>
  <c r="G4" i="2"/>
  <c r="H14" i="2"/>
  <c r="I14" i="2"/>
  <c r="J14" i="2"/>
  <c r="K14" i="2"/>
  <c r="H8" i="2"/>
  <c r="I8" i="2"/>
  <c r="J8" i="2"/>
  <c r="L8" i="1" s="1"/>
  <c r="K8" i="2"/>
  <c r="D14" i="2"/>
  <c r="E14" i="2"/>
  <c r="F14" i="2"/>
  <c r="G14" i="2"/>
  <c r="D8" i="2"/>
  <c r="E8" i="2"/>
  <c r="F8" i="2"/>
  <c r="G8" i="2"/>
  <c r="K20" i="1"/>
  <c r="J20" i="1"/>
  <c r="I20" i="1"/>
  <c r="H20" i="1"/>
  <c r="G20" i="1"/>
  <c r="F20" i="1"/>
  <c r="E20" i="1"/>
  <c r="D20" i="1"/>
  <c r="C20" i="1"/>
  <c r="B20" i="1"/>
  <c r="B7" i="3"/>
  <c r="B8" i="3"/>
  <c r="C7" i="3"/>
  <c r="C8" i="3"/>
  <c r="D7" i="3"/>
  <c r="D8" i="3"/>
  <c r="E7" i="3"/>
  <c r="E8" i="3"/>
  <c r="F7" i="3"/>
  <c r="F34" i="3" s="1"/>
  <c r="F8" i="3"/>
  <c r="G7" i="3"/>
  <c r="G8" i="3"/>
  <c r="H7" i="3"/>
  <c r="H8" i="3"/>
  <c r="I7" i="3"/>
  <c r="I8" i="3"/>
  <c r="J7" i="3"/>
  <c r="J8" i="3"/>
  <c r="K7" i="3"/>
  <c r="K8" i="3"/>
  <c r="B6" i="3"/>
  <c r="B33" i="3" s="1"/>
  <c r="C6" i="3"/>
  <c r="D6" i="3"/>
  <c r="D33" i="3" s="1"/>
  <c r="E6" i="3"/>
  <c r="E33" i="3" s="1"/>
  <c r="F6" i="3"/>
  <c r="F33" i="3" s="1"/>
  <c r="G6" i="3"/>
  <c r="H6" i="3"/>
  <c r="I6" i="3"/>
  <c r="I33" i="3" s="1"/>
  <c r="J6" i="3"/>
  <c r="J33" i="3" s="1"/>
  <c r="K6" i="3"/>
  <c r="B12" i="3"/>
  <c r="B13" i="3"/>
  <c r="C12" i="3"/>
  <c r="C13" i="3"/>
  <c r="D12" i="3"/>
  <c r="D13" i="3"/>
  <c r="D30" i="3" s="1"/>
  <c r="E12" i="3"/>
  <c r="E13" i="3"/>
  <c r="F12" i="3"/>
  <c r="F13" i="3"/>
  <c r="G12" i="3"/>
  <c r="G13" i="3"/>
  <c r="G30" i="3" s="1"/>
  <c r="H12" i="3"/>
  <c r="H13" i="3"/>
  <c r="H30" i="3" s="1"/>
  <c r="I12" i="3"/>
  <c r="I13" i="3"/>
  <c r="J12" i="3"/>
  <c r="J13" i="3"/>
  <c r="K12" i="3"/>
  <c r="K13" i="3"/>
  <c r="B11" i="3"/>
  <c r="C11" i="3"/>
  <c r="C28" i="3" s="1"/>
  <c r="D11" i="3"/>
  <c r="E11" i="3"/>
  <c r="F11" i="3"/>
  <c r="G11" i="3"/>
  <c r="H11" i="3"/>
  <c r="I11" i="3"/>
  <c r="I28" i="3" s="1"/>
  <c r="J11" i="3"/>
  <c r="K11" i="3"/>
  <c r="B10" i="3"/>
  <c r="C10" i="3"/>
  <c r="C27" i="3" s="1"/>
  <c r="D10" i="3"/>
  <c r="E10" i="3"/>
  <c r="F10" i="3"/>
  <c r="G10" i="3"/>
  <c r="H10" i="3"/>
  <c r="I10" i="3"/>
  <c r="J10" i="3"/>
  <c r="J27" i="3" s="1"/>
  <c r="K10" i="3"/>
  <c r="K27" i="3" s="1"/>
  <c r="B9" i="3"/>
  <c r="C9" i="3"/>
  <c r="C26" i="3" s="1"/>
  <c r="D9" i="3"/>
  <c r="E9" i="3"/>
  <c r="F9" i="3"/>
  <c r="G9" i="3"/>
  <c r="H9" i="3"/>
  <c r="I9" i="3"/>
  <c r="I26" i="3" s="1"/>
  <c r="J9" i="3"/>
  <c r="K9" i="3"/>
  <c r="K26" i="3" s="1"/>
  <c r="A34" i="3"/>
  <c r="A33" i="3"/>
  <c r="K30" i="3"/>
  <c r="I30" i="3"/>
  <c r="E30" i="3"/>
  <c r="C30" i="3"/>
  <c r="A30" i="3"/>
  <c r="A29" i="3"/>
  <c r="A28" i="3"/>
  <c r="A27" i="3"/>
  <c r="A26" i="3"/>
  <c r="K3" i="3"/>
  <c r="K25" i="3" s="1"/>
  <c r="J3" i="3"/>
  <c r="J25" i="3" s="1"/>
  <c r="I3" i="3"/>
  <c r="I25" i="3" s="1"/>
  <c r="H3" i="3"/>
  <c r="H25" i="3" s="1"/>
  <c r="G3" i="3"/>
  <c r="G25" i="3" s="1"/>
  <c r="F3" i="3"/>
  <c r="F25" i="3" s="1"/>
  <c r="E3" i="3"/>
  <c r="E25" i="3" s="1"/>
  <c r="D3" i="3"/>
  <c r="D25" i="3" s="1"/>
  <c r="C3" i="3"/>
  <c r="C25" i="3" s="1"/>
  <c r="B3" i="3"/>
  <c r="B25" i="3" s="1"/>
  <c r="K4" i="4"/>
  <c r="B52" i="6" s="1"/>
  <c r="B29" i="6"/>
  <c r="C29" i="6"/>
  <c r="D29" i="6"/>
  <c r="E29" i="6"/>
  <c r="F29" i="6"/>
  <c r="G29" i="6"/>
  <c r="H29" i="6"/>
  <c r="I29" i="6"/>
  <c r="J29" i="6"/>
  <c r="K29" i="6"/>
  <c r="A1" i="1"/>
  <c r="A1" i="3" s="1"/>
  <c r="A1" i="4" s="1"/>
  <c r="B4" i="3"/>
  <c r="C4" i="3"/>
  <c r="D4" i="3"/>
  <c r="E4" i="3"/>
  <c r="F4" i="3"/>
  <c r="G4" i="3"/>
  <c r="H4" i="3"/>
  <c r="I4" i="3"/>
  <c r="J4" i="3"/>
  <c r="K4" i="3"/>
  <c r="B5" i="3"/>
  <c r="C5" i="3"/>
  <c r="D5" i="3"/>
  <c r="E5" i="3"/>
  <c r="F5" i="3"/>
  <c r="G5" i="3"/>
  <c r="H5" i="3"/>
  <c r="I5" i="3"/>
  <c r="J5" i="3"/>
  <c r="K5" i="3"/>
  <c r="B16" i="3"/>
  <c r="C16" i="3"/>
  <c r="D16" i="3"/>
  <c r="E16" i="3"/>
  <c r="F16" i="3"/>
  <c r="G16" i="3"/>
  <c r="H16" i="3"/>
  <c r="I16" i="3"/>
  <c r="J16" i="3"/>
  <c r="K16" i="3"/>
  <c r="B17" i="3"/>
  <c r="C17" i="3"/>
  <c r="D17" i="3"/>
  <c r="E17" i="3"/>
  <c r="F17" i="3"/>
  <c r="G17" i="3"/>
  <c r="H17" i="3"/>
  <c r="I17" i="3"/>
  <c r="J17" i="3"/>
  <c r="K17" i="3"/>
  <c r="B4" i="1"/>
  <c r="B19" i="3" s="1"/>
  <c r="C4" i="1"/>
  <c r="C19" i="3" s="1"/>
  <c r="D4" i="1"/>
  <c r="D19" i="3" s="1"/>
  <c r="E4" i="1"/>
  <c r="E19" i="3" s="1"/>
  <c r="F4" i="1"/>
  <c r="F19" i="3" s="1"/>
  <c r="G4" i="1"/>
  <c r="G19" i="3" s="1"/>
  <c r="H4" i="1"/>
  <c r="H19" i="3" s="1"/>
  <c r="I4" i="1"/>
  <c r="I19" i="3" s="1"/>
  <c r="J4" i="1"/>
  <c r="J19" i="3" s="1"/>
  <c r="K4" i="1"/>
  <c r="K19" i="3" s="1"/>
  <c r="B20" i="3"/>
  <c r="C20" i="3"/>
  <c r="D20" i="3"/>
  <c r="E20" i="3"/>
  <c r="F20" i="3"/>
  <c r="B14" i="1"/>
  <c r="C14" i="1"/>
  <c r="D14" i="1"/>
  <c r="E14" i="1"/>
  <c r="F14" i="1"/>
  <c r="G14" i="1"/>
  <c r="H14" i="1"/>
  <c r="I14" i="1"/>
  <c r="J14" i="1"/>
  <c r="K14" i="1"/>
  <c r="B10" i="1"/>
  <c r="B13" i="1"/>
  <c r="C10" i="1"/>
  <c r="C13" i="1"/>
  <c r="D10" i="1"/>
  <c r="D13" i="1"/>
  <c r="E10" i="1"/>
  <c r="E13" i="1"/>
  <c r="F10" i="1"/>
  <c r="F13" i="1"/>
  <c r="G10" i="1"/>
  <c r="G13" i="1"/>
  <c r="H10" i="1"/>
  <c r="H13" i="1"/>
  <c r="I10" i="1"/>
  <c r="I13" i="1"/>
  <c r="J10" i="1"/>
  <c r="J13" i="1"/>
  <c r="K10" i="1"/>
  <c r="K13" i="1"/>
  <c r="B3" i="4"/>
  <c r="C3" i="4"/>
  <c r="D3" i="4"/>
  <c r="E3" i="4"/>
  <c r="F3" i="4"/>
  <c r="G3" i="4"/>
  <c r="H3" i="4"/>
  <c r="I3" i="4"/>
  <c r="J3" i="4"/>
  <c r="K3" i="4"/>
  <c r="B4" i="4"/>
  <c r="K52" i="6" s="1"/>
  <c r="K53" i="6" s="1"/>
  <c r="C4" i="4"/>
  <c r="D4" i="4"/>
  <c r="I52" i="6" s="1"/>
  <c r="I31" i="5" s="1"/>
  <c r="E4" i="4"/>
  <c r="F4" i="4"/>
  <c r="G52" i="6" s="1"/>
  <c r="G31" i="5" s="1"/>
  <c r="G4" i="4"/>
  <c r="H4" i="4"/>
  <c r="E52" i="6" s="1"/>
  <c r="E61" i="6" s="1"/>
  <c r="I4" i="4"/>
  <c r="D52" i="6" s="1"/>
  <c r="J4" i="4"/>
  <c r="C52" i="6" s="1"/>
  <c r="C31" i="5" s="1"/>
  <c r="B5" i="4"/>
  <c r="C5" i="4"/>
  <c r="D5" i="4"/>
  <c r="E5" i="4"/>
  <c r="F5" i="4"/>
  <c r="G5" i="4"/>
  <c r="H5" i="4"/>
  <c r="I5" i="4"/>
  <c r="J5" i="4"/>
  <c r="K5" i="4"/>
  <c r="B6" i="4"/>
  <c r="C6" i="4"/>
  <c r="D6" i="4"/>
  <c r="E6" i="4"/>
  <c r="F6" i="4"/>
  <c r="G6" i="4"/>
  <c r="H6" i="4"/>
  <c r="I6" i="4"/>
  <c r="J6" i="4"/>
  <c r="K6" i="4"/>
  <c r="B7" i="4"/>
  <c r="C7" i="4"/>
  <c r="D7" i="4"/>
  <c r="E7" i="4"/>
  <c r="F7" i="4"/>
  <c r="G7" i="4"/>
  <c r="H7" i="4"/>
  <c r="I7" i="4"/>
  <c r="J7" i="4"/>
  <c r="K7" i="4"/>
  <c r="B8" i="4"/>
  <c r="C8" i="4"/>
  <c r="D8" i="4"/>
  <c r="E8" i="4"/>
  <c r="F8" i="4"/>
  <c r="G8" i="4"/>
  <c r="H8" i="4"/>
  <c r="I8" i="4"/>
  <c r="J8" i="4"/>
  <c r="K8" i="4"/>
  <c r="A1" i="8"/>
  <c r="B3" i="8"/>
  <c r="C3" i="8"/>
  <c r="D3" i="8"/>
  <c r="E3" i="8"/>
  <c r="F3" i="8"/>
  <c r="G3" i="8"/>
  <c r="H3" i="8"/>
  <c r="I3" i="8"/>
  <c r="J3" i="8"/>
  <c r="K3" i="8"/>
  <c r="B4" i="8"/>
  <c r="C4" i="8"/>
  <c r="D4" i="8"/>
  <c r="E4" i="8"/>
  <c r="F4" i="8"/>
  <c r="G4" i="8"/>
  <c r="H4" i="8"/>
  <c r="I4" i="8"/>
  <c r="J4" i="8"/>
  <c r="K4" i="8"/>
  <c r="L4" i="8"/>
  <c r="B5" i="8"/>
  <c r="C5" i="8"/>
  <c r="D5" i="8"/>
  <c r="E5" i="8"/>
  <c r="F5" i="8"/>
  <c r="G5" i="8"/>
  <c r="H5" i="8"/>
  <c r="I5" i="8"/>
  <c r="J5" i="8"/>
  <c r="K5" i="8"/>
  <c r="L5" i="8"/>
  <c r="C49" i="8" s="1"/>
  <c r="B6" i="8"/>
  <c r="L6" i="8" s="1"/>
  <c r="C50" i="8" s="1"/>
  <c r="C6" i="8"/>
  <c r="D6" i="8"/>
  <c r="E6" i="8"/>
  <c r="F6" i="8"/>
  <c r="G6" i="8"/>
  <c r="H6" i="8"/>
  <c r="I6" i="8"/>
  <c r="J6" i="8"/>
  <c r="K6" i="8"/>
  <c r="B7" i="8"/>
  <c r="L7" i="8" s="1"/>
  <c r="C51" i="8" s="1"/>
  <c r="C7" i="8"/>
  <c r="D7" i="8"/>
  <c r="E7" i="8"/>
  <c r="F7" i="8"/>
  <c r="G7" i="8"/>
  <c r="H7" i="8"/>
  <c r="I7" i="8"/>
  <c r="J7" i="8"/>
  <c r="K7" i="8"/>
  <c r="B8" i="8"/>
  <c r="C8" i="8"/>
  <c r="D8" i="8"/>
  <c r="E8" i="8"/>
  <c r="F8" i="8"/>
  <c r="G8" i="8"/>
  <c r="H8" i="8"/>
  <c r="I8" i="8"/>
  <c r="J8" i="8"/>
  <c r="K8" i="8"/>
  <c r="L8" i="8"/>
  <c r="C52" i="8" s="1"/>
  <c r="B9" i="8"/>
  <c r="C9" i="8"/>
  <c r="D9" i="8"/>
  <c r="E9" i="8"/>
  <c r="F9" i="8"/>
  <c r="G9" i="8"/>
  <c r="H9" i="8"/>
  <c r="I9" i="8"/>
  <c r="J9" i="8"/>
  <c r="K9" i="8"/>
  <c r="L9" i="8"/>
  <c r="C53" i="8" s="1"/>
  <c r="B10" i="8"/>
  <c r="L10" i="8" s="1"/>
  <c r="C54" i="8" s="1"/>
  <c r="C10" i="8"/>
  <c r="D10" i="8"/>
  <c r="E10" i="8"/>
  <c r="F10" i="8"/>
  <c r="G10" i="8"/>
  <c r="H10" i="8"/>
  <c r="I10" i="8"/>
  <c r="J10" i="8"/>
  <c r="K10" i="8"/>
  <c r="B13" i="8"/>
  <c r="B20" i="8" s="1"/>
  <c r="I13" i="8"/>
  <c r="B14" i="8"/>
  <c r="C14" i="8"/>
  <c r="D14" i="8"/>
  <c r="E14" i="8"/>
  <c r="F14" i="8"/>
  <c r="G14" i="8"/>
  <c r="H14" i="8"/>
  <c r="I14" i="8"/>
  <c r="J14" i="8"/>
  <c r="K14" i="8"/>
  <c r="L14" i="8"/>
  <c r="B18" i="8"/>
  <c r="C18" i="8"/>
  <c r="D18" i="8"/>
  <c r="E18" i="8"/>
  <c r="F18" i="8"/>
  <c r="G18" i="8"/>
  <c r="H18" i="8"/>
  <c r="I18" i="8"/>
  <c r="J18" i="8"/>
  <c r="K18" i="8"/>
  <c r="M20" i="8"/>
  <c r="M21" i="8"/>
  <c r="M22" i="8"/>
  <c r="M23" i="8"/>
  <c r="M24" i="8"/>
  <c r="M25" i="8"/>
  <c r="M26" i="8"/>
  <c r="B28" i="8"/>
  <c r="C28" i="8"/>
  <c r="D28" i="8"/>
  <c r="E28" i="8"/>
  <c r="F28" i="8"/>
  <c r="G28" i="8"/>
  <c r="H28" i="8"/>
  <c r="I28" i="8"/>
  <c r="J28" i="8"/>
  <c r="K28" i="8"/>
  <c r="M29" i="8"/>
  <c r="M30" i="8"/>
  <c r="M31" i="8"/>
  <c r="B38" i="8"/>
  <c r="C38" i="8"/>
  <c r="D38" i="8"/>
  <c r="E38" i="8"/>
  <c r="F38" i="8"/>
  <c r="G38" i="8"/>
  <c r="H38" i="8"/>
  <c r="I38" i="8"/>
  <c r="J38" i="8"/>
  <c r="K38" i="8"/>
  <c r="G44" i="8"/>
  <c r="A49" i="8"/>
  <c r="B49" i="8"/>
  <c r="A50" i="8"/>
  <c r="A51" i="8"/>
  <c r="A52" i="8"/>
  <c r="A53" i="8"/>
  <c r="B53" i="8"/>
  <c r="A54" i="8"/>
  <c r="A55" i="8"/>
  <c r="A1" i="5"/>
  <c r="K40" i="6"/>
  <c r="K39" i="6"/>
  <c r="B62" i="5"/>
  <c r="H16" i="5" s="1"/>
  <c r="K62" i="5"/>
  <c r="H40" i="6"/>
  <c r="H39" i="6"/>
  <c r="H62" i="5"/>
  <c r="C6" i="5" s="1"/>
  <c r="B16" i="1"/>
  <c r="C16" i="1"/>
  <c r="D16" i="1"/>
  <c r="E16" i="1"/>
  <c r="F16" i="1"/>
  <c r="G16" i="1"/>
  <c r="H16" i="1"/>
  <c r="I16" i="1"/>
  <c r="J16" i="1"/>
  <c r="K16" i="1"/>
  <c r="C40" i="6"/>
  <c r="C39" i="6"/>
  <c r="B52" i="5" s="1"/>
  <c r="D40" i="6"/>
  <c r="D39" i="6"/>
  <c r="E40" i="6"/>
  <c r="E39" i="6"/>
  <c r="D52" i="5" s="1"/>
  <c r="F40" i="6"/>
  <c r="F39" i="6"/>
  <c r="G40" i="6"/>
  <c r="G39" i="6"/>
  <c r="I40" i="6"/>
  <c r="I39" i="6"/>
  <c r="J40" i="6"/>
  <c r="J39" i="6"/>
  <c r="F52" i="6"/>
  <c r="H52" i="6"/>
  <c r="H31" i="5" s="1"/>
  <c r="J52" i="6"/>
  <c r="J31" i="5" s="1"/>
  <c r="B62" i="6"/>
  <c r="E64" i="6"/>
  <c r="G64" i="6"/>
  <c r="H12" i="2"/>
  <c r="I12" i="2"/>
  <c r="J12" i="2"/>
  <c r="K12" i="2"/>
  <c r="F62" i="5"/>
  <c r="D62" i="5"/>
  <c r="C62" i="5"/>
  <c r="A12" i="5"/>
  <c r="B26" i="6"/>
  <c r="B27" i="6" s="1"/>
  <c r="K26" i="6"/>
  <c r="B14" i="5"/>
  <c r="F26" i="6"/>
  <c r="F27" i="6" s="1"/>
  <c r="B15" i="5"/>
  <c r="D26" i="6"/>
  <c r="D27" i="6" s="1"/>
  <c r="D33" i="5" s="1"/>
  <c r="C26" i="6"/>
  <c r="A18" i="5"/>
  <c r="B24" i="6"/>
  <c r="B18" i="5" s="1"/>
  <c r="C24" i="6"/>
  <c r="C18" i="5" s="1"/>
  <c r="D24" i="6"/>
  <c r="D18" i="5" s="1"/>
  <c r="E24" i="6"/>
  <c r="E18" i="5" s="1"/>
  <c r="F24" i="6"/>
  <c r="F18" i="5" s="1"/>
  <c r="G24" i="6"/>
  <c r="G18" i="5" s="1"/>
  <c r="H24" i="6"/>
  <c r="H18" i="5" s="1"/>
  <c r="I24" i="6"/>
  <c r="I18" i="5" s="1"/>
  <c r="J24" i="6"/>
  <c r="J18" i="5" s="1"/>
  <c r="K24" i="6"/>
  <c r="K18" i="5" s="1"/>
  <c r="D20" i="5"/>
  <c r="H20" i="5"/>
  <c r="B21" i="5"/>
  <c r="D21" i="5"/>
  <c r="E21" i="5"/>
  <c r="H21" i="5"/>
  <c r="I21" i="5"/>
  <c r="D22" i="5"/>
  <c r="H22" i="5"/>
  <c r="B31" i="6"/>
  <c r="C31" i="6"/>
  <c r="D31" i="6"/>
  <c r="D24" i="5" s="1"/>
  <c r="E31" i="6"/>
  <c r="F31" i="6"/>
  <c r="F24" i="5" s="1"/>
  <c r="G31" i="6"/>
  <c r="H31" i="6"/>
  <c r="H24" i="5" s="1"/>
  <c r="I31" i="6"/>
  <c r="J31" i="6"/>
  <c r="J24" i="5" s="1"/>
  <c r="K31" i="6"/>
  <c r="B25" i="5"/>
  <c r="H25" i="5"/>
  <c r="J25" i="5"/>
  <c r="B29" i="5"/>
  <c r="C29" i="5"/>
  <c r="D29" i="5"/>
  <c r="E29" i="5"/>
  <c r="F29" i="5"/>
  <c r="G29" i="5"/>
  <c r="H29" i="5"/>
  <c r="I29" i="5"/>
  <c r="J29" i="5"/>
  <c r="K29" i="5"/>
  <c r="B30" i="5"/>
  <c r="C30" i="5"/>
  <c r="D30" i="5"/>
  <c r="E30" i="5"/>
  <c r="F30" i="5"/>
  <c r="G30" i="5"/>
  <c r="H30" i="5"/>
  <c r="I30" i="5"/>
  <c r="J30" i="5"/>
  <c r="K30" i="5"/>
  <c r="E26" i="6"/>
  <c r="G26" i="6"/>
  <c r="H26" i="6"/>
  <c r="H27" i="6" s="1"/>
  <c r="H33" i="5" s="1"/>
  <c r="I26" i="6"/>
  <c r="I27" i="6" s="1"/>
  <c r="I33" i="5" s="1"/>
  <c r="J26" i="6"/>
  <c r="D34" i="5"/>
  <c r="F34" i="5"/>
  <c r="D35" i="5"/>
  <c r="E35" i="5"/>
  <c r="H35" i="5"/>
  <c r="I35" i="5"/>
  <c r="J35" i="5"/>
  <c r="B39" i="5"/>
  <c r="E39" i="5"/>
  <c r="J39" i="5"/>
  <c r="B40" i="5"/>
  <c r="D53" i="5"/>
  <c r="H53" i="5"/>
  <c r="K55" i="5"/>
  <c r="B57" i="5"/>
  <c r="E57" i="5"/>
  <c r="F57" i="5"/>
  <c r="G57" i="5"/>
  <c r="I57" i="5"/>
  <c r="J57" i="5"/>
  <c r="K57" i="5"/>
  <c r="E62" i="5"/>
  <c r="G62" i="5"/>
  <c r="I62" i="5"/>
  <c r="J62" i="5"/>
  <c r="J63" i="5" s="1"/>
  <c r="A1" i="6"/>
  <c r="A4" i="6"/>
  <c r="B4" i="6"/>
  <c r="C4" i="6"/>
  <c r="D4" i="6"/>
  <c r="E4" i="6"/>
  <c r="F4" i="6"/>
  <c r="G4" i="6"/>
  <c r="H4" i="6"/>
  <c r="I4" i="6"/>
  <c r="J4" i="6"/>
  <c r="K4" i="6"/>
  <c r="B14" i="6"/>
  <c r="C14" i="6"/>
  <c r="D14" i="6"/>
  <c r="E14" i="6"/>
  <c r="F14" i="6"/>
  <c r="G14" i="6"/>
  <c r="H14" i="6"/>
  <c r="I14" i="6"/>
  <c r="J14" i="6"/>
  <c r="K14" i="6"/>
  <c r="A24" i="6"/>
  <c r="A26" i="6"/>
  <c r="E57" i="6"/>
  <c r="B3" i="1"/>
  <c r="C3" i="1"/>
  <c r="D3" i="1"/>
  <c r="E3" i="1"/>
  <c r="F3" i="1"/>
  <c r="G3" i="1"/>
  <c r="H3" i="1"/>
  <c r="I3" i="1"/>
  <c r="J3" i="1"/>
  <c r="K3" i="1"/>
  <c r="J24" i="1"/>
  <c r="B6" i="1"/>
  <c r="C6" i="1"/>
  <c r="D6" i="1"/>
  <c r="E6" i="1"/>
  <c r="F6" i="1"/>
  <c r="F21" i="1" s="1"/>
  <c r="G6" i="1"/>
  <c r="H6" i="1"/>
  <c r="I6" i="1"/>
  <c r="J6" i="1"/>
  <c r="K6" i="1"/>
  <c r="H6" i="2"/>
  <c r="I6" i="2"/>
  <c r="I5" i="2" s="1"/>
  <c r="J6" i="2"/>
  <c r="K6" i="2"/>
  <c r="K5" i="2" s="1"/>
  <c r="B7" i="1"/>
  <c r="C7" i="1"/>
  <c r="D7" i="1"/>
  <c r="E7" i="1"/>
  <c r="F7" i="1"/>
  <c r="G7" i="1"/>
  <c r="H7" i="1"/>
  <c r="I7" i="1"/>
  <c r="J7" i="1"/>
  <c r="K7" i="1"/>
  <c r="H7" i="2"/>
  <c r="I7" i="2"/>
  <c r="J7" i="2"/>
  <c r="K7" i="2"/>
  <c r="B8" i="1"/>
  <c r="C8" i="1"/>
  <c r="D8" i="1"/>
  <c r="E8" i="1"/>
  <c r="F8" i="1"/>
  <c r="G8" i="1"/>
  <c r="H8" i="1"/>
  <c r="I8" i="1"/>
  <c r="J8" i="1"/>
  <c r="K8" i="1"/>
  <c r="B9" i="1"/>
  <c r="C9" i="1"/>
  <c r="D9" i="1"/>
  <c r="E9" i="1"/>
  <c r="F9" i="1"/>
  <c r="G9" i="1"/>
  <c r="H9" i="1"/>
  <c r="I9" i="1"/>
  <c r="J9" i="1"/>
  <c r="K9" i="1"/>
  <c r="H9" i="2"/>
  <c r="I9" i="2"/>
  <c r="J9" i="2"/>
  <c r="K9" i="2"/>
  <c r="H10" i="2"/>
  <c r="I10" i="2"/>
  <c r="J10" i="2"/>
  <c r="K10" i="2"/>
  <c r="B11" i="1"/>
  <c r="C11" i="1"/>
  <c r="D11" i="1"/>
  <c r="E11" i="1"/>
  <c r="F11" i="1"/>
  <c r="G11" i="1"/>
  <c r="H11" i="1"/>
  <c r="I11" i="1"/>
  <c r="J11" i="1"/>
  <c r="K11" i="1"/>
  <c r="H11" i="2"/>
  <c r="I11" i="2"/>
  <c r="J11" i="2"/>
  <c r="K11" i="2"/>
  <c r="B12" i="1"/>
  <c r="C12" i="1"/>
  <c r="D12" i="1"/>
  <c r="E12" i="1"/>
  <c r="F12" i="1"/>
  <c r="G12" i="1"/>
  <c r="H12" i="1"/>
  <c r="I12" i="1"/>
  <c r="J12" i="1"/>
  <c r="K12" i="1"/>
  <c r="H13" i="2"/>
  <c r="I13" i="2"/>
  <c r="J13" i="2"/>
  <c r="K13" i="2"/>
  <c r="L17" i="1"/>
  <c r="K26" i="1"/>
  <c r="H26" i="1"/>
  <c r="I26" i="1"/>
  <c r="J26" i="1"/>
  <c r="B3" i="2"/>
  <c r="C3" i="2"/>
  <c r="D3" i="2"/>
  <c r="E3" i="2"/>
  <c r="F3" i="2"/>
  <c r="G3" i="2"/>
  <c r="H3" i="2"/>
  <c r="I3" i="2"/>
  <c r="J3" i="2"/>
  <c r="K3" i="2"/>
  <c r="B4" i="2"/>
  <c r="C4" i="2"/>
  <c r="B6" i="2"/>
  <c r="C6" i="2"/>
  <c r="D6" i="2"/>
  <c r="D16" i="2" s="1"/>
  <c r="E6" i="2"/>
  <c r="F6" i="2"/>
  <c r="G6" i="2"/>
  <c r="G5" i="2" s="1"/>
  <c r="B7" i="2"/>
  <c r="C7" i="2"/>
  <c r="D7" i="2"/>
  <c r="E7" i="2"/>
  <c r="F7" i="2"/>
  <c r="G7" i="2"/>
  <c r="B8" i="2"/>
  <c r="C8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E16" i="2"/>
  <c r="H66" i="6" l="1"/>
  <c r="D5" i="1"/>
  <c r="I57" i="6"/>
  <c r="J40" i="5"/>
  <c r="J34" i="5"/>
  <c r="F25" i="5"/>
  <c r="K57" i="6"/>
  <c r="K64" i="6"/>
  <c r="F31" i="5"/>
  <c r="J26" i="3"/>
  <c r="F26" i="3"/>
  <c r="H27" i="3"/>
  <c r="D27" i="3"/>
  <c r="J28" i="3"/>
  <c r="F28" i="3"/>
  <c r="B28" i="3"/>
  <c r="D15" i="5"/>
  <c r="B13" i="5"/>
  <c r="H5" i="1"/>
  <c r="I24" i="1"/>
  <c r="I54" i="5"/>
  <c r="G27" i="6"/>
  <c r="G33" i="5" s="1"/>
  <c r="E5" i="2"/>
  <c r="C16" i="2"/>
  <c r="H21" i="1"/>
  <c r="K5" i="1"/>
  <c r="G5" i="1"/>
  <c r="C5" i="1"/>
  <c r="K24" i="1"/>
  <c r="E54" i="5"/>
  <c r="F35" i="5"/>
  <c r="J27" i="6"/>
  <c r="J33" i="5" s="1"/>
  <c r="C33" i="3"/>
  <c r="A1" i="2"/>
  <c r="I5" i="1"/>
  <c r="E5" i="1"/>
  <c r="G54" i="5"/>
  <c r="G34" i="3"/>
  <c r="B5" i="2"/>
  <c r="G63" i="5"/>
  <c r="H14" i="5"/>
  <c r="B63" i="5"/>
  <c r="E63" i="5"/>
  <c r="H57" i="5"/>
  <c r="D57" i="5"/>
  <c r="G39" i="5"/>
  <c r="F16" i="2"/>
  <c r="C35" i="5"/>
  <c r="G35" i="5"/>
  <c r="B23" i="5"/>
  <c r="I22" i="3"/>
  <c r="E22" i="3"/>
  <c r="C9" i="5"/>
  <c r="I52" i="5"/>
  <c r="H29" i="3"/>
  <c r="D29" i="3"/>
  <c r="D5" i="2"/>
  <c r="B16" i="2"/>
  <c r="C5" i="5"/>
  <c r="K22" i="3"/>
  <c r="G22" i="3"/>
  <c r="C22" i="3"/>
  <c r="I15" i="5"/>
  <c r="E29" i="3"/>
  <c r="J34" i="3"/>
  <c r="H34" i="3"/>
  <c r="F5" i="2"/>
  <c r="B21" i="1"/>
  <c r="L9" i="1"/>
  <c r="M9" i="1" s="1"/>
  <c r="C56" i="5"/>
  <c r="F53" i="5"/>
  <c r="D40" i="5"/>
  <c r="D41" i="5" s="1"/>
  <c r="B24" i="5"/>
  <c r="F22" i="5"/>
  <c r="G21" i="5"/>
  <c r="C21" i="5"/>
  <c r="B16" i="5"/>
  <c r="D14" i="5"/>
  <c r="E13" i="5"/>
  <c r="D19" i="5"/>
  <c r="F23" i="3"/>
  <c r="C5" i="2"/>
  <c r="H24" i="1"/>
  <c r="J57" i="6"/>
  <c r="C54" i="5"/>
  <c r="G62" i="6"/>
  <c r="J20" i="3"/>
  <c r="D26" i="3"/>
  <c r="B27" i="3"/>
  <c r="D28" i="3"/>
  <c r="K33" i="3"/>
  <c r="E56" i="5"/>
  <c r="I56" i="5"/>
  <c r="G16" i="2"/>
  <c r="L11" i="1"/>
  <c r="M11" i="1" s="1"/>
  <c r="J5" i="1"/>
  <c r="F5" i="1"/>
  <c r="B5" i="1"/>
  <c r="J53" i="5"/>
  <c r="B53" i="5"/>
  <c r="H40" i="5"/>
  <c r="H41" i="5" s="1"/>
  <c r="K35" i="5"/>
  <c r="J22" i="5"/>
  <c r="G52" i="5"/>
  <c r="G23" i="3"/>
  <c r="K28" i="3"/>
  <c r="B34" i="3"/>
  <c r="L12" i="1"/>
  <c r="F23" i="5"/>
  <c r="K23" i="3"/>
  <c r="G27" i="3"/>
  <c r="I29" i="3"/>
  <c r="K34" i="3"/>
  <c r="D34" i="3"/>
  <c r="G48" i="6"/>
  <c r="G38" i="5" s="1"/>
  <c r="C66" i="6"/>
  <c r="G66" i="6"/>
  <c r="L7" i="1"/>
  <c r="D21" i="1"/>
  <c r="K63" i="5"/>
  <c r="H52" i="5"/>
  <c r="E52" i="5"/>
  <c r="C52" i="5"/>
  <c r="H26" i="3"/>
  <c r="F27" i="3"/>
  <c r="H28" i="3"/>
  <c r="B23" i="6"/>
  <c r="C23" i="6"/>
  <c r="C55" i="5" s="1"/>
  <c r="D39" i="5"/>
  <c r="D23" i="6"/>
  <c r="D55" i="5" s="1"/>
  <c r="E23" i="6"/>
  <c r="E55" i="5" s="1"/>
  <c r="F39" i="5"/>
  <c r="F23" i="6"/>
  <c r="F55" i="5" s="1"/>
  <c r="G23" i="6"/>
  <c r="G55" i="5" s="1"/>
  <c r="H23" i="6"/>
  <c r="H55" i="5" s="1"/>
  <c r="I23" i="6"/>
  <c r="I55" i="5" s="1"/>
  <c r="J23" i="6"/>
  <c r="I39" i="5"/>
  <c r="K25" i="5"/>
  <c r="K16" i="2"/>
  <c r="J21" i="1"/>
  <c r="I63" i="5"/>
  <c r="F52" i="5"/>
  <c r="K31" i="5"/>
  <c r="J23" i="3"/>
  <c r="G26" i="3"/>
  <c r="G28" i="3"/>
  <c r="C34" i="3"/>
  <c r="E66" i="6"/>
  <c r="I66" i="6"/>
  <c r="B73" i="5"/>
  <c r="B72" i="5"/>
  <c r="D63" i="5"/>
  <c r="C7" i="5"/>
  <c r="F63" i="5"/>
  <c r="N6" i="5"/>
  <c r="N7" i="5"/>
  <c r="L13" i="1"/>
  <c r="B24" i="8"/>
  <c r="I23" i="8"/>
  <c r="B22" i="8"/>
  <c r="B26" i="3"/>
  <c r="B23" i="3"/>
  <c r="F29" i="3"/>
  <c r="F30" i="3"/>
  <c r="K20" i="2"/>
  <c r="L14" i="1"/>
  <c r="L4" i="1"/>
  <c r="L24" i="1" s="1"/>
  <c r="K63" i="6"/>
  <c r="I63" i="6"/>
  <c r="G63" i="6"/>
  <c r="E63" i="6"/>
  <c r="C63" i="6"/>
  <c r="I8" i="5"/>
  <c r="C68" i="6"/>
  <c r="C55" i="6"/>
  <c r="E68" i="6"/>
  <c r="E55" i="6"/>
  <c r="G68" i="6"/>
  <c r="G55" i="6"/>
  <c r="I68" i="6"/>
  <c r="I16" i="2"/>
  <c r="L10" i="1"/>
  <c r="J5" i="2"/>
  <c r="H5" i="2"/>
  <c r="H63" i="5"/>
  <c r="C63" i="5"/>
  <c r="J54" i="5"/>
  <c r="H54" i="5"/>
  <c r="F54" i="5"/>
  <c r="D54" i="5"/>
  <c r="B54" i="5"/>
  <c r="I53" i="5"/>
  <c r="G53" i="5"/>
  <c r="E53" i="5"/>
  <c r="C53" i="5"/>
  <c r="K40" i="5"/>
  <c r="I40" i="5"/>
  <c r="I41" i="5" s="1"/>
  <c r="G40" i="5"/>
  <c r="E40" i="5"/>
  <c r="C40" i="5"/>
  <c r="C41" i="5" s="1"/>
  <c r="K39" i="5"/>
  <c r="C39" i="5"/>
  <c r="E27" i="6"/>
  <c r="E33" i="5" s="1"/>
  <c r="K24" i="5"/>
  <c r="I24" i="5"/>
  <c r="G24" i="5"/>
  <c r="E24" i="5"/>
  <c r="C24" i="5"/>
  <c r="B22" i="5"/>
  <c r="E16" i="5"/>
  <c r="C27" i="6"/>
  <c r="C16" i="5" s="1"/>
  <c r="H15" i="5"/>
  <c r="H13" i="5"/>
  <c r="D13" i="5"/>
  <c r="C8" i="5"/>
  <c r="K62" i="6"/>
  <c r="C62" i="6"/>
  <c r="K36" i="5"/>
  <c r="F19" i="5"/>
  <c r="F42" i="5" s="1"/>
  <c r="H19" i="5"/>
  <c r="J52" i="5"/>
  <c r="B51" i="8"/>
  <c r="B41" i="8"/>
  <c r="L41" i="8" s="1"/>
  <c r="I23" i="3"/>
  <c r="H23" i="3"/>
  <c r="E23" i="3"/>
  <c r="D23" i="3"/>
  <c r="H20" i="3"/>
  <c r="J22" i="3"/>
  <c r="H22" i="3"/>
  <c r="F22" i="3"/>
  <c r="D22" i="3"/>
  <c r="B22" i="3"/>
  <c r="E26" i="3"/>
  <c r="E28" i="3"/>
  <c r="J29" i="3"/>
  <c r="J30" i="3"/>
  <c r="B29" i="3"/>
  <c r="B30" i="3"/>
  <c r="H33" i="3"/>
  <c r="G33" i="3"/>
  <c r="K48" i="6"/>
  <c r="K58" i="5" s="1"/>
  <c r="J63" i="6"/>
  <c r="H63" i="6"/>
  <c r="F63" i="6"/>
  <c r="D63" i="6"/>
  <c r="B63" i="6"/>
  <c r="D68" i="6"/>
  <c r="D55" i="6"/>
  <c r="F68" i="6"/>
  <c r="F55" i="6"/>
  <c r="H68" i="6"/>
  <c r="J68" i="6"/>
  <c r="C23" i="3"/>
  <c r="I27" i="3"/>
  <c r="E27" i="3"/>
  <c r="K29" i="3"/>
  <c r="G29" i="3"/>
  <c r="C29" i="3"/>
  <c r="I34" i="3"/>
  <c r="L34" i="3" s="1"/>
  <c r="E34" i="3"/>
  <c r="C48" i="6"/>
  <c r="C58" i="5" s="1"/>
  <c r="E51" i="5"/>
  <c r="F51" i="5"/>
  <c r="F48" i="6"/>
  <c r="G51" i="5"/>
  <c r="H54" i="6"/>
  <c r="H55" i="6" s="1"/>
  <c r="H39" i="5"/>
  <c r="I54" i="6"/>
  <c r="I55" i="6" s="1"/>
  <c r="J54" i="6"/>
  <c r="J55" i="6" s="1"/>
  <c r="K54" i="6"/>
  <c r="K55" i="6" s="1"/>
  <c r="B68" i="6"/>
  <c r="B55" i="6"/>
  <c r="B69" i="6"/>
  <c r="C58" i="6"/>
  <c r="C67" i="6" s="1"/>
  <c r="C25" i="5"/>
  <c r="D69" i="6"/>
  <c r="E58" i="6"/>
  <c r="E25" i="5"/>
  <c r="F69" i="6"/>
  <c r="G69" i="6"/>
  <c r="G58" i="6"/>
  <c r="G25" i="5"/>
  <c r="H69" i="6"/>
  <c r="I58" i="6"/>
  <c r="I67" i="6" s="1"/>
  <c r="J69" i="6"/>
  <c r="K66" i="6"/>
  <c r="I39" i="8"/>
  <c r="D39" i="8"/>
  <c r="B39" i="8"/>
  <c r="K38" i="5"/>
  <c r="B51" i="5"/>
  <c r="C51" i="5"/>
  <c r="I51" i="5"/>
  <c r="J51" i="5"/>
  <c r="J48" i="6"/>
  <c r="J38" i="5" s="1"/>
  <c r="K51" i="5"/>
  <c r="I42" i="8"/>
  <c r="B15" i="8"/>
  <c r="B16" i="8" s="1"/>
  <c r="I44" i="8"/>
  <c r="H44" i="8"/>
  <c r="F44" i="8"/>
  <c r="B44" i="8"/>
  <c r="L44" i="8" s="1"/>
  <c r="I43" i="8"/>
  <c r="G43" i="8"/>
  <c r="C43" i="8"/>
  <c r="H42" i="8"/>
  <c r="D42" i="8"/>
  <c r="C41" i="8"/>
  <c r="F40" i="8"/>
  <c r="C40" i="8"/>
  <c r="I25" i="5"/>
  <c r="B19" i="5"/>
  <c r="D44" i="8"/>
  <c r="C44" i="8"/>
  <c r="E43" i="8"/>
  <c r="D43" i="8"/>
  <c r="F42" i="8"/>
  <c r="E42" i="8"/>
  <c r="B42" i="8"/>
  <c r="L42" i="8" s="1"/>
  <c r="B23" i="8"/>
  <c r="I41" i="8"/>
  <c r="I22" i="8"/>
  <c r="G41" i="8"/>
  <c r="F41" i="8"/>
  <c r="J11" i="8"/>
  <c r="H50" i="8" s="1"/>
  <c r="H40" i="8"/>
  <c r="G40" i="8"/>
  <c r="B40" i="8"/>
  <c r="L40" i="8" s="1"/>
  <c r="B50" i="8"/>
  <c r="G39" i="8"/>
  <c r="F39" i="8"/>
  <c r="K8" i="5"/>
  <c r="B64" i="6"/>
  <c r="F13" i="5"/>
  <c r="B57" i="6"/>
  <c r="L15" i="5" s="1"/>
  <c r="F15" i="5"/>
  <c r="F16" i="5"/>
  <c r="B56" i="5"/>
  <c r="E14" i="5"/>
  <c r="B31" i="5"/>
  <c r="B35" i="5"/>
  <c r="B41" i="5" s="1"/>
  <c r="B20" i="5"/>
  <c r="E15" i="5"/>
  <c r="F14" i="5"/>
  <c r="K61" i="6"/>
  <c r="I13" i="5"/>
  <c r="I61" i="6"/>
  <c r="G61" i="6"/>
  <c r="G53" i="6"/>
  <c r="G36" i="5" s="1"/>
  <c r="J23" i="5"/>
  <c r="J19" i="5"/>
  <c r="B54" i="8"/>
  <c r="H43" i="8"/>
  <c r="K20" i="5"/>
  <c r="K22" i="5"/>
  <c r="I20" i="5"/>
  <c r="I22" i="5"/>
  <c r="H23" i="5"/>
  <c r="G20" i="5"/>
  <c r="G22" i="5"/>
  <c r="E20" i="5"/>
  <c r="E22" i="5"/>
  <c r="D23" i="5"/>
  <c r="C20" i="5"/>
  <c r="C22" i="5"/>
  <c r="C69" i="6"/>
  <c r="C57" i="6"/>
  <c r="L16" i="5" s="1"/>
  <c r="D58" i="6"/>
  <c r="D67" i="6" s="1"/>
  <c r="D64" i="6"/>
  <c r="D56" i="5"/>
  <c r="E69" i="6"/>
  <c r="E62" i="6"/>
  <c r="E67" i="6"/>
  <c r="F58" i="6"/>
  <c r="F67" i="6" s="1"/>
  <c r="F64" i="6"/>
  <c r="F56" i="5"/>
  <c r="H58" i="6"/>
  <c r="H64" i="6"/>
  <c r="H56" i="5"/>
  <c r="I69" i="6"/>
  <c r="I62" i="6"/>
  <c r="J58" i="6"/>
  <c r="J67" i="6" s="1"/>
  <c r="J64" i="6"/>
  <c r="J41" i="5"/>
  <c r="F41" i="5"/>
  <c r="J61" i="6"/>
  <c r="H61" i="6"/>
  <c r="H49" i="6"/>
  <c r="H43" i="5" s="1"/>
  <c r="D48" i="6"/>
  <c r="D38" i="5" s="1"/>
  <c r="H48" i="6"/>
  <c r="K68" i="6"/>
  <c r="C61" i="6"/>
  <c r="E22" i="8"/>
  <c r="E41" i="8"/>
  <c r="D11" i="8"/>
  <c r="D40" i="8"/>
  <c r="E41" i="5"/>
  <c r="E31" i="5"/>
  <c r="I16" i="5"/>
  <c r="F61" i="6"/>
  <c r="D61" i="6"/>
  <c r="D31" i="5"/>
  <c r="I41" i="6"/>
  <c r="I60" i="6" s="1"/>
  <c r="I19" i="5"/>
  <c r="I42" i="5" s="1"/>
  <c r="I23" i="5"/>
  <c r="G19" i="5"/>
  <c r="G23" i="5"/>
  <c r="E19" i="5"/>
  <c r="E23" i="5"/>
  <c r="C19" i="5"/>
  <c r="C23" i="5"/>
  <c r="K19" i="5"/>
  <c r="K23" i="5"/>
  <c r="B52" i="8"/>
  <c r="E44" i="8"/>
  <c r="F43" i="8"/>
  <c r="B43" i="8"/>
  <c r="L43" i="8" s="1"/>
  <c r="G42" i="8"/>
  <c r="C42" i="8"/>
  <c r="H41" i="8"/>
  <c r="D41" i="8"/>
  <c r="I40" i="8"/>
  <c r="E40" i="8"/>
  <c r="B25" i="8"/>
  <c r="E24" i="8"/>
  <c r="E23" i="8"/>
  <c r="L13" i="5"/>
  <c r="J41" i="6"/>
  <c r="J60" i="6" s="1"/>
  <c r="K49" i="6"/>
  <c r="K43" i="5" s="1"/>
  <c r="I24" i="8"/>
  <c r="D51" i="5"/>
  <c r="E48" i="6"/>
  <c r="E38" i="5" s="1"/>
  <c r="H51" i="5"/>
  <c r="I48" i="6"/>
  <c r="I38" i="5" s="1"/>
  <c r="K58" i="6"/>
  <c r="D62" i="6"/>
  <c r="F62" i="6"/>
  <c r="H62" i="6"/>
  <c r="C23" i="8"/>
  <c r="C19" i="8"/>
  <c r="C21" i="8"/>
  <c r="C22" i="8"/>
  <c r="C24" i="8"/>
  <c r="C25" i="8"/>
  <c r="G19" i="8"/>
  <c r="G21" i="8"/>
  <c r="G23" i="8"/>
  <c r="G22" i="8"/>
  <c r="G24" i="8"/>
  <c r="G25" i="8"/>
  <c r="C14" i="5"/>
  <c r="K27" i="6"/>
  <c r="K33" i="5" s="1"/>
  <c r="J62" i="6"/>
  <c r="I49" i="6"/>
  <c r="I43" i="5" s="1"/>
  <c r="G49" i="6"/>
  <c r="G43" i="5" s="1"/>
  <c r="F49" i="6"/>
  <c r="F43" i="5" s="1"/>
  <c r="E41" i="6"/>
  <c r="E60" i="6" s="1"/>
  <c r="D49" i="6"/>
  <c r="D43" i="5" s="1"/>
  <c r="C49" i="6"/>
  <c r="C43" i="5" s="1"/>
  <c r="K41" i="6"/>
  <c r="I25" i="8"/>
  <c r="E25" i="8"/>
  <c r="F11" i="8"/>
  <c r="B11" i="8"/>
  <c r="I20" i="8"/>
  <c r="G20" i="8"/>
  <c r="E39" i="8"/>
  <c r="E20" i="8"/>
  <c r="C39" i="8"/>
  <c r="C20" i="8"/>
  <c r="G67" i="6"/>
  <c r="B49" i="6"/>
  <c r="B43" i="5" s="1"/>
  <c r="B41" i="6"/>
  <c r="I19" i="8"/>
  <c r="I21" i="8"/>
  <c r="E19" i="8"/>
  <c r="E21" i="8"/>
  <c r="C44" i="5"/>
  <c r="C60" i="5" s="1"/>
  <c r="I58" i="5"/>
  <c r="C26" i="5"/>
  <c r="C70" i="6"/>
  <c r="D26" i="5"/>
  <c r="D70" i="6"/>
  <c r="D13" i="8"/>
  <c r="E26" i="5"/>
  <c r="E70" i="6"/>
  <c r="F70" i="6"/>
  <c r="F13" i="8"/>
  <c r="F21" i="8" s="1"/>
  <c r="G26" i="5"/>
  <c r="G70" i="6"/>
  <c r="H26" i="5"/>
  <c r="H70" i="6"/>
  <c r="H13" i="8"/>
  <c r="I26" i="5"/>
  <c r="I70" i="6"/>
  <c r="J70" i="6"/>
  <c r="J13" i="8"/>
  <c r="J21" i="8" s="1"/>
  <c r="K26" i="5"/>
  <c r="K70" i="6"/>
  <c r="F26" i="5"/>
  <c r="K15" i="8"/>
  <c r="K16" i="8" s="1"/>
  <c r="I15" i="8"/>
  <c r="I31" i="8" s="1"/>
  <c r="G15" i="8"/>
  <c r="G16" i="8" s="1"/>
  <c r="E15" i="8"/>
  <c r="E31" i="8" s="1"/>
  <c r="C15" i="8"/>
  <c r="C31" i="8" s="1"/>
  <c r="B19" i="8"/>
  <c r="I11" i="8"/>
  <c r="I45" i="8" s="1"/>
  <c r="G11" i="8"/>
  <c r="H11" i="8"/>
  <c r="H45" i="8" s="1"/>
  <c r="J8" i="5"/>
  <c r="B66" i="6"/>
  <c r="H39" i="8"/>
  <c r="E11" i="8"/>
  <c r="E26" i="8" s="1"/>
  <c r="C11" i="8"/>
  <c r="F33" i="5"/>
  <c r="B33" i="5"/>
  <c r="C15" i="5"/>
  <c r="C33" i="5"/>
  <c r="G7" i="5"/>
  <c r="G6" i="5"/>
  <c r="G26" i="8"/>
  <c r="N11" i="1"/>
  <c r="J16" i="2"/>
  <c r="H16" i="2"/>
  <c r="K21" i="1"/>
  <c r="I21" i="1"/>
  <c r="G21" i="1"/>
  <c r="E21" i="1"/>
  <c r="C21" i="1"/>
  <c r="L6" i="1"/>
  <c r="D42" i="5"/>
  <c r="I14" i="5"/>
  <c r="B61" i="6"/>
  <c r="G21" i="2"/>
  <c r="G19" i="2"/>
  <c r="L19" i="2" s="1"/>
  <c r="B26" i="5"/>
  <c r="B70" i="6"/>
  <c r="E49" i="6"/>
  <c r="E43" i="5" s="1"/>
  <c r="J49" i="6"/>
  <c r="J43" i="5" s="1"/>
  <c r="G41" i="6"/>
  <c r="G60" i="6" s="1"/>
  <c r="F41" i="6"/>
  <c r="D41" i="6"/>
  <c r="C41" i="6"/>
  <c r="H41" i="6"/>
  <c r="D21" i="8"/>
  <c r="B21" i="8"/>
  <c r="K20" i="3"/>
  <c r="I20" i="3"/>
  <c r="G20" i="3"/>
  <c r="G20" i="2"/>
  <c r="K21" i="2"/>
  <c r="B48" i="6"/>
  <c r="L11" i="6"/>
  <c r="B58" i="6"/>
  <c r="B67" i="6" s="1"/>
  <c r="K44" i="5" l="1"/>
  <c r="K60" i="5" s="1"/>
  <c r="K7" i="5"/>
  <c r="N13" i="1"/>
  <c r="J42" i="5"/>
  <c r="D58" i="5"/>
  <c r="D44" i="5" s="1"/>
  <c r="D60" i="5" s="1"/>
  <c r="D61" i="5" s="1"/>
  <c r="H42" i="5"/>
  <c r="E42" i="5"/>
  <c r="C53" i="6"/>
  <c r="C36" i="5" s="1"/>
  <c r="I53" i="6"/>
  <c r="I36" i="5" s="1"/>
  <c r="B30" i="8"/>
  <c r="M13" i="1"/>
  <c r="N9" i="1"/>
  <c r="K42" i="5"/>
  <c r="F53" i="6"/>
  <c r="F36" i="5" s="1"/>
  <c r="L27" i="3"/>
  <c r="G41" i="5"/>
  <c r="C42" i="5"/>
  <c r="L33" i="3"/>
  <c r="B70" i="5"/>
  <c r="K41" i="5"/>
  <c r="L21" i="2"/>
  <c r="G71" i="6"/>
  <c r="G50" i="5" s="1"/>
  <c r="L29" i="3"/>
  <c r="H25" i="1"/>
  <c r="D53" i="6"/>
  <c r="D36" i="5" s="1"/>
  <c r="I6" i="5"/>
  <c r="B69" i="5"/>
  <c r="B67" i="5"/>
  <c r="B66" i="5"/>
  <c r="B68" i="5"/>
  <c r="B55" i="5"/>
  <c r="I7" i="5"/>
  <c r="D71" i="6"/>
  <c r="D50" i="5" s="1"/>
  <c r="G42" i="5"/>
  <c r="E53" i="6"/>
  <c r="E36" i="5" s="1"/>
  <c r="B78" i="5"/>
  <c r="B79" i="5"/>
  <c r="B53" i="6"/>
  <c r="J13" i="5" s="1"/>
  <c r="J25" i="1"/>
  <c r="G58" i="5"/>
  <c r="G44" i="5" s="1"/>
  <c r="G60" i="5" s="1"/>
  <c r="G64" i="5" s="1"/>
  <c r="L14" i="5"/>
  <c r="C38" i="5"/>
  <c r="I45" i="5"/>
  <c r="L28" i="3"/>
  <c r="L5" i="1"/>
  <c r="J53" i="6"/>
  <c r="J36" i="5" s="1"/>
  <c r="J55" i="5"/>
  <c r="I16" i="8"/>
  <c r="I44" i="5"/>
  <c r="I60" i="5" s="1"/>
  <c r="I64" i="5" s="1"/>
  <c r="H53" i="6"/>
  <c r="H36" i="5" s="1"/>
  <c r="H46" i="5"/>
  <c r="H45" i="5"/>
  <c r="J71" i="6"/>
  <c r="J50" i="5" s="1"/>
  <c r="E71" i="6"/>
  <c r="E50" i="5" s="1"/>
  <c r="B48" i="5"/>
  <c r="B47" i="5"/>
  <c r="B45" i="5"/>
  <c r="B46" i="5"/>
  <c r="F58" i="5"/>
  <c r="F44" i="5" s="1"/>
  <c r="F60" i="5" s="1"/>
  <c r="F64" i="5" s="1"/>
  <c r="F38" i="5"/>
  <c r="J45" i="5"/>
  <c r="F47" i="5"/>
  <c r="F46" i="5"/>
  <c r="F45" i="5"/>
  <c r="D47" i="5"/>
  <c r="D46" i="5"/>
  <c r="D45" i="5"/>
  <c r="G47" i="5"/>
  <c r="G46" i="5"/>
  <c r="G45" i="5"/>
  <c r="E47" i="5"/>
  <c r="E46" i="5"/>
  <c r="E45" i="5"/>
  <c r="C47" i="5"/>
  <c r="C46" i="5"/>
  <c r="C45" i="5"/>
  <c r="M24" i="1"/>
  <c r="M4" i="1" s="1"/>
  <c r="N24" i="1"/>
  <c r="N4" i="1" s="1"/>
  <c r="L20" i="2"/>
  <c r="E16" i="8"/>
  <c r="L21" i="1"/>
  <c r="L25" i="1" s="1"/>
  <c r="B45" i="8"/>
  <c r="C13" i="5"/>
  <c r="C71" i="6"/>
  <c r="C50" i="5" s="1"/>
  <c r="F71" i="6"/>
  <c r="F50" i="5" s="1"/>
  <c r="J58" i="5"/>
  <c r="J44" i="5" s="1"/>
  <c r="J60" i="5" s="1"/>
  <c r="J61" i="5" s="1"/>
  <c r="E58" i="5"/>
  <c r="E44" i="5" s="1"/>
  <c r="E60" i="5" s="1"/>
  <c r="E61" i="5" s="1"/>
  <c r="F45" i="8"/>
  <c r="J7" i="5"/>
  <c r="G8" i="5"/>
  <c r="L15" i="1"/>
  <c r="L16" i="1" s="1"/>
  <c r="L26" i="1" s="1"/>
  <c r="L26" i="3"/>
  <c r="C30" i="8"/>
  <c r="G31" i="8"/>
  <c r="K29" i="8"/>
  <c r="E45" i="8"/>
  <c r="C16" i="8"/>
  <c r="G29" i="8"/>
  <c r="K31" i="8"/>
  <c r="I26" i="8"/>
  <c r="C29" i="8"/>
  <c r="G30" i="8"/>
  <c r="B42" i="5"/>
  <c r="B29" i="8"/>
  <c r="B31" i="8"/>
  <c r="C45" i="8"/>
  <c r="L11" i="8"/>
  <c r="C55" i="8" s="1"/>
  <c r="D26" i="8"/>
  <c r="H67" i="6"/>
  <c r="H71" i="6" s="1"/>
  <c r="H50" i="5" s="1"/>
  <c r="H58" i="5"/>
  <c r="H44" i="5" s="1"/>
  <c r="H60" i="5" s="1"/>
  <c r="H61" i="5" s="1"/>
  <c r="H38" i="5"/>
  <c r="E30" i="8"/>
  <c r="I30" i="8"/>
  <c r="C26" i="8"/>
  <c r="L39" i="8"/>
  <c r="I71" i="6"/>
  <c r="I50" i="5" s="1"/>
  <c r="K6" i="5"/>
  <c r="G45" i="8"/>
  <c r="K67" i="6"/>
  <c r="K71" i="6" s="1"/>
  <c r="K50" i="5" s="1"/>
  <c r="I61" i="5"/>
  <c r="K61" i="5"/>
  <c r="K64" i="5"/>
  <c r="J19" i="8"/>
  <c r="L13" i="8"/>
  <c r="J15" i="8"/>
  <c r="J24" i="8"/>
  <c r="J25" i="8"/>
  <c r="J20" i="8"/>
  <c r="J22" i="8"/>
  <c r="J23" i="8"/>
  <c r="J26" i="8"/>
  <c r="H19" i="8"/>
  <c r="H22" i="8"/>
  <c r="H15" i="8"/>
  <c r="H20" i="8"/>
  <c r="H24" i="8"/>
  <c r="H25" i="8"/>
  <c r="H23" i="8"/>
  <c r="H8" i="5"/>
  <c r="B60" i="6"/>
  <c r="K13" i="5"/>
  <c r="C61" i="5"/>
  <c r="C64" i="5"/>
  <c r="B55" i="8"/>
  <c r="B26" i="8"/>
  <c r="J6" i="5"/>
  <c r="B71" i="6"/>
  <c r="B50" i="5" s="1"/>
  <c r="H21" i="8"/>
  <c r="L21" i="8" s="1"/>
  <c r="E29" i="8"/>
  <c r="I29" i="8"/>
  <c r="H26" i="8"/>
  <c r="F19" i="8"/>
  <c r="F15" i="8"/>
  <c r="F22" i="8"/>
  <c r="F24" i="8"/>
  <c r="F25" i="8"/>
  <c r="F20" i="8"/>
  <c r="F23" i="8"/>
  <c r="D19" i="8"/>
  <c r="D22" i="8"/>
  <c r="D20" i="8"/>
  <c r="D24" i="8"/>
  <c r="D25" i="8"/>
  <c r="D15" i="8"/>
  <c r="D23" i="8"/>
  <c r="F26" i="8"/>
  <c r="B5" i="5"/>
  <c r="D5" i="5" s="1"/>
  <c r="K60" i="6"/>
  <c r="D45" i="8"/>
  <c r="L45" i="8" s="1"/>
  <c r="B58" i="5"/>
  <c r="B44" i="5" s="1"/>
  <c r="B38" i="5"/>
  <c r="C60" i="6"/>
  <c r="B9" i="5"/>
  <c r="D9" i="5" s="1"/>
  <c r="K16" i="5"/>
  <c r="B7" i="5"/>
  <c r="D7" i="5" s="1"/>
  <c r="F60" i="6"/>
  <c r="K14" i="5"/>
  <c r="H60" i="6"/>
  <c r="B6" i="5"/>
  <c r="D6" i="5" s="1"/>
  <c r="D60" i="6"/>
  <c r="B8" i="5"/>
  <c r="D8" i="5" s="1"/>
  <c r="K15" i="5"/>
  <c r="I25" i="1"/>
  <c r="K25" i="1"/>
  <c r="G61" i="5" l="1"/>
  <c r="J64" i="5"/>
  <c r="F61" i="5"/>
  <c r="H64" i="5"/>
  <c r="J16" i="5"/>
  <c r="E64" i="5"/>
  <c r="M25" i="1"/>
  <c r="M6" i="1" s="1"/>
  <c r="M5" i="1" s="1"/>
  <c r="J15" i="5"/>
  <c r="D64" i="5"/>
  <c r="L22" i="8"/>
  <c r="L25" i="8"/>
  <c r="J14" i="5"/>
  <c r="N25" i="1"/>
  <c r="N6" i="1" s="1"/>
  <c r="N5" i="1" s="1"/>
  <c r="B36" i="5"/>
  <c r="L24" i="8"/>
  <c r="L23" i="8"/>
  <c r="B60" i="5"/>
  <c r="B61" i="5" s="1"/>
  <c r="B77" i="5"/>
  <c r="B76" i="5"/>
  <c r="B75" i="5"/>
  <c r="B74" i="5"/>
  <c r="M26" i="1"/>
  <c r="M16" i="1" s="1"/>
  <c r="N26" i="1"/>
  <c r="N16" i="1" s="1"/>
  <c r="L26" i="8"/>
  <c r="D16" i="8"/>
  <c r="D31" i="8"/>
  <c r="D29" i="8"/>
  <c r="D30" i="8"/>
  <c r="J16" i="8"/>
  <c r="J31" i="8"/>
  <c r="J29" i="8"/>
  <c r="H49" i="8"/>
  <c r="H51" i="8" s="1"/>
  <c r="J30" i="8"/>
  <c r="L15" i="8"/>
  <c r="I49" i="8" s="1"/>
  <c r="L20" i="8"/>
  <c r="F16" i="8"/>
  <c r="F31" i="8"/>
  <c r="F30" i="8"/>
  <c r="F29" i="8"/>
  <c r="D53" i="8"/>
  <c r="E53" i="8" s="1"/>
  <c r="D54" i="8"/>
  <c r="E54" i="8" s="1"/>
  <c r="D50" i="8"/>
  <c r="E50" i="8" s="1"/>
  <c r="D51" i="8"/>
  <c r="E51" i="8" s="1"/>
  <c r="D52" i="8"/>
  <c r="E52" i="8" s="1"/>
  <c r="D49" i="8"/>
  <c r="E49" i="8" s="1"/>
  <c r="H16" i="8"/>
  <c r="H30" i="8"/>
  <c r="H31" i="8"/>
  <c r="H29" i="8"/>
  <c r="M8" i="1"/>
  <c r="M10" i="1" s="1"/>
  <c r="M12" i="1" s="1"/>
  <c r="M14" i="1" s="1"/>
  <c r="M15" i="1" s="1"/>
  <c r="H6" i="5"/>
  <c r="H7" i="5"/>
  <c r="N8" i="1" l="1"/>
  <c r="N10" i="1" s="1"/>
  <c r="N12" i="1" s="1"/>
  <c r="N14" i="1" s="1"/>
  <c r="N15" i="1" s="1"/>
  <c r="N17" i="1" s="1"/>
  <c r="J49" i="8"/>
  <c r="B64" i="5"/>
  <c r="G15" i="5"/>
  <c r="G14" i="5"/>
  <c r="M17" i="1"/>
  <c r="B81" i="5"/>
  <c r="B80" i="5"/>
  <c r="G16" i="5"/>
  <c r="G13" i="5"/>
  <c r="E55" i="8"/>
  <c r="I50" i="8" s="1"/>
  <c r="J50" i="8" s="1"/>
  <c r="L29" i="8"/>
  <c r="L30" i="8"/>
  <c r="L31" i="8"/>
  <c r="J51" i="8" l="1"/>
  <c r="I51" i="8" s="1"/>
</calcChain>
</file>

<file path=xl/comments1.xml><?xml version="1.0" encoding="utf-8"?>
<comments xmlns="http://schemas.openxmlformats.org/spreadsheetml/2006/main">
  <authors>
    <author/>
  </authors>
  <commentList>
    <comment ref="A22" authorId="0" shapeId="0">
      <text>
        <r>
          <rPr>
            <b/>
            <sz val="9"/>
            <color indexed="8"/>
            <rFont val="Tahoma"/>
            <family val="2"/>
            <charset val="1"/>
          </rPr>
          <t xml:space="preserve">Shrey Sao:
</t>
        </r>
        <r>
          <rPr>
            <sz val="9"/>
            <color indexed="8"/>
            <rFont val="Tahoma"/>
            <family val="2"/>
            <charset val="1"/>
          </rPr>
          <t>measures potential credit risk.</t>
        </r>
      </text>
    </comment>
    <comment ref="A23" authorId="0" shapeId="0">
      <text>
        <r>
          <rPr>
            <b/>
            <sz val="9"/>
            <color indexed="8"/>
            <rFont val="Tahoma"/>
            <family val="2"/>
            <charset val="1"/>
          </rPr>
          <t xml:space="preserve">Shrey Sao:
</t>
        </r>
        <r>
          <rPr>
            <sz val="9"/>
            <color indexed="8"/>
            <rFont val="Tahoma"/>
            <family val="2"/>
            <charset val="1"/>
          </rPr>
          <t>measures current credit risk</t>
        </r>
      </text>
    </comment>
    <comment ref="A25" authorId="0" shapeId="0">
      <text>
        <r>
          <rPr>
            <sz val="9"/>
            <color indexed="8"/>
            <rFont val="Tahoma"/>
            <family val="2"/>
            <charset val="1"/>
          </rPr>
          <t xml:space="preserve">
</t>
        </r>
      </text>
    </comment>
    <comment ref="A28" authorId="0" shapeId="0">
      <text>
        <r>
          <rPr>
            <b/>
            <sz val="9"/>
            <color indexed="8"/>
            <rFont val="Tahoma"/>
            <family val="2"/>
            <charset val="1"/>
          </rPr>
          <t xml:space="preserve">Shrey Sao:
</t>
        </r>
        <r>
          <rPr>
            <sz val="9"/>
            <color indexed="8"/>
            <rFont val="Tahoma"/>
            <family val="2"/>
            <charset val="1"/>
          </rPr>
          <t>inventory days and this measure the same thing,included because I am comfortable with using it.</t>
        </r>
      </text>
    </comment>
    <comment ref="A38" authorId="0" shapeId="0">
      <text>
        <r>
          <rPr>
            <b/>
            <sz val="9"/>
            <color indexed="8"/>
            <rFont val="Tahoma"/>
            <family val="2"/>
            <charset val="1"/>
          </rPr>
          <t xml:space="preserve">Shrey Sao:
</t>
        </r>
        <r>
          <rPr>
            <sz val="9"/>
            <color indexed="8"/>
            <rFont val="Tahoma"/>
            <family val="2"/>
            <charset val="1"/>
          </rPr>
          <t>The high capital turns is encouraging and suggests the company's transition from being margin oriented to more of sale oriented.</t>
        </r>
      </text>
    </comment>
    <comment ref="A44" authorId="0" shapeId="0">
      <text>
        <r>
          <rPr>
            <b/>
            <sz val="9"/>
            <color indexed="8"/>
            <rFont val="Tahoma"/>
            <family val="2"/>
            <charset val="1"/>
          </rPr>
          <t xml:space="preserve">Shrey Sao:
</t>
        </r>
        <r>
          <rPr>
            <sz val="9"/>
            <color indexed="8"/>
            <rFont val="Tahoma"/>
            <family val="2"/>
            <charset val="1"/>
          </rPr>
          <t xml:space="preserve">The high and improved return ratios indicate that the sale effect has dominated the margin effect,but the growth rate of cost much higher than sales remains a concern coupled with the irratic earning track record over the years.
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L5" authorId="0" shapeId="0">
      <text>
        <r>
          <rPr>
            <sz val="9"/>
            <color indexed="8"/>
            <rFont val="Tahoma"/>
            <family val="2"/>
            <charset val="1"/>
          </rPr>
          <t xml:space="preserve">
</t>
        </r>
      </text>
    </comment>
    <comment ref="G50" authorId="0" shapeId="0">
      <text>
        <r>
          <rPr>
            <b/>
            <sz val="9"/>
            <color indexed="8"/>
            <rFont val="Tahoma"/>
            <family val="2"/>
            <charset val="1"/>
          </rPr>
          <t xml:space="preserve">Shrey Sao:
</t>
        </r>
        <r>
          <rPr>
            <sz val="9"/>
            <color indexed="8"/>
            <rFont val="Tahoma"/>
            <family val="2"/>
            <charset val="1"/>
          </rPr>
          <t xml:space="preserve">total significant operating costs.
</t>
        </r>
      </text>
    </comment>
    <comment ref="I51" authorId="0" shapeId="0">
      <text>
        <r>
          <rPr>
            <sz val="9"/>
            <color indexed="8"/>
            <rFont val="Tahoma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<sst xmlns="http://schemas.openxmlformats.org/spreadsheetml/2006/main" count="357" uniqueCount="241">
  <si>
    <t>SCREENER.IN</t>
  </si>
  <si>
    <t>Narration</t>
  </si>
  <si>
    <t>Trailing</t>
  </si>
  <si>
    <t>Best Case</t>
  </si>
  <si>
    <t>Worst Case</t>
  </si>
  <si>
    <t>Sales</t>
  </si>
  <si>
    <t>Expenses</t>
  </si>
  <si>
    <t>Operating Profit</t>
  </si>
  <si>
    <t>Other Income</t>
  </si>
  <si>
    <t>EBIDT</t>
  </si>
  <si>
    <t>Depreciation</t>
  </si>
  <si>
    <t>EBIT</t>
  </si>
  <si>
    <t>Interest</t>
  </si>
  <si>
    <t>Profit before tax</t>
  </si>
  <si>
    <t>Tax</t>
  </si>
  <si>
    <t>Net profit</t>
  </si>
  <si>
    <t>EPS</t>
  </si>
  <si>
    <t>Price to earning</t>
  </si>
  <si>
    <t>Price</t>
  </si>
  <si>
    <t>RATIOS:</t>
  </si>
  <si>
    <t>Dividend Payout</t>
  </si>
  <si>
    <t>OPM</t>
  </si>
  <si>
    <t>TRENDS:</t>
  </si>
  <si>
    <t>10Years</t>
  </si>
  <si>
    <t>7Years</t>
  </si>
  <si>
    <t>5Years</t>
  </si>
  <si>
    <t>3Years</t>
  </si>
  <si>
    <t>Recent</t>
  </si>
  <si>
    <t>BEST</t>
  </si>
  <si>
    <t>WORST</t>
  </si>
  <si>
    <t>Sales Growth</t>
  </si>
  <si>
    <t>Price to Earning</t>
  </si>
  <si>
    <t>Growth</t>
  </si>
  <si>
    <t>TTM Sales</t>
  </si>
  <si>
    <t>TTM EBITDA</t>
  </si>
  <si>
    <t>TTM PAT</t>
  </si>
  <si>
    <t>Equity Share Capital</t>
  </si>
  <si>
    <t>Reserves</t>
  </si>
  <si>
    <t>Secured Loans</t>
  </si>
  <si>
    <t>Unsecured Loans</t>
  </si>
  <si>
    <t>Total</t>
  </si>
  <si>
    <t>Net Block</t>
  </si>
  <si>
    <t>Capital Work in Progress</t>
  </si>
  <si>
    <t>Investments</t>
  </si>
  <si>
    <t>Working Capital</t>
  </si>
  <si>
    <t>Debtors</t>
  </si>
  <si>
    <t>Inventory</t>
  </si>
  <si>
    <t>Debtor Days</t>
  </si>
  <si>
    <t>Inventory Turnover</t>
  </si>
  <si>
    <t>Return on Equity</t>
  </si>
  <si>
    <t>Return on Capital Emp</t>
  </si>
  <si>
    <t>Common Size Balance Sheet</t>
  </si>
  <si>
    <t>Average</t>
  </si>
  <si>
    <t>Cash from Operating Activity</t>
  </si>
  <si>
    <t>Cash from Investing Activity</t>
  </si>
  <si>
    <t>Cash from Financing Activity</t>
  </si>
  <si>
    <t>Net Cash Flow</t>
  </si>
  <si>
    <t>Cash &amp; Eq. at the end of year</t>
  </si>
  <si>
    <t xml:space="preserve"> </t>
  </si>
  <si>
    <t>CONSOLIDATED</t>
  </si>
  <si>
    <t>DELTA NETWORTH</t>
  </si>
  <si>
    <t>DELTA MKTCAP</t>
  </si>
  <si>
    <t>IMPACT*</t>
  </si>
  <si>
    <t>HISTORICAL VALUATIONS</t>
  </si>
  <si>
    <t>PRE-TAX BOND</t>
  </si>
  <si>
    <t>10 YR</t>
  </si>
  <si>
    <t>P/E</t>
  </si>
  <si>
    <t>P/B</t>
  </si>
  <si>
    <t>EV/EBITDA</t>
  </si>
  <si>
    <t>P/SALES</t>
  </si>
  <si>
    <t>YIELD</t>
  </si>
  <si>
    <t>LongTerm Bond</t>
  </si>
  <si>
    <t>7 YR</t>
  </si>
  <si>
    <t>MIN</t>
  </si>
  <si>
    <t>LTB Quote</t>
  </si>
  <si>
    <t>5 YR</t>
  </si>
  <si>
    <t>MAX</t>
  </si>
  <si>
    <t>Quoting @</t>
  </si>
  <si>
    <t>3 YR</t>
  </si>
  <si>
    <t>TRAILING</t>
  </si>
  <si>
    <t>1 YR</t>
  </si>
  <si>
    <t>* IMPACT – Every Rupee retained added xx.yy in incremental market value</t>
  </si>
  <si>
    <t>SALES</t>
  </si>
  <si>
    <t>GROSS PROFIT</t>
  </si>
  <si>
    <t>PAT</t>
  </si>
  <si>
    <t>DIVIDEND</t>
  </si>
  <si>
    <t>EPA</t>
  </si>
  <si>
    <t>MKTCAP</t>
  </si>
  <si>
    <t>CFO</t>
  </si>
  <si>
    <t>FCF</t>
  </si>
  <si>
    <t>NETWORTH</t>
  </si>
  <si>
    <t>TOTAL RETURNS</t>
  </si>
  <si>
    <t>10 YR CAGR</t>
  </si>
  <si>
    <t>5 YR CAGR</t>
  </si>
  <si>
    <t>3 YR CAGR</t>
  </si>
  <si>
    <t>1 YR GROWTH</t>
  </si>
  <si>
    <t xml:space="preserve">    </t>
  </si>
  <si>
    <t>Financial Leverage</t>
  </si>
  <si>
    <t>Long term debt/Earning</t>
  </si>
  <si>
    <t>Current liablility/Earning</t>
  </si>
  <si>
    <t>Total liability/Earning</t>
  </si>
  <si>
    <t>Debt/Equity</t>
  </si>
  <si>
    <t>Interest Coverage</t>
  </si>
  <si>
    <t>Working Capital/Sales</t>
  </si>
  <si>
    <t>Inventory Days</t>
  </si>
  <si>
    <t>Inventory turnover</t>
  </si>
  <si>
    <t>Cash In/Cash Out Ratio</t>
  </si>
  <si>
    <t xml:space="preserve">  </t>
  </si>
  <si>
    <t>Current Ratio</t>
  </si>
  <si>
    <t>CFO/PAT</t>
  </si>
  <si>
    <t>Gross Margin</t>
  </si>
  <si>
    <t>EBITDA Margin</t>
  </si>
  <si>
    <t>Net Margin</t>
  </si>
  <si>
    <t>Free Cash Flow/Sales</t>
  </si>
  <si>
    <t>Capital Turns</t>
  </si>
  <si>
    <t>Fixed Asset Turns</t>
  </si>
  <si>
    <t>Total Asset Turns</t>
  </si>
  <si>
    <t>RoA</t>
  </si>
  <si>
    <t>RoE</t>
  </si>
  <si>
    <t>RoCE</t>
  </si>
  <si>
    <t>RoIC</t>
  </si>
  <si>
    <t>Altman Z-Score</t>
  </si>
  <si>
    <t>Tax Rate</t>
  </si>
  <si>
    <t>Share Capital Increase/Decrease</t>
  </si>
  <si>
    <t>Inventory Increase/Sales Increase</t>
  </si>
  <si>
    <t>Debtors Increase/Sales Increase</t>
  </si>
  <si>
    <t>Capex/Depreciation</t>
  </si>
  <si>
    <t>Cash/Assets</t>
  </si>
  <si>
    <t>EBIT/Invested Capital</t>
  </si>
  <si>
    <t>WACC</t>
  </si>
  <si>
    <t>EPA/Sales</t>
  </si>
  <si>
    <t>MktCap</t>
  </si>
  <si>
    <t>MktCap Change</t>
  </si>
  <si>
    <t>MktCap Change - EPA</t>
  </si>
  <si>
    <t>Capex/Net Profits 7 yr</t>
  </si>
  <si>
    <t>Capex/Net Profits 5 yr</t>
  </si>
  <si>
    <t>Capex/Net Profits 3 yr</t>
  </si>
  <si>
    <t>Capex/Depreciation 10 yr</t>
  </si>
  <si>
    <t>COPY PASTE DATA FROM ANY FINANCIAL WEBSITE: ONLY FOR THE FIELDS MARKED GREEN BELOW</t>
  </si>
  <si>
    <t>Cash &amp; Bank Balance</t>
  </si>
  <si>
    <t>Current Assets</t>
  </si>
  <si>
    <t>Current Liabilities</t>
  </si>
  <si>
    <t>Working Capital (check)</t>
  </si>
  <si>
    <t>COPY PASTE DATA FROM ANNUAL REPORTS: ONLY FOR THE FIELDS MARKED ORANGE BELOW</t>
  </si>
  <si>
    <t>Operating Expenses/Capex</t>
  </si>
  <si>
    <t>Raw Materials</t>
  </si>
  <si>
    <t>Employee cost</t>
  </si>
  <si>
    <t>Advertising and sales promotion</t>
  </si>
  <si>
    <t>Freight, transport and distribution</t>
  </si>
  <si>
    <t>Royalty</t>
  </si>
  <si>
    <t>Power and fuel</t>
  </si>
  <si>
    <t>Miscellaneous expenses</t>
  </si>
  <si>
    <t>R&amp;D Cost</t>
  </si>
  <si>
    <t>Capex</t>
  </si>
  <si>
    <t>Gross Profit</t>
  </si>
  <si>
    <t>EBITDA</t>
  </si>
  <si>
    <t>Depreciation &amp; Amortisation</t>
  </si>
  <si>
    <t>PBT</t>
  </si>
  <si>
    <t>Dividends</t>
  </si>
  <si>
    <t>Market Cap</t>
  </si>
  <si>
    <t>Current Market Cap</t>
  </si>
  <si>
    <t>Equity</t>
  </si>
  <si>
    <t>Reserves &amp; Surplus</t>
  </si>
  <si>
    <t>Networth</t>
  </si>
  <si>
    <t>Net Fixed Assets</t>
  </si>
  <si>
    <t>Net Other Assets</t>
  </si>
  <si>
    <t>Invested Capital</t>
  </si>
  <si>
    <t>Capital Employed</t>
  </si>
  <si>
    <t>Total Assets</t>
  </si>
  <si>
    <t>Operating Cash Flow</t>
  </si>
  <si>
    <t>Free Cash Flow</t>
  </si>
  <si>
    <t>MktCap+Dividend</t>
  </si>
  <si>
    <t>Retained Profit</t>
  </si>
  <si>
    <t>Price/Book</t>
  </si>
  <si>
    <t>Price/CashFlow</t>
  </si>
  <si>
    <t>Price/Sales</t>
  </si>
  <si>
    <t>Dividend Yield</t>
  </si>
  <si>
    <t>Z-Weights</t>
  </si>
  <si>
    <t>Working Capital/Total Assets</t>
  </si>
  <si>
    <t>Retained Profits/Total Assets</t>
  </si>
  <si>
    <t>EBIT/Total Assets</t>
  </si>
  <si>
    <t>Market Cap/Total Liabilities</t>
  </si>
  <si>
    <t>Sales/Total Assets</t>
  </si>
  <si>
    <t>Z &gt; 2.99 -“Safe” Zones</t>
  </si>
  <si>
    <t>1.81 &lt; Z &lt; 2.99 -“Grey” Zones</t>
  </si>
  <si>
    <t>Z &lt; 1.81 -“Distress” Zones</t>
  </si>
  <si>
    <t>PLEASE DO NOT MAKE ANY CHANGES TO THIS SHEET</t>
  </si>
  <si>
    <t>PROFIT &amp; LOSS</t>
  </si>
  <si>
    <t>Report Date</t>
  </si>
  <si>
    <t>Period</t>
  </si>
  <si>
    <t>Quarters</t>
  </si>
  <si>
    <t>BALANCE SHEET</t>
  </si>
  <si>
    <t>Unadjusted No. of Shares (lacs)</t>
  </si>
  <si>
    <t>CASH FLOW:</t>
  </si>
  <si>
    <t>OTHER:</t>
  </si>
  <si>
    <t>Number of shares</t>
  </si>
  <si>
    <t>Face Value</t>
  </si>
  <si>
    <t>Current Price</t>
  </si>
  <si>
    <t>Industry PE</t>
  </si>
  <si>
    <t>PE</t>
  </si>
  <si>
    <t>Cash</t>
  </si>
  <si>
    <t>Dividend Paid</t>
  </si>
  <si>
    <t>Operating Expenses</t>
  </si>
  <si>
    <t>CAGR</t>
  </si>
  <si>
    <t>power and fuel</t>
  </si>
  <si>
    <t>total</t>
  </si>
  <si>
    <t>COGS</t>
  </si>
  <si>
    <t>GM</t>
  </si>
  <si>
    <t>Common Size Expenses</t>
  </si>
  <si>
    <t>VARIATION</t>
  </si>
  <si>
    <t>STD DEV</t>
  </si>
  <si>
    <t>Advertising and Sales promotion</t>
  </si>
  <si>
    <t>Power and Fuel</t>
  </si>
  <si>
    <t>Miscellaneous Expenses</t>
  </si>
  <si>
    <t>Expenses/Gross Profit</t>
  </si>
  <si>
    <t>SG&amp;A</t>
  </si>
  <si>
    <t>Year on Year Increase</t>
  </si>
  <si>
    <t>operating cost break up(current year)</t>
  </si>
  <si>
    <t>Weights</t>
  </si>
  <si>
    <t>weighted avg</t>
  </si>
  <si>
    <t>Rate</t>
  </si>
  <si>
    <t>NOW</t>
  </si>
  <si>
    <t>Total OPE</t>
  </si>
  <si>
    <t>approx. operating profit</t>
  </si>
  <si>
    <t>NOPLAT</t>
  </si>
  <si>
    <t>RoIIC(1yr)</t>
  </si>
  <si>
    <t>RoIIC(3yr)</t>
  </si>
  <si>
    <t>RoIIC (5yr)</t>
  </si>
  <si>
    <t>RoIIC(10yr)</t>
  </si>
  <si>
    <t>5 Yr EBITDA Margin (Avg)</t>
  </si>
  <si>
    <t>3 Yr Capital Turnover (Avg)</t>
  </si>
  <si>
    <t>5 Yr Capital Turnover (Avg)</t>
  </si>
  <si>
    <t>3 yr EPA/Sales (avg)</t>
  </si>
  <si>
    <t>5 yr EPA/Sales (Avg)</t>
  </si>
  <si>
    <t>3 Yr Invested Capital (Avg)</t>
  </si>
  <si>
    <t>5 Yr Invested Capital (Avg)</t>
  </si>
  <si>
    <t>3 Yr EBITDA Margin (avg)</t>
  </si>
  <si>
    <t>3 Yr ROIC (Avg)</t>
  </si>
  <si>
    <t>5 Yr ROIC (Avg)</t>
  </si>
  <si>
    <t>Capex/Cash Flows 10 yr</t>
  </si>
  <si>
    <t>PHOENIX LAMPS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</si>
</sst>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mmm\-yy;@"/>
    <numFmt numFmtId="165" formatCode="#,##0.00\ ;&quot; -&quot;#,##0.00\ ;&quot; -&quot;#\ ;@\ "/>
    <numFmt numFmtId="166" formatCode="dd/mm/yy"/>
    <numFmt numFmtId="167" formatCode="[$-F800]dddd\,\ mmmm\ dd\,\ yyyy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indexed="59"/>
      <name val="Calibri"/>
      <family val="2"/>
      <charset val="1"/>
    </font>
    <font>
      <sz val="9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25"/>
        <bgColor indexed="60"/>
      </patternFill>
    </fill>
    <fill>
      <patternFill patternType="solid">
        <fgColor indexed="57"/>
        <bgColor indexed="40"/>
      </patternFill>
    </fill>
    <fill>
      <patternFill patternType="solid">
        <fgColor indexed="27"/>
        <bgColor indexed="41"/>
      </patternFill>
    </fill>
    <fill>
      <patternFill patternType="solid">
        <fgColor indexed="30"/>
        <bgColor indexed="40"/>
      </patternFill>
    </fill>
    <fill>
      <patternFill patternType="solid">
        <fgColor indexed="61"/>
        <bgColor indexed="25"/>
      </patternFill>
    </fill>
    <fill>
      <patternFill patternType="solid">
        <fgColor indexed="19"/>
        <bgColor indexed="23"/>
      </patternFill>
    </fill>
    <fill>
      <patternFill patternType="solid">
        <fgColor indexed="9"/>
        <bgColor indexed="27"/>
      </patternFill>
    </fill>
    <fill>
      <patternFill patternType="solid">
        <fgColor indexed="41"/>
        <bgColor indexed="31"/>
      </patternFill>
    </fill>
    <fill>
      <patternFill patternType="solid">
        <fgColor indexed="16"/>
        <bgColor indexed="37"/>
      </patternFill>
    </fill>
    <fill>
      <patternFill patternType="solid">
        <fgColor indexed="50"/>
        <bgColor indexed="55"/>
      </patternFill>
    </fill>
    <fill>
      <patternFill patternType="solid">
        <fgColor indexed="51"/>
        <bgColor indexed="52"/>
      </patternFill>
    </fill>
    <fill>
      <patternFill patternType="solid">
        <fgColor indexed="40"/>
        <bgColor indexed="30"/>
      </patternFill>
    </fill>
    <fill>
      <patternFill patternType="solid">
        <fgColor indexed="26"/>
        <bgColor indexed="41"/>
      </patternFill>
    </fill>
    <fill>
      <patternFill patternType="solid">
        <fgColor indexed="31"/>
        <bgColor indexed="41"/>
      </patternFill>
    </fill>
    <fill>
      <patternFill patternType="solid">
        <fgColor theme="9"/>
      </patternFill>
    </fill>
    <fill>
      <patternFill patternType="solid">
        <fgColor theme="4"/>
        <bgColor theme="4"/>
      </patternFill>
    </fill>
  </fills>
  <borders count="25">
    <border>
      <left/>
      <right/>
      <top/>
      <bottom/>
      <diagonal/>
    </border>
    <border>
      <left style="thin">
        <color indexed="57"/>
      </left>
      <right/>
      <top style="thin">
        <color indexed="57"/>
      </top>
      <bottom/>
      <diagonal/>
    </border>
    <border>
      <left/>
      <right/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7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9">
    <xf numFmtId="0" fontId="0" fillId="0" borderId="0"/>
    <xf numFmtId="165" fontId="3" fillId="0" borderId="0"/>
    <xf numFmtId="9" fontId="3" fillId="0" borderId="0"/>
    <xf numFmtId="0" fontId="2" fillId="0" borderId="0"/>
    <xf numFmtId="0" fontId="3" fillId="0" borderId="0"/>
    <xf numFmtId="0" fontId="7" fillId="2" borderId="0"/>
    <xf numFmtId="0" fontId="7" fillId="3" borderId="0"/>
    <xf numFmtId="0" fontId="7" fillId="4" borderId="0"/>
    <xf numFmtId="0" fontId="20" fillId="18" borderId="0" applyNumberFormat="0" applyBorder="0" applyAlignment="0" applyProtection="0"/>
  </cellStyleXfs>
  <cellXfs count="181">
    <xf numFmtId="0" fontId="0" fillId="0" borderId="0" xfId="0"/>
    <xf numFmtId="0" fontId="3" fillId="0" borderId="0" xfId="4" applyFont="1"/>
    <xf numFmtId="0" fontId="4" fillId="0" borderId="0" xfId="4" applyFont="1"/>
    <xf numFmtId="0" fontId="5" fillId="0" borderId="0" xfId="4" applyFont="1" applyFill="1" applyBorder="1" applyAlignment="1"/>
    <xf numFmtId="0" fontId="6" fillId="5" borderId="1" xfId="4" applyFont="1" applyFill="1" applyBorder="1"/>
    <xf numFmtId="164" fontId="6" fillId="5" borderId="2" xfId="4" applyNumberFormat="1" applyFont="1" applyFill="1" applyBorder="1" applyAlignment="1">
      <alignment horizontal="center"/>
    </xf>
    <xf numFmtId="0" fontId="6" fillId="5" borderId="2" xfId="4" applyFont="1" applyFill="1" applyBorder="1" applyAlignment="1">
      <alignment horizontal="center"/>
    </xf>
    <xf numFmtId="0" fontId="6" fillId="5" borderId="3" xfId="4" applyFont="1" applyFill="1" applyBorder="1" applyAlignment="1">
      <alignment horizontal="center"/>
    </xf>
    <xf numFmtId="0" fontId="4" fillId="0" borderId="1" xfId="4" applyFont="1" applyBorder="1"/>
    <xf numFmtId="165" fontId="4" fillId="0" borderId="2" xfId="1" applyFont="1" applyFill="1" applyBorder="1" applyAlignment="1" applyProtection="1"/>
    <xf numFmtId="165" fontId="4" fillId="0" borderId="3" xfId="1" applyFont="1" applyFill="1" applyBorder="1" applyAlignment="1" applyProtection="1"/>
    <xf numFmtId="0" fontId="3" fillId="0" borderId="1" xfId="4" applyFont="1" applyBorder="1"/>
    <xf numFmtId="165" fontId="3" fillId="0" borderId="2" xfId="1" applyFont="1" applyFill="1" applyBorder="1" applyAlignment="1" applyProtection="1"/>
    <xf numFmtId="165" fontId="3" fillId="0" borderId="3" xfId="1" applyFont="1" applyFill="1" applyBorder="1" applyAlignment="1" applyProtection="1"/>
    <xf numFmtId="165" fontId="3" fillId="0" borderId="4" xfId="1" applyFont="1" applyFill="1" applyBorder="1" applyAlignment="1" applyProtection="1"/>
    <xf numFmtId="9" fontId="3" fillId="0" borderId="2" xfId="1" applyNumberFormat="1" applyFont="1" applyFill="1" applyBorder="1" applyAlignment="1" applyProtection="1"/>
    <xf numFmtId="165" fontId="3" fillId="0" borderId="5" xfId="1" applyFont="1" applyFill="1" applyBorder="1" applyAlignment="1" applyProtection="1"/>
    <xf numFmtId="165" fontId="6" fillId="2" borderId="2" xfId="5" applyNumberFormat="1" applyFont="1" applyBorder="1" applyAlignment="1" applyProtection="1"/>
    <xf numFmtId="165" fontId="6" fillId="3" borderId="2" xfId="6" applyNumberFormat="1" applyFont="1" applyBorder="1" applyAlignment="1" applyProtection="1"/>
    <xf numFmtId="0" fontId="3" fillId="0" borderId="2" xfId="4" applyFont="1" applyBorder="1"/>
    <xf numFmtId="0" fontId="3" fillId="0" borderId="3" xfId="4" applyFont="1" applyBorder="1"/>
    <xf numFmtId="0" fontId="4" fillId="0" borderId="2" xfId="4" applyFont="1" applyBorder="1"/>
    <xf numFmtId="0" fontId="4" fillId="0" borderId="3" xfId="4" applyFont="1" applyBorder="1"/>
    <xf numFmtId="10" fontId="3" fillId="0" borderId="2" xfId="4" applyNumberFormat="1" applyFont="1" applyBorder="1"/>
    <xf numFmtId="0" fontId="3" fillId="0" borderId="6" xfId="4" applyFont="1" applyBorder="1"/>
    <xf numFmtId="10" fontId="3" fillId="0" borderId="5" xfId="4" applyNumberFormat="1" applyFont="1" applyBorder="1"/>
    <xf numFmtId="0" fontId="3" fillId="0" borderId="5" xfId="4" applyFont="1" applyBorder="1"/>
    <xf numFmtId="0" fontId="3" fillId="0" borderId="4" xfId="4" applyFont="1" applyBorder="1"/>
    <xf numFmtId="0" fontId="4" fillId="0" borderId="0" xfId="4" applyFont="1" applyAlignment="1">
      <alignment horizontal="center"/>
    </xf>
    <xf numFmtId="10" fontId="3" fillId="0" borderId="0" xfId="4" applyNumberFormat="1" applyFont="1"/>
    <xf numFmtId="10" fontId="4" fillId="0" borderId="0" xfId="4" applyNumberFormat="1" applyFont="1"/>
    <xf numFmtId="165" fontId="3" fillId="0" borderId="0" xfId="1" applyFont="1" applyFill="1" applyBorder="1" applyAlignment="1" applyProtection="1"/>
    <xf numFmtId="165" fontId="4" fillId="0" borderId="0" xfId="1" applyFont="1" applyFill="1" applyBorder="1" applyAlignment="1" applyProtection="1"/>
    <xf numFmtId="0" fontId="4" fillId="0" borderId="0" xfId="4" applyFont="1" applyFill="1" applyBorder="1" applyAlignment="1"/>
    <xf numFmtId="0" fontId="4" fillId="0" borderId="0" xfId="4" applyFont="1" applyFill="1" applyBorder="1"/>
    <xf numFmtId="9" fontId="4" fillId="0" borderId="0" xfId="2" applyFont="1" applyFill="1" applyBorder="1" applyAlignment="1" applyProtection="1"/>
    <xf numFmtId="0" fontId="3" fillId="0" borderId="0" xfId="4"/>
    <xf numFmtId="165" fontId="3" fillId="0" borderId="2" xfId="1" applyNumberFormat="1" applyFont="1" applyFill="1" applyBorder="1" applyAlignment="1" applyProtection="1">
      <alignment horizontal="center"/>
    </xf>
    <xf numFmtId="165" fontId="3" fillId="0" borderId="5" xfId="1" applyNumberFormat="1" applyFont="1" applyFill="1" applyBorder="1" applyAlignment="1" applyProtection="1">
      <alignment horizontal="center"/>
    </xf>
    <xf numFmtId="165" fontId="4" fillId="0" borderId="2" xfId="1" applyNumberFormat="1" applyFont="1" applyFill="1" applyBorder="1" applyAlignment="1" applyProtection="1">
      <alignment horizontal="center"/>
    </xf>
    <xf numFmtId="165" fontId="3" fillId="0" borderId="2" xfId="1" applyNumberFormat="1" applyFont="1" applyFill="1" applyBorder="1" applyAlignment="1" applyProtection="1"/>
    <xf numFmtId="165" fontId="3" fillId="0" borderId="5" xfId="1" applyNumberFormat="1" applyFont="1" applyFill="1" applyBorder="1" applyAlignment="1" applyProtection="1"/>
    <xf numFmtId="0" fontId="3" fillId="0" borderId="8" xfId="4" applyFont="1" applyFill="1" applyBorder="1"/>
    <xf numFmtId="0" fontId="8" fillId="0" borderId="0" xfId="0" applyFont="1"/>
    <xf numFmtId="0" fontId="8" fillId="0" borderId="9" xfId="0" applyFont="1" applyBorder="1"/>
    <xf numFmtId="0" fontId="9" fillId="0" borderId="0" xfId="0" applyFont="1"/>
    <xf numFmtId="0" fontId="6" fillId="7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right"/>
    </xf>
    <xf numFmtId="1" fontId="7" fillId="8" borderId="7" xfId="0" applyNumberFormat="1" applyFont="1" applyFill="1" applyBorder="1"/>
    <xf numFmtId="2" fontId="7" fillId="8" borderId="7" xfId="0" applyNumberFormat="1" applyFont="1" applyFill="1" applyBorder="1"/>
    <xf numFmtId="0" fontId="8" fillId="0" borderId="7" xfId="0" applyFont="1" applyBorder="1"/>
    <xf numFmtId="0" fontId="7" fillId="8" borderId="7" xfId="0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center"/>
    </xf>
    <xf numFmtId="0" fontId="7" fillId="8" borderId="7" xfId="0" applyFont="1" applyFill="1" applyBorder="1"/>
    <xf numFmtId="9" fontId="7" fillId="8" borderId="7" xfId="0" applyNumberFormat="1" applyFont="1" applyFill="1" applyBorder="1" applyAlignment="1">
      <alignment horizontal="center"/>
    </xf>
    <xf numFmtId="0" fontId="9" fillId="0" borderId="7" xfId="0" applyFont="1" applyBorder="1"/>
    <xf numFmtId="2" fontId="7" fillId="8" borderId="7" xfId="0" applyNumberFormat="1" applyFont="1" applyFill="1" applyBorder="1" applyAlignment="1">
      <alignment horizontal="center"/>
    </xf>
    <xf numFmtId="10" fontId="7" fillId="8" borderId="7" xfId="0" applyNumberFormat="1" applyFont="1" applyFill="1" applyBorder="1" applyAlignment="1">
      <alignment horizontal="center"/>
    </xf>
    <xf numFmtId="0" fontId="7" fillId="8" borderId="0" xfId="0" applyFont="1" applyFill="1"/>
    <xf numFmtId="0" fontId="7" fillId="8" borderId="7" xfId="0" applyFont="1" applyFill="1" applyBorder="1" applyAlignment="1">
      <alignment horizontal="left"/>
    </xf>
    <xf numFmtId="0" fontId="8" fillId="8" borderId="0" xfId="0" applyFont="1" applyFill="1"/>
    <xf numFmtId="2" fontId="8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10" fontId="6" fillId="9" borderId="9" xfId="0" applyNumberFormat="1" applyFont="1" applyFill="1" applyBorder="1"/>
    <xf numFmtId="10" fontId="7" fillId="9" borderId="7" xfId="0" applyNumberFormat="1" applyFont="1" applyFill="1" applyBorder="1"/>
    <xf numFmtId="10" fontId="6" fillId="9" borderId="7" xfId="0" applyNumberFormat="1" applyFont="1" applyFill="1" applyBorder="1"/>
    <xf numFmtId="0" fontId="9" fillId="0" borderId="0" xfId="0" applyFont="1" applyBorder="1"/>
    <xf numFmtId="10" fontId="9" fillId="0" borderId="0" xfId="0" applyNumberFormat="1" applyFont="1" applyBorder="1"/>
    <xf numFmtId="14" fontId="6" fillId="7" borderId="9" xfId="0" applyNumberFormat="1" applyFont="1" applyFill="1" applyBorder="1" applyAlignment="1">
      <alignment horizontal="center"/>
    </xf>
    <xf numFmtId="2" fontId="6" fillId="8" borderId="9" xfId="0" applyNumberFormat="1" applyFont="1" applyFill="1" applyBorder="1"/>
    <xf numFmtId="2" fontId="8" fillId="0" borderId="0" xfId="0" applyNumberFormat="1" applyFont="1"/>
    <xf numFmtId="0" fontId="9" fillId="10" borderId="9" xfId="0" applyFont="1" applyFill="1" applyBorder="1" applyAlignment="1">
      <alignment horizontal="right"/>
    </xf>
    <xf numFmtId="10" fontId="6" fillId="8" borderId="9" xfId="0" applyNumberFormat="1" applyFont="1" applyFill="1" applyBorder="1"/>
    <xf numFmtId="1" fontId="6" fillId="8" borderId="9" xfId="0" applyNumberFormat="1" applyFont="1" applyFill="1" applyBorder="1"/>
    <xf numFmtId="0" fontId="9" fillId="0" borderId="0" xfId="0" applyFont="1" applyAlignment="1">
      <alignment horizontal="right"/>
    </xf>
    <xf numFmtId="0" fontId="9" fillId="0" borderId="9" xfId="0" applyFont="1" applyFill="1" applyBorder="1" applyAlignment="1">
      <alignment horizontal="right"/>
    </xf>
    <xf numFmtId="10" fontId="7" fillId="9" borderId="9" xfId="0" applyNumberFormat="1" applyFont="1" applyFill="1" applyBorder="1" applyAlignment="1">
      <alignment horizontal="right"/>
    </xf>
    <xf numFmtId="10" fontId="8" fillId="0" borderId="0" xfId="0" applyNumberFormat="1" applyFont="1"/>
    <xf numFmtId="10" fontId="8" fillId="0" borderId="9" xfId="0" applyNumberFormat="1" applyFont="1" applyBorder="1"/>
    <xf numFmtId="10" fontId="8" fillId="0" borderId="9" xfId="0" applyNumberFormat="1" applyFont="1" applyFill="1" applyBorder="1"/>
    <xf numFmtId="2" fontId="8" fillId="0" borderId="9" xfId="0" applyNumberFormat="1" applyFont="1" applyBorder="1"/>
    <xf numFmtId="2" fontId="8" fillId="0" borderId="9" xfId="0" applyNumberFormat="1" applyFont="1" applyFill="1" applyBorder="1"/>
    <xf numFmtId="0" fontId="8" fillId="0" borderId="9" xfId="0" applyFont="1" applyFill="1" applyBorder="1" applyAlignment="1"/>
    <xf numFmtId="0" fontId="8" fillId="0" borderId="7" xfId="0" applyFont="1" applyFill="1" applyBorder="1" applyAlignment="1"/>
    <xf numFmtId="0" fontId="8" fillId="0" borderId="7" xfId="0" applyFont="1" applyFill="1" applyBorder="1"/>
    <xf numFmtId="10" fontId="8" fillId="0" borderId="7" xfId="0" applyNumberFormat="1" applyFont="1" applyFill="1" applyBorder="1" applyAlignment="1"/>
    <xf numFmtId="2" fontId="8" fillId="0" borderId="0" xfId="0" applyNumberFormat="1" applyFont="1" applyFill="1" applyBorder="1" applyAlignment="1"/>
    <xf numFmtId="2" fontId="8" fillId="0" borderId="0" xfId="0" applyNumberFormat="1" applyFont="1" applyFill="1"/>
    <xf numFmtId="10" fontId="8" fillId="0" borderId="0" xfId="0" applyNumberFormat="1" applyFont="1" applyFill="1"/>
    <xf numFmtId="0" fontId="8" fillId="0" borderId="0" xfId="0" applyFont="1" applyFill="1"/>
    <xf numFmtId="0" fontId="12" fillId="0" borderId="0" xfId="0" applyFont="1"/>
    <xf numFmtId="0" fontId="12" fillId="13" borderId="0" xfId="0" applyFont="1" applyFill="1"/>
    <xf numFmtId="166" fontId="6" fillId="7" borderId="9" xfId="0" applyNumberFormat="1" applyFont="1" applyFill="1" applyBorder="1" applyAlignment="1">
      <alignment horizontal="center"/>
    </xf>
    <xf numFmtId="0" fontId="13" fillId="0" borderId="9" xfId="0" applyFont="1" applyBorder="1"/>
    <xf numFmtId="0" fontId="12" fillId="0" borderId="9" xfId="0" applyFont="1" applyBorder="1"/>
    <xf numFmtId="0" fontId="12" fillId="13" borderId="9" xfId="0" applyFont="1" applyFill="1" applyBorder="1" applyAlignment="1">
      <alignment horizontal="left" wrapText="1"/>
    </xf>
    <xf numFmtId="0" fontId="15" fillId="14" borderId="7" xfId="0" applyFont="1" applyFill="1" applyBorder="1" applyAlignment="1">
      <alignment horizontal="right" vertical="center" wrapText="1"/>
    </xf>
    <xf numFmtId="0" fontId="6" fillId="15" borderId="7" xfId="0" applyFont="1" applyFill="1" applyBorder="1"/>
    <xf numFmtId="166" fontId="6" fillId="7" borderId="7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14" borderId="7" xfId="0" applyFont="1" applyFill="1" applyBorder="1"/>
    <xf numFmtId="2" fontId="12" fillId="14" borderId="7" xfId="0" applyNumberFormat="1" applyFont="1" applyFill="1" applyBorder="1"/>
    <xf numFmtId="2" fontId="12" fillId="14" borderId="7" xfId="0" applyNumberFormat="1" applyFont="1" applyFill="1" applyBorder="1" applyAlignment="1">
      <alignment horizontal="right"/>
    </xf>
    <xf numFmtId="10" fontId="12" fillId="0" borderId="0" xfId="0" applyNumberFormat="1" applyFont="1" applyFill="1"/>
    <xf numFmtId="2" fontId="12" fillId="0" borderId="7" xfId="0" applyNumberFormat="1" applyFont="1" applyBorder="1"/>
    <xf numFmtId="0" fontId="12" fillId="0" borderId="7" xfId="0" applyFont="1" applyBorder="1" applyAlignment="1">
      <alignment horizontal="left"/>
    </xf>
    <xf numFmtId="0" fontId="12" fillId="0" borderId="7" xfId="0" applyFont="1" applyBorder="1"/>
    <xf numFmtId="10" fontId="12" fillId="0" borderId="7" xfId="0" applyNumberFormat="1" applyFont="1" applyBorder="1"/>
    <xf numFmtId="10" fontId="12" fillId="0" borderId="7" xfId="0" applyNumberFormat="1" applyFont="1" applyFill="1" applyBorder="1"/>
    <xf numFmtId="4" fontId="12" fillId="0" borderId="7" xfId="0" applyNumberFormat="1" applyFont="1" applyBorder="1"/>
    <xf numFmtId="4" fontId="12" fillId="0" borderId="7" xfId="0" applyNumberFormat="1" applyFont="1" applyFill="1" applyBorder="1"/>
    <xf numFmtId="10" fontId="12" fillId="0" borderId="0" xfId="0" applyNumberFormat="1" applyFont="1"/>
    <xf numFmtId="0" fontId="12" fillId="10" borderId="7" xfId="0" applyFont="1" applyFill="1" applyBorder="1"/>
    <xf numFmtId="0" fontId="12" fillId="0" borderId="0" xfId="0" applyFont="1" applyBorder="1"/>
    <xf numFmtId="10" fontId="12" fillId="0" borderId="0" xfId="0" applyNumberFormat="1" applyFont="1" applyBorder="1"/>
    <xf numFmtId="0" fontId="6" fillId="15" borderId="0" xfId="0" applyFont="1" applyFill="1"/>
    <xf numFmtId="0" fontId="12" fillId="17" borderId="0" xfId="0" applyFont="1" applyFill="1"/>
    <xf numFmtId="0" fontId="12" fillId="0" borderId="0" xfId="3" applyFont="1" applyFill="1"/>
    <xf numFmtId="2" fontId="12" fillId="0" borderId="0" xfId="0" applyNumberFormat="1" applyFont="1"/>
    <xf numFmtId="0" fontId="12" fillId="10" borderId="0" xfId="0" applyFont="1" applyFill="1"/>
    <xf numFmtId="4" fontId="12" fillId="0" borderId="0" xfId="0" applyNumberFormat="1" applyFont="1"/>
    <xf numFmtId="0" fontId="16" fillId="0" borderId="0" xfId="0" applyFont="1"/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8" fillId="0" borderId="10" xfId="0" applyFont="1" applyBorder="1" applyAlignment="1">
      <alignment horizontal="left"/>
    </xf>
    <xf numFmtId="0" fontId="8" fillId="0" borderId="0" xfId="0" applyFont="1" applyBorder="1"/>
    <xf numFmtId="2" fontId="8" fillId="0" borderId="0" xfId="0" applyNumberFormat="1" applyFont="1" applyBorder="1"/>
    <xf numFmtId="10" fontId="3" fillId="0" borderId="0" xfId="4" applyNumberFormat="1"/>
    <xf numFmtId="165" fontId="3" fillId="0" borderId="0" xfId="4" applyNumberFormat="1" applyFont="1"/>
    <xf numFmtId="4" fontId="14" fillId="13" borderId="17" xfId="0" applyNumberFormat="1" applyFont="1" applyFill="1" applyBorder="1" applyAlignment="1">
      <alignment horizontal="right" vertical="center" wrapText="1"/>
    </xf>
    <xf numFmtId="0" fontId="12" fillId="0" borderId="17" xfId="0" applyFont="1" applyBorder="1"/>
    <xf numFmtId="0" fontId="8" fillId="0" borderId="9" xfId="0" applyFont="1" applyFill="1" applyBorder="1" applyAlignment="1">
      <alignment horizontal="left"/>
    </xf>
    <xf numFmtId="2" fontId="8" fillId="0" borderId="9" xfId="0" applyNumberFormat="1" applyFont="1" applyFill="1" applyBorder="1" applyAlignment="1">
      <alignment horizontal="right"/>
    </xf>
    <xf numFmtId="10" fontId="6" fillId="9" borderId="12" xfId="0" applyNumberFormat="1" applyFont="1" applyFill="1" applyBorder="1"/>
    <xf numFmtId="2" fontId="12" fillId="0" borderId="17" xfId="0" applyNumberFormat="1" applyFont="1" applyBorder="1"/>
    <xf numFmtId="10" fontId="6" fillId="9" borderId="12" xfId="0" applyNumberFormat="1" applyFont="1" applyFill="1" applyBorder="1" applyAlignment="1">
      <alignment horizontal="center"/>
    </xf>
    <xf numFmtId="10" fontId="6" fillId="9" borderId="13" xfId="0" applyNumberFormat="1" applyFont="1" applyFill="1" applyBorder="1" applyAlignment="1">
      <alignment horizontal="center"/>
    </xf>
    <xf numFmtId="0" fontId="12" fillId="0" borderId="17" xfId="0" applyFont="1" applyFill="1" applyBorder="1"/>
    <xf numFmtId="9" fontId="17" fillId="0" borderId="17" xfId="2" applyFont="1" applyBorder="1"/>
    <xf numFmtId="0" fontId="8" fillId="0" borderId="17" xfId="0" applyFont="1" applyBorder="1"/>
    <xf numFmtId="0" fontId="6" fillId="7" borderId="18" xfId="0" applyFont="1" applyFill="1" applyBorder="1" applyAlignment="1">
      <alignment horizontal="center"/>
    </xf>
    <xf numFmtId="166" fontId="6" fillId="7" borderId="18" xfId="0" applyNumberFormat="1" applyFont="1" applyFill="1" applyBorder="1" applyAlignment="1">
      <alignment horizontal="center"/>
    </xf>
    <xf numFmtId="0" fontId="12" fillId="13" borderId="19" xfId="0" applyFont="1" applyFill="1" applyBorder="1"/>
    <xf numFmtId="10" fontId="8" fillId="0" borderId="17" xfId="0" applyNumberFormat="1" applyFont="1" applyBorder="1"/>
    <xf numFmtId="2" fontId="8" fillId="0" borderId="17" xfId="0" applyNumberFormat="1" applyFont="1" applyBorder="1"/>
    <xf numFmtId="10" fontId="3" fillId="0" borderId="17" xfId="2" applyNumberFormat="1" applyBorder="1"/>
    <xf numFmtId="165" fontId="19" fillId="0" borderId="0" xfId="1" applyFont="1"/>
    <xf numFmtId="165" fontId="0" fillId="0" borderId="0" xfId="1" applyFont="1"/>
    <xf numFmtId="167" fontId="18" fillId="19" borderId="23" xfId="1" applyNumberFormat="1" applyFont="1" applyFill="1" applyBorder="1"/>
    <xf numFmtId="14" fontId="18" fillId="19" borderId="24" xfId="0" applyNumberFormat="1" applyFont="1" applyFill="1" applyBorder="1" applyAlignment="1">
      <alignment horizontal="center"/>
    </xf>
    <xf numFmtId="167" fontId="0" fillId="0" borderId="0" xfId="1" applyNumberFormat="1" applyFont="1"/>
    <xf numFmtId="165" fontId="0" fillId="0" borderId="23" xfId="1" applyFont="1" applyBorder="1"/>
    <xf numFmtId="165" fontId="19" fillId="0" borderId="23" xfId="1" applyFont="1" applyBorder="1"/>
    <xf numFmtId="165" fontId="19" fillId="0" borderId="0" xfId="1" applyFont="1" applyBorder="1"/>
    <xf numFmtId="0" fontId="5" fillId="6" borderId="7" xfId="4" applyFont="1" applyFill="1" applyBorder="1" applyAlignment="1">
      <alignment horizontal="center"/>
    </xf>
    <xf numFmtId="0" fontId="8" fillId="11" borderId="9" xfId="0" applyFont="1" applyFill="1" applyBorder="1" applyAlignment="1">
      <alignment horizontal="right"/>
    </xf>
    <xf numFmtId="0" fontId="6" fillId="7" borderId="17" xfId="0" applyFont="1" applyFill="1" applyBorder="1" applyAlignment="1">
      <alignment horizontal="center" wrapText="1"/>
    </xf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10" fontId="6" fillId="9" borderId="11" xfId="0" applyNumberFormat="1" applyFont="1" applyFill="1" applyBorder="1" applyAlignment="1">
      <alignment horizontal="center"/>
    </xf>
    <xf numFmtId="10" fontId="6" fillId="9" borderId="12" xfId="0" applyNumberFormat="1" applyFont="1" applyFill="1" applyBorder="1" applyAlignment="1">
      <alignment horizontal="center"/>
    </xf>
    <xf numFmtId="10" fontId="6" fillId="9" borderId="13" xfId="0" applyNumberFormat="1" applyFont="1" applyFill="1" applyBorder="1" applyAlignment="1">
      <alignment horizontal="center"/>
    </xf>
    <xf numFmtId="0" fontId="12" fillId="11" borderId="9" xfId="0" applyFont="1" applyFill="1" applyBorder="1" applyAlignment="1"/>
    <xf numFmtId="0" fontId="6" fillId="12" borderId="0" xfId="0" applyFont="1" applyFill="1" applyBorder="1" applyAlignment="1">
      <alignment horizontal="center"/>
    </xf>
    <xf numFmtId="0" fontId="12" fillId="11" borderId="18" xfId="0" applyFont="1" applyFill="1" applyBorder="1" applyAlignment="1"/>
    <xf numFmtId="0" fontId="12" fillId="11" borderId="20" xfId="0" applyFont="1" applyFill="1" applyBorder="1" applyAlignment="1"/>
    <xf numFmtId="0" fontId="12" fillId="11" borderId="19" xfId="0" applyFont="1" applyFill="1" applyBorder="1" applyAlignment="1"/>
    <xf numFmtId="0" fontId="12" fillId="0" borderId="2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43" fontId="18" fillId="18" borderId="0" xfId="8" applyNumberFormat="1" applyFont="1" applyAlignment="1">
      <alignment horizontal="center"/>
    </xf>
    <xf numFmtId="0" fontId="12" fillId="16" borderId="0" xfId="0" applyFont="1" applyFill="1" applyBorder="1" applyAlignment="1">
      <alignment horizontal="center"/>
    </xf>
    <xf numFmtId="165" fontId="1" fillId="0" borderId="23" xfId="1" applyFont="1" applyBorder="1"/>
    <xf numFmtId="165" fontId="1" fillId="0" borderId="0" xfId="1" applyFont="1"/>
  </cellXfs>
  <cellStyles count="9">
    <cellStyle name="Accent6" xfId="8" builtinId="49"/>
    <cellStyle name="Comma" xfId="1" builtinId="3"/>
    <cellStyle name="Excel Built-in 60% - Accent1" xfId="5"/>
    <cellStyle name="Excel Built-in 60% - Accent3" xfId="6"/>
    <cellStyle name="Excel Built-in Accent6" xfId="7"/>
    <cellStyle name="Excel Built-in Normal 1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8000"/>
      <rgbColor rgb="00000080"/>
      <rgbColor rgb="0076923C"/>
      <rgbColor rgb="00800080"/>
      <rgbColor rgb="00008080"/>
      <rgbColor rgb="00C0C0C0"/>
      <rgbColor rgb="00808080"/>
      <rgbColor rgb="009999FF"/>
      <rgbColor rgb="007D3C4A"/>
      <rgbColor rgb="00EEECE1"/>
      <rgbColor rgb="00DEF5FA"/>
      <rgbColor rgb="00660066"/>
      <rgbColor rgb="00F3A276"/>
      <rgbColor rgb="000099FF"/>
      <rgbColor rgb="00DBE5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E6E6FF"/>
      <rgbColor rgb="00CCFFCC"/>
      <rgbColor rgb="00FFFF99"/>
      <rgbColor rgb="007ACBE0"/>
      <rgbColor rgb="00FF99CC"/>
      <rgbColor rgb="00CC99FF"/>
      <rgbColor rgb="00FFCC99"/>
      <rgbColor rgb="003366FF"/>
      <rgbColor rgb="0033CCCC"/>
      <rgbColor rgb="009BBB59"/>
      <rgbColor rgb="00FFC000"/>
      <rgbColor rgb="00FF9900"/>
      <rgbColor rgb="00FF6600"/>
      <rgbColor rgb="00666699"/>
      <rgbColor rgb="00969696"/>
      <rgbColor rgb="00003366"/>
      <rgbColor rgb="002DA2BF"/>
      <rgbColor rgb="00003300"/>
      <rgbColor rgb="00303030"/>
      <rgbColor rgb="00993300"/>
      <rgbColor rgb="00C0504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reener.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reener.i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reener.i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reener.i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SheetLayoutView="10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A2" sqref="A2"/>
    </sheetView>
  </sheetViews>
  <sheetFormatPr defaultColWidth="9.140625" defaultRowHeight="15" x14ac:dyDescent="0.25"/>
  <cols>
    <col min="1" max="1" width="20.85546875" style="1" customWidth="1"/>
    <col min="2" max="6" width="11.5703125" style="1" customWidth="1"/>
    <col min="7" max="7" width="15" style="1" customWidth="1"/>
    <col min="8" max="11" width="13.7109375" style="1" customWidth="1"/>
    <col min="12" max="12" width="13.42578125" style="1" customWidth="1"/>
    <col min="13" max="13" width="11.7109375" style="1" customWidth="1"/>
    <col min="14" max="14" width="11" style="1" customWidth="1"/>
    <col min="15" max="16384" width="9.140625" style="1"/>
  </cols>
  <sheetData>
    <row r="1" spans="1:14" s="2" customFormat="1" x14ac:dyDescent="0.25">
      <c r="A1" s="2" t="str">
        <f>'Data Sheet'!A1</f>
        <v>PHOENIX LAMPS LIMITED</v>
      </c>
      <c r="J1" s="3"/>
      <c r="K1" s="3"/>
      <c r="M1" s="2" t="s">
        <v>0</v>
      </c>
    </row>
    <row r="3" spans="1:14" s="2" customFormat="1" x14ac:dyDescent="0.25">
      <c r="A3" s="4" t="s">
        <v>1</v>
      </c>
      <c r="B3" s="5">
        <f>'Data Sheet'!B4</f>
        <v>38442</v>
      </c>
      <c r="C3" s="5">
        <f>'Data Sheet'!C4</f>
        <v>38807</v>
      </c>
      <c r="D3" s="5">
        <f>'Data Sheet'!D4</f>
        <v>39172</v>
      </c>
      <c r="E3" s="5">
        <f>'Data Sheet'!E4</f>
        <v>39538</v>
      </c>
      <c r="F3" s="5">
        <f>'Data Sheet'!F4</f>
        <v>39903</v>
      </c>
      <c r="G3" s="5">
        <f>'Data Sheet'!G4</f>
        <v>40268</v>
      </c>
      <c r="H3" s="5">
        <f>'Data Sheet'!H4</f>
        <v>40633</v>
      </c>
      <c r="I3" s="5">
        <f>'Data Sheet'!I4</f>
        <v>40999</v>
      </c>
      <c r="J3" s="5">
        <f>'Data Sheet'!J4</f>
        <v>41364</v>
      </c>
      <c r="K3" s="5">
        <f>'Data Sheet'!K4</f>
        <v>41729</v>
      </c>
      <c r="L3" s="6" t="s">
        <v>2</v>
      </c>
      <c r="M3" s="6" t="s">
        <v>3</v>
      </c>
      <c r="N3" s="7" t="s">
        <v>4</v>
      </c>
    </row>
    <row r="4" spans="1:14" s="2" customFormat="1" x14ac:dyDescent="0.25">
      <c r="A4" s="8" t="s">
        <v>5</v>
      </c>
      <c r="B4" s="9">
        <f>'Data Sheet'!B6</f>
        <v>192.94</v>
      </c>
      <c r="C4" s="9">
        <f>'Data Sheet'!C6</f>
        <v>232.72</v>
      </c>
      <c r="D4" s="9">
        <f>'Data Sheet'!D6</f>
        <v>277.83</v>
      </c>
      <c r="E4" s="9">
        <f>'Data Sheet'!E6</f>
        <v>356.65</v>
      </c>
      <c r="F4" s="9">
        <f>'Data Sheet'!F6</f>
        <v>384.12</v>
      </c>
      <c r="G4" s="9">
        <f>'Data Sheet'!G6</f>
        <v>442.44</v>
      </c>
      <c r="H4" s="9">
        <f>'Data Sheet'!H6</f>
        <v>418.73</v>
      </c>
      <c r="I4" s="9">
        <f>'Data Sheet'!I6</f>
        <v>453.39</v>
      </c>
      <c r="J4" s="9">
        <f>'Data Sheet'!J6</f>
        <v>436.93</v>
      </c>
      <c r="K4" s="9">
        <f>'Data Sheet'!K6</f>
        <v>370.88</v>
      </c>
      <c r="L4" s="9">
        <f>SUM(Quarters!H4:K4)</f>
        <v>250.24</v>
      </c>
      <c r="M4" s="9">
        <f>$K4+M24*K4</f>
        <v>356.17753722058302</v>
      </c>
      <c r="N4" s="10">
        <f>$K4+N24*L4</f>
        <v>333.05162474538253</v>
      </c>
    </row>
    <row r="5" spans="1:14" x14ac:dyDescent="0.25">
      <c r="A5" s="11" t="s">
        <v>6</v>
      </c>
      <c r="B5" s="12">
        <f t="shared" ref="B5:K5" si="0">B4-B6</f>
        <v>155.07</v>
      </c>
      <c r="C5" s="12">
        <f t="shared" si="0"/>
        <v>188.88</v>
      </c>
      <c r="D5" s="12">
        <f t="shared" si="0"/>
        <v>231.64</v>
      </c>
      <c r="E5" s="12">
        <f t="shared" si="0"/>
        <v>289.42999999999995</v>
      </c>
      <c r="F5" s="12">
        <f t="shared" si="0"/>
        <v>348.06</v>
      </c>
      <c r="G5" s="12">
        <f t="shared" si="0"/>
        <v>413.89</v>
      </c>
      <c r="H5" s="12">
        <f t="shared" si="0"/>
        <v>392.03000000000003</v>
      </c>
      <c r="I5" s="12">
        <f t="shared" si="0"/>
        <v>412.75</v>
      </c>
      <c r="J5" s="12">
        <f t="shared" si="0"/>
        <v>415.71000000000004</v>
      </c>
      <c r="K5" s="12">
        <f t="shared" si="0"/>
        <v>307.22000000000003</v>
      </c>
      <c r="L5" s="12">
        <f>SUM(Quarters!H5:K5)</f>
        <v>194.63000000000002</v>
      </c>
      <c r="M5" s="12">
        <f>M4-M6</f>
        <v>277.02539190074356</v>
      </c>
      <c r="N5" s="13">
        <f>N4-N6</f>
        <v>304.68440215685047</v>
      </c>
    </row>
    <row r="6" spans="1:14" s="2" customFormat="1" x14ac:dyDescent="0.25">
      <c r="A6" s="8" t="s">
        <v>7</v>
      </c>
      <c r="B6" s="9">
        <f>'Data Sheet'!B7</f>
        <v>37.869999999999997</v>
      </c>
      <c r="C6" s="9">
        <f>'Data Sheet'!C7</f>
        <v>43.84</v>
      </c>
      <c r="D6" s="9">
        <f>'Data Sheet'!D7</f>
        <v>46.19</v>
      </c>
      <c r="E6" s="9">
        <f>'Data Sheet'!E7</f>
        <v>67.22</v>
      </c>
      <c r="F6" s="9">
        <f>'Data Sheet'!F7</f>
        <v>36.06</v>
      </c>
      <c r="G6" s="9">
        <f>'Data Sheet'!G7</f>
        <v>28.55</v>
      </c>
      <c r="H6" s="9">
        <f>'Data Sheet'!H7</f>
        <v>26.7</v>
      </c>
      <c r="I6" s="9">
        <f>'Data Sheet'!I7</f>
        <v>40.64</v>
      </c>
      <c r="J6" s="9">
        <f>'Data Sheet'!J7</f>
        <v>21.22</v>
      </c>
      <c r="K6" s="9">
        <f>'Data Sheet'!K7</f>
        <v>63.66</v>
      </c>
      <c r="L6" s="9">
        <f>SUM(Quarters!H6:K6)</f>
        <v>55.61</v>
      </c>
      <c r="M6" s="9">
        <f>M4*M25</f>
        <v>79.152145319839434</v>
      </c>
      <c r="N6" s="10">
        <f>N4*N25</f>
        <v>28.367222588532069</v>
      </c>
    </row>
    <row r="7" spans="1:14" x14ac:dyDescent="0.25">
      <c r="A7" s="11" t="s">
        <v>8</v>
      </c>
      <c r="B7" s="12">
        <f>'Data Sheet'!B8</f>
        <v>0.05</v>
      </c>
      <c r="C7" s="12">
        <f>'Data Sheet'!C8</f>
        <v>0.46</v>
      </c>
      <c r="D7" s="12">
        <f>'Data Sheet'!D8</f>
        <v>0.43</v>
      </c>
      <c r="E7" s="12">
        <f>'Data Sheet'!E8</f>
        <v>0.08</v>
      </c>
      <c r="F7" s="12">
        <f>'Data Sheet'!F8</f>
        <v>1.35</v>
      </c>
      <c r="G7" s="12">
        <f>'Data Sheet'!G8</f>
        <v>0.33</v>
      </c>
      <c r="H7" s="12">
        <f>'Data Sheet'!H8</f>
        <v>1.62</v>
      </c>
      <c r="I7" s="12">
        <f>'Data Sheet'!I8</f>
        <v>0.66</v>
      </c>
      <c r="J7" s="12">
        <f>'Data Sheet'!J8</f>
        <v>4.38</v>
      </c>
      <c r="K7" s="12">
        <f>'Data Sheet'!K8</f>
        <v>17.87</v>
      </c>
      <c r="L7" s="12">
        <f>SUM(Quarters!H7:K7)</f>
        <v>2.9490299091605721E-17</v>
      </c>
      <c r="M7" s="12">
        <v>0</v>
      </c>
      <c r="N7" s="14">
        <v>0</v>
      </c>
    </row>
    <row r="8" spans="1:14" x14ac:dyDescent="0.25">
      <c r="A8" s="11" t="s">
        <v>9</v>
      </c>
      <c r="B8" s="12">
        <f>'Data Sheet'!B9</f>
        <v>37.92</v>
      </c>
      <c r="C8" s="12">
        <f>'Data Sheet'!C9</f>
        <v>44.3</v>
      </c>
      <c r="D8" s="12">
        <f>'Data Sheet'!D9</f>
        <v>46.62</v>
      </c>
      <c r="E8" s="12">
        <f>'Data Sheet'!E9</f>
        <v>67.3</v>
      </c>
      <c r="F8" s="12">
        <f>'Data Sheet'!F9</f>
        <v>37.409999999999997</v>
      </c>
      <c r="G8" s="12">
        <f>'Data Sheet'!G9</f>
        <v>28.88</v>
      </c>
      <c r="H8" s="12">
        <f>'Data Sheet'!H9</f>
        <v>28.32</v>
      </c>
      <c r="I8" s="12">
        <f>'Data Sheet'!I9</f>
        <v>41.3</v>
      </c>
      <c r="J8" s="12">
        <f>'Data Sheet'!J9</f>
        <v>25.6</v>
      </c>
      <c r="K8" s="12">
        <f>'Data Sheet'!K9</f>
        <v>81.53</v>
      </c>
      <c r="L8" s="12">
        <f>SUM(Quarters!H8:K8)</f>
        <v>55.61</v>
      </c>
      <c r="M8" s="12">
        <f>M6+M7</f>
        <v>79.152145319839434</v>
      </c>
      <c r="N8" s="14">
        <f>N6+N7</f>
        <v>28.367222588532069</v>
      </c>
    </row>
    <row r="9" spans="1:14" x14ac:dyDescent="0.25">
      <c r="A9" s="11" t="s">
        <v>10</v>
      </c>
      <c r="B9" s="12">
        <f>'Data Sheet'!B10</f>
        <v>14.83</v>
      </c>
      <c r="C9" s="12">
        <f>'Data Sheet'!C10</f>
        <v>14.3</v>
      </c>
      <c r="D9" s="12">
        <f>'Data Sheet'!D10</f>
        <v>10.75</v>
      </c>
      <c r="E9" s="12">
        <f>'Data Sheet'!E10</f>
        <v>11.11</v>
      </c>
      <c r="F9" s="12">
        <f>'Data Sheet'!F10</f>
        <v>11.44</v>
      </c>
      <c r="G9" s="12">
        <f>'Data Sheet'!G10</f>
        <v>13</v>
      </c>
      <c r="H9" s="12">
        <f>'Data Sheet'!H10</f>
        <v>13.45</v>
      </c>
      <c r="I9" s="12">
        <f>'Data Sheet'!I10</f>
        <v>14.09</v>
      </c>
      <c r="J9" s="12">
        <f>'Data Sheet'!J10</f>
        <v>14.2</v>
      </c>
      <c r="K9" s="12">
        <f>'Data Sheet'!K10</f>
        <v>9.31</v>
      </c>
      <c r="L9" s="12">
        <f>SUM(Quarters!H9:K9)</f>
        <v>8.0400000000000009</v>
      </c>
      <c r="M9" s="12">
        <f>+$L9</f>
        <v>8.0400000000000009</v>
      </c>
      <c r="N9" s="14">
        <f>+$L9</f>
        <v>8.0400000000000009</v>
      </c>
    </row>
    <row r="10" spans="1:14" x14ac:dyDescent="0.25">
      <c r="A10" s="11" t="s">
        <v>11</v>
      </c>
      <c r="B10" s="12">
        <f>'Data Sheet'!B11</f>
        <v>23.09</v>
      </c>
      <c r="C10" s="12">
        <f>'Data Sheet'!C11</f>
        <v>30</v>
      </c>
      <c r="D10" s="12">
        <f>'Data Sheet'!D11</f>
        <v>35.869999999999997</v>
      </c>
      <c r="E10" s="12">
        <f>'Data Sheet'!E11</f>
        <v>56.19</v>
      </c>
      <c r="F10" s="12">
        <f>'Data Sheet'!F11</f>
        <v>25.97</v>
      </c>
      <c r="G10" s="12">
        <f>'Data Sheet'!G11</f>
        <v>15.88</v>
      </c>
      <c r="H10" s="12">
        <f>'Data Sheet'!H11</f>
        <v>14.87</v>
      </c>
      <c r="I10" s="12">
        <f>'Data Sheet'!I11</f>
        <v>27.21</v>
      </c>
      <c r="J10" s="12">
        <f>'Data Sheet'!J11</f>
        <v>11.4</v>
      </c>
      <c r="K10" s="12">
        <f>'Data Sheet'!K11</f>
        <v>72.22</v>
      </c>
      <c r="L10" s="12">
        <f>SUM(Quarters!H10:K10)</f>
        <v>47.57</v>
      </c>
      <c r="M10" s="12">
        <f>M8-M9</f>
        <v>71.112145319839428</v>
      </c>
      <c r="N10" s="14">
        <f>N8-N9</f>
        <v>20.327222588532067</v>
      </c>
    </row>
    <row r="11" spans="1:14" x14ac:dyDescent="0.25">
      <c r="A11" s="11" t="s">
        <v>12</v>
      </c>
      <c r="B11" s="12">
        <f>'Data Sheet'!B12</f>
        <v>7.51</v>
      </c>
      <c r="C11" s="12">
        <f>'Data Sheet'!C12</f>
        <v>6.88</v>
      </c>
      <c r="D11" s="12">
        <f>'Data Sheet'!D12</f>
        <v>7.23</v>
      </c>
      <c r="E11" s="12">
        <f>'Data Sheet'!E12</f>
        <v>7.15</v>
      </c>
      <c r="F11" s="12">
        <f>'Data Sheet'!F12</f>
        <v>16.59</v>
      </c>
      <c r="G11" s="12">
        <f>'Data Sheet'!G12</f>
        <v>18.489999999999998</v>
      </c>
      <c r="H11" s="12">
        <f>'Data Sheet'!H12</f>
        <v>16.600000000000001</v>
      </c>
      <c r="I11" s="12">
        <f>'Data Sheet'!I12</f>
        <v>22.85</v>
      </c>
      <c r="J11" s="12">
        <f>'Data Sheet'!J12</f>
        <v>19.96</v>
      </c>
      <c r="K11" s="12">
        <f>'Data Sheet'!K12</f>
        <v>11.29</v>
      </c>
      <c r="L11" s="12">
        <f>SUM(Quarters!H11:K11)</f>
        <v>3.9699999999999998</v>
      </c>
      <c r="M11" s="12">
        <f>+$L11</f>
        <v>3.9699999999999998</v>
      </c>
      <c r="N11" s="14">
        <f>+$L11</f>
        <v>3.9699999999999998</v>
      </c>
    </row>
    <row r="12" spans="1:14" x14ac:dyDescent="0.25">
      <c r="A12" s="11" t="s">
        <v>13</v>
      </c>
      <c r="B12" s="12">
        <f>'Data Sheet'!B13</f>
        <v>15.57</v>
      </c>
      <c r="C12" s="12">
        <f>'Data Sheet'!C13</f>
        <v>23.13</v>
      </c>
      <c r="D12" s="12">
        <f>'Data Sheet'!D13</f>
        <v>28.65</v>
      </c>
      <c r="E12" s="12">
        <f>'Data Sheet'!E13</f>
        <v>49.04</v>
      </c>
      <c r="F12" s="12">
        <f>'Data Sheet'!F13</f>
        <v>9.39</v>
      </c>
      <c r="G12" s="12">
        <f>'Data Sheet'!G13</f>
        <v>-2.61</v>
      </c>
      <c r="H12" s="12">
        <f>'Data Sheet'!H13</f>
        <v>-1.73</v>
      </c>
      <c r="I12" s="12">
        <f>'Data Sheet'!I13</f>
        <v>4.37</v>
      </c>
      <c r="J12" s="12">
        <f>'Data Sheet'!J13</f>
        <v>-8.5500000000000007</v>
      </c>
      <c r="K12" s="12">
        <f>'Data Sheet'!K13</f>
        <v>60.94</v>
      </c>
      <c r="L12" s="12">
        <f>SUM(Quarters!H12:K12)</f>
        <v>43.6</v>
      </c>
      <c r="M12" s="12">
        <f>M10-M11</f>
        <v>67.142145319839429</v>
      </c>
      <c r="N12" s="13">
        <f>N10-N11</f>
        <v>16.357222588532068</v>
      </c>
    </row>
    <row r="13" spans="1:14" x14ac:dyDescent="0.25">
      <c r="A13" s="11" t="s">
        <v>14</v>
      </c>
      <c r="B13" s="12">
        <f>'Data Sheet'!B14</f>
        <v>4.18</v>
      </c>
      <c r="C13" s="12">
        <f>'Data Sheet'!C14</f>
        <v>1.1100000000000001</v>
      </c>
      <c r="D13" s="12">
        <f>'Data Sheet'!D14</f>
        <v>-2.52</v>
      </c>
      <c r="E13" s="12">
        <f>'Data Sheet'!E14</f>
        <v>3.98</v>
      </c>
      <c r="F13" s="12">
        <f>'Data Sheet'!F14</f>
        <v>-0.67</v>
      </c>
      <c r="G13" s="12">
        <f>'Data Sheet'!G14</f>
        <v>-0.56000000000000005</v>
      </c>
      <c r="H13" s="12">
        <f>'Data Sheet'!H14</f>
        <v>-1.59</v>
      </c>
      <c r="I13" s="12">
        <f>'Data Sheet'!I14</f>
        <v>-2.06</v>
      </c>
      <c r="J13" s="12">
        <f>'Data Sheet'!J14</f>
        <v>0</v>
      </c>
      <c r="K13" s="12">
        <f>'Data Sheet'!K14</f>
        <v>10.68</v>
      </c>
      <c r="L13" s="12">
        <f>SUM(Quarters!H13:K13)</f>
        <v>7.27</v>
      </c>
      <c r="M13" s="15">
        <f>IF($L12&gt;0,$L13/$L12,0)</f>
        <v>0.16674311926605503</v>
      </c>
      <c r="N13" s="15">
        <f>IF($L12&gt;0,$L13/$L12,0)</f>
        <v>0.16674311926605503</v>
      </c>
    </row>
    <row r="14" spans="1:14" s="2" customFormat="1" x14ac:dyDescent="0.25">
      <c r="A14" s="8" t="s">
        <v>15</v>
      </c>
      <c r="B14" s="9">
        <f>'Data Sheet'!B15</f>
        <v>12.33</v>
      </c>
      <c r="C14" s="9">
        <f>'Data Sheet'!C15</f>
        <v>23.89</v>
      </c>
      <c r="D14" s="9">
        <f>'Data Sheet'!D15</f>
        <v>31.47</v>
      </c>
      <c r="E14" s="9">
        <f>'Data Sheet'!E15</f>
        <v>48</v>
      </c>
      <c r="F14" s="9">
        <f>'Data Sheet'!F15</f>
        <v>1.63</v>
      </c>
      <c r="G14" s="9">
        <f>'Data Sheet'!G15</f>
        <v>-19.27</v>
      </c>
      <c r="H14" s="9">
        <f>'Data Sheet'!H15</f>
        <v>-8.84</v>
      </c>
      <c r="I14" s="9">
        <f>'Data Sheet'!I15</f>
        <v>5.71</v>
      </c>
      <c r="J14" s="9">
        <f>'Data Sheet'!J15</f>
        <v>-8.5500000000000007</v>
      </c>
      <c r="K14" s="9">
        <f>'Data Sheet'!K15</f>
        <v>90.16</v>
      </c>
      <c r="L14" s="9">
        <f>SUM(Quarters!H14:K14)</f>
        <v>36.19</v>
      </c>
      <c r="M14" s="9">
        <f>M12-M13*M12</f>
        <v>55.946654574994646</v>
      </c>
      <c r="N14" s="10">
        <f>N12-N13*N12</f>
        <v>13.629768271591056</v>
      </c>
    </row>
    <row r="15" spans="1:14" x14ac:dyDescent="0.25">
      <c r="A15" s="11" t="s">
        <v>16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>
        <f>IF('Data Sheet'!$B61&gt;0,'Profit &amp; Loss'!L14/'Data Sheet'!$B61,0)</f>
        <v>12.925000000000001</v>
      </c>
      <c r="M15" s="12">
        <f>IF('Data Sheet'!$B61&gt;0,'Profit &amp; Loss'!M14/'Data Sheet'!$B61,0)</f>
        <v>19.98094806249809</v>
      </c>
      <c r="N15" s="16">
        <f>IF('Data Sheet'!$B61&gt;0,'Profit &amp; Loss'!N14/'Data Sheet'!$B61,0)</f>
        <v>4.867774382711092</v>
      </c>
    </row>
    <row r="16" spans="1:14" x14ac:dyDescent="0.25">
      <c r="A16" s="11" t="s">
        <v>17</v>
      </c>
      <c r="B16" s="12">
        <f>'Data Sheet'!B69</f>
        <v>5.8345498783454985</v>
      </c>
      <c r="C16" s="12">
        <f>'Data Sheet'!C69</f>
        <v>7.474675596483884</v>
      </c>
      <c r="D16" s="12">
        <f>'Data Sheet'!D69</f>
        <v>9.6733396885923106</v>
      </c>
      <c r="E16" s="12">
        <f>'Data Sheet'!E69</f>
        <v>9.1389583333333331</v>
      </c>
      <c r="F16" s="12">
        <f>'Data Sheet'!F69</f>
        <v>177.22699386503069</v>
      </c>
      <c r="G16" s="12">
        <f>'Data Sheet'!G69</f>
        <v>0</v>
      </c>
      <c r="H16" s="12">
        <f>'Data Sheet'!H69</f>
        <v>0</v>
      </c>
      <c r="I16" s="12">
        <f>'Data Sheet'!I69</f>
        <v>33.019264448336251</v>
      </c>
      <c r="J16" s="12">
        <f>'Data Sheet'!J69</f>
        <v>0</v>
      </c>
      <c r="K16" s="12">
        <f>'Data Sheet'!K69</f>
        <v>1.9589618456078084</v>
      </c>
      <c r="L16" s="12">
        <f>IF(L15&gt;0,L17/L15,0)</f>
        <v>8.9825918762088968</v>
      </c>
      <c r="M16" s="12">
        <f>M26</f>
        <v>8.9825918762088968</v>
      </c>
      <c r="N16" s="12">
        <f>N26</f>
        <v>8.9825918762088968</v>
      </c>
    </row>
    <row r="17" spans="1:14" s="2" customFormat="1" x14ac:dyDescent="0.25">
      <c r="A17" s="8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f>'Data Sheet'!B63</f>
        <v>116.1</v>
      </c>
      <c r="M17" s="17">
        <f>M15*M16</f>
        <v>179.48070174514723</v>
      </c>
      <c r="N17" s="18">
        <f>N15*N16</f>
        <v>43.725230625358435</v>
      </c>
    </row>
    <row r="18" spans="1:14" x14ac:dyDescent="0.25">
      <c r="A18" s="11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1:14" s="2" customFormat="1" x14ac:dyDescent="0.25">
      <c r="A19" s="8" t="s">
        <v>19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</row>
    <row r="20" spans="1:14" x14ac:dyDescent="0.25">
      <c r="A20" s="11" t="s">
        <v>20</v>
      </c>
      <c r="B20" s="23">
        <f>'Data Sheet'!B16</f>
        <v>24.493106244931063</v>
      </c>
      <c r="C20" s="23">
        <f>'Data Sheet'!C16</f>
        <v>16.743407283382165</v>
      </c>
      <c r="D20" s="23">
        <f>'Data Sheet'!D16</f>
        <v>21.703209405783287</v>
      </c>
      <c r="E20" s="23">
        <f>'Data Sheet'!E16</f>
        <v>19.375</v>
      </c>
      <c r="F20" s="23">
        <f>'Data Sheet'!F16</f>
        <v>57.055214723926383</v>
      </c>
      <c r="G20" s="23">
        <f>'Data Sheet'!G16</f>
        <v>0</v>
      </c>
      <c r="H20" s="23">
        <f>'Data Sheet'!H16</f>
        <v>0</v>
      </c>
      <c r="I20" s="23">
        <f>'Data Sheet'!I16</f>
        <v>0</v>
      </c>
      <c r="J20" s="23">
        <f>'Data Sheet'!J16</f>
        <v>0</v>
      </c>
      <c r="K20" s="23">
        <f>'Data Sheet'!K16</f>
        <v>41.271073646850049</v>
      </c>
      <c r="L20" s="19"/>
      <c r="M20" s="19"/>
      <c r="N20" s="20"/>
    </row>
    <row r="21" spans="1:14" x14ac:dyDescent="0.25">
      <c r="A21" s="24" t="s">
        <v>21</v>
      </c>
      <c r="B21" s="25">
        <f t="shared" ref="B21:L21" si="1">IF(B6&gt;0,B6/B4,0)</f>
        <v>0.1962786358453405</v>
      </c>
      <c r="C21" s="25">
        <f t="shared" si="1"/>
        <v>0.18838088690271573</v>
      </c>
      <c r="D21" s="25">
        <f t="shared" si="1"/>
        <v>0.16625274448403701</v>
      </c>
      <c r="E21" s="25">
        <f t="shared" si="1"/>
        <v>0.18847609701387916</v>
      </c>
      <c r="F21" s="25">
        <f t="shared" si="1"/>
        <v>9.3876913464542341E-2</v>
      </c>
      <c r="G21" s="25">
        <f t="shared" si="1"/>
        <v>6.4528523641623731E-2</v>
      </c>
      <c r="H21" s="25">
        <f t="shared" si="1"/>
        <v>6.3764239486065008E-2</v>
      </c>
      <c r="I21" s="25">
        <f t="shared" si="1"/>
        <v>8.9635854341736695E-2</v>
      </c>
      <c r="J21" s="25">
        <f t="shared" si="1"/>
        <v>4.8566131874670994E-2</v>
      </c>
      <c r="K21" s="25">
        <f t="shared" si="1"/>
        <v>0.17164581535806731</v>
      </c>
      <c r="L21" s="25">
        <f t="shared" si="1"/>
        <v>0.22222666240409206</v>
      </c>
      <c r="M21" s="26"/>
      <c r="N21" s="27"/>
    </row>
    <row r="23" spans="1:14" s="2" customFormat="1" x14ac:dyDescent="0.25">
      <c r="G23" s="28" t="s">
        <v>22</v>
      </c>
      <c r="H23" s="28" t="s">
        <v>23</v>
      </c>
      <c r="I23" s="28" t="s">
        <v>24</v>
      </c>
      <c r="J23" s="28" t="s">
        <v>25</v>
      </c>
      <c r="K23" s="28" t="s">
        <v>26</v>
      </c>
      <c r="L23" s="28" t="s">
        <v>27</v>
      </c>
      <c r="M23" s="28" t="s">
        <v>28</v>
      </c>
      <c r="N23" s="28" t="s">
        <v>29</v>
      </c>
    </row>
    <row r="24" spans="1:14" x14ac:dyDescent="0.25">
      <c r="G24" s="1" t="s">
        <v>30</v>
      </c>
      <c r="H24" s="29">
        <f>IF(B4=0,"",POWER($K4/B4,1/9)-1)</f>
        <v>7.5312195008205185E-2</v>
      </c>
      <c r="I24" s="29">
        <f>IF(D4=0,"",POWER($K4/D4,1/7)-1)</f>
        <v>4.2130338680198998E-2</v>
      </c>
      <c r="J24" s="29">
        <f>IF(F4=0,"",POWER($K4/F4,1/5)-1)</f>
        <v>-6.9907390270207426E-3</v>
      </c>
      <c r="K24" s="29">
        <f>IF(H4=0,"",POWER($K4/H4,1/3)-1)</f>
        <v>-3.9642101972112265E-2</v>
      </c>
      <c r="L24" s="29">
        <f>IF(ISERROR(MAX(IF(J4=0,"",(K4-J4)/J4),IF(K4=0,"",(L4-K4)/K4))),"",MAX(IF(J4=0,"",(K4-J4)/J4),IF(K4=0,"",(L4-K4)/K4)))</f>
        <v>-0.1511683793742705</v>
      </c>
      <c r="M24" s="30">
        <f>MAX(K24:L24)</f>
        <v>-3.9642101972112265E-2</v>
      </c>
      <c r="N24" s="30">
        <f>MIN(H24:L24)</f>
        <v>-0.1511683793742705</v>
      </c>
    </row>
    <row r="25" spans="1:14" x14ac:dyDescent="0.25">
      <c r="G25" s="1" t="s">
        <v>21</v>
      </c>
      <c r="H25" s="29">
        <f>IF(SUM(B4:$K$4)=0,"",SUMPRODUCT(B21:$K$21,B4:$K$4)/SUM(B4:$K$4))</f>
        <v>0.11550118739538445</v>
      </c>
      <c r="I25" s="29">
        <f>IF(SUM(E4:$K$4)=0,"",SUMPRODUCT(E21:$K$21,E4:$K$4)/SUM(E4:$K$4))</f>
        <v>9.9209259763755886E-2</v>
      </c>
      <c r="J25" s="29">
        <f>IF(SUM(G4:$K$4)=0,"",SUMPRODUCT(G21:$K$21,G4:$K$4)/SUM(G4:$K$4))</f>
        <v>8.5173650211791546E-2</v>
      </c>
      <c r="K25" s="29">
        <f>IF(SUM(I4:$K$4)=0,"",SUMPRODUCT(I21:$K$21,I4:$K$4)/SUM(I4:$K$4))</f>
        <v>9.9524262607040934E-2</v>
      </c>
      <c r="L25" s="29">
        <f>L21</f>
        <v>0.22222666240409206</v>
      </c>
      <c r="M25" s="30">
        <f>MAX(K25:L25)</f>
        <v>0.22222666240409206</v>
      </c>
      <c r="N25" s="30">
        <f>MIN(H25:L25)</f>
        <v>8.5173650211791546E-2</v>
      </c>
    </row>
    <row r="26" spans="1:14" x14ac:dyDescent="0.25">
      <c r="G26" s="1" t="s">
        <v>31</v>
      </c>
      <c r="H26" s="31" t="str">
        <f>"#N/A"</f>
        <v>#N/A</v>
      </c>
      <c r="I26" s="31" t="str">
        <f>"#N/A"</f>
        <v>#N/A</v>
      </c>
      <c r="J26" s="31" t="str">
        <f>"#N/A"</f>
        <v>#N/A</v>
      </c>
      <c r="K26" s="31" t="str">
        <f>"#N/A"</f>
        <v>#N/A</v>
      </c>
      <c r="L26" s="31">
        <f>L16</f>
        <v>8.9825918762088968</v>
      </c>
      <c r="M26" s="32">
        <f>MAX(K26:L26)</f>
        <v>8.9825918762088968</v>
      </c>
      <c r="N26" s="32">
        <f>MIN(H26:L26)</f>
        <v>8.9825918762088968</v>
      </c>
    </row>
  </sheetData>
  <sheetProtection selectLockedCells="1" selectUnlockedCells="1"/>
  <hyperlinks>
    <hyperlink ref="M1" r:id="rId1"/>
  </hyperlinks>
  <printOptions gridLine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/>
  </sheetViews>
  <sheetFormatPr defaultColWidth="9.140625" defaultRowHeight="15" x14ac:dyDescent="0.25"/>
  <cols>
    <col min="1" max="1" width="20.85546875" style="1" customWidth="1"/>
    <col min="2" max="11" width="13.7109375" style="1" customWidth="1"/>
    <col min="12" max="16384" width="9.140625" style="1"/>
  </cols>
  <sheetData>
    <row r="1" spans="1:11" s="2" customFormat="1" x14ac:dyDescent="0.25">
      <c r="A1" s="2" t="str">
        <f>'Profit &amp; Loss'!A1</f>
        <v>PHOENIX LAMPS LIMITED</v>
      </c>
      <c r="G1" s="159"/>
      <c r="H1" s="159"/>
      <c r="J1" s="33" t="s">
        <v>0</v>
      </c>
      <c r="K1" s="33"/>
    </row>
    <row r="3" spans="1:11" s="2" customFormat="1" x14ac:dyDescent="0.25">
      <c r="A3" s="4" t="s">
        <v>1</v>
      </c>
      <c r="B3" s="5">
        <f>'Data Sheet'!B21</f>
        <v>41182</v>
      </c>
      <c r="C3" s="5">
        <f>'Data Sheet'!C21</f>
        <v>41274</v>
      </c>
      <c r="D3" s="5">
        <f>'Data Sheet'!D21</f>
        <v>41364</v>
      </c>
      <c r="E3" s="5">
        <f>'Data Sheet'!E21</f>
        <v>41455</v>
      </c>
      <c r="F3" s="5">
        <f>'Data Sheet'!F21</f>
        <v>41547</v>
      </c>
      <c r="G3" s="5">
        <f>'Data Sheet'!G21</f>
        <v>41639</v>
      </c>
      <c r="H3" s="5">
        <f>'Data Sheet'!H21</f>
        <v>41729</v>
      </c>
      <c r="I3" s="5">
        <f>'Data Sheet'!I21</f>
        <v>41820</v>
      </c>
      <c r="J3" s="5">
        <f>'Data Sheet'!J21</f>
        <v>41912</v>
      </c>
      <c r="K3" s="5">
        <f>'Data Sheet'!K21</f>
        <v>42004</v>
      </c>
    </row>
    <row r="4" spans="1:11" s="2" customFormat="1" x14ac:dyDescent="0.25">
      <c r="A4" s="8" t="s">
        <v>5</v>
      </c>
      <c r="B4" s="9">
        <f>'Data Sheet'!B23</f>
        <v>102.62</v>
      </c>
      <c r="C4" s="9">
        <f>'Data Sheet'!C23</f>
        <v>114.58</v>
      </c>
      <c r="D4" s="9">
        <f>'Data Sheet'!D23</f>
        <v>125.77</v>
      </c>
      <c r="E4" s="9">
        <f>'Data Sheet'!E23</f>
        <v>124.48</v>
      </c>
      <c r="F4" s="9">
        <f>'Data Sheet'!F23</f>
        <v>105.26</v>
      </c>
      <c r="G4" s="9">
        <f>'Data Sheet'!G23</f>
        <v>74.989999999999995</v>
      </c>
      <c r="H4" s="9">
        <f>'Data Sheet'!H23</f>
        <v>66.73</v>
      </c>
      <c r="I4" s="9">
        <f>'Data Sheet'!I23</f>
        <v>56.11</v>
      </c>
      <c r="J4" s="9">
        <f>'Data Sheet'!J23</f>
        <v>63.63</v>
      </c>
      <c r="K4" s="9">
        <f>'Data Sheet'!K23</f>
        <v>63.77</v>
      </c>
    </row>
    <row r="5" spans="1:11" x14ac:dyDescent="0.25">
      <c r="A5" s="11" t="s">
        <v>6</v>
      </c>
      <c r="B5" s="12">
        <f t="shared" ref="B5:K5" si="0">B4-B6</f>
        <v>109.63000000000001</v>
      </c>
      <c r="C5" s="12">
        <f t="shared" si="0"/>
        <v>109.77</v>
      </c>
      <c r="D5" s="12">
        <f t="shared" si="0"/>
        <v>101.6</v>
      </c>
      <c r="E5" s="12">
        <f t="shared" si="0"/>
        <v>98.77000000000001</v>
      </c>
      <c r="F5" s="12">
        <f t="shared" si="0"/>
        <v>83.94</v>
      </c>
      <c r="G5" s="12">
        <f t="shared" si="0"/>
        <v>58.849999999999994</v>
      </c>
      <c r="H5" s="12">
        <f t="shared" si="0"/>
        <v>49.650000000000006</v>
      </c>
      <c r="I5" s="12">
        <f t="shared" si="0"/>
        <v>46.22</v>
      </c>
      <c r="J5" s="12">
        <f t="shared" si="0"/>
        <v>49.67</v>
      </c>
      <c r="K5" s="12">
        <f t="shared" si="0"/>
        <v>49.09</v>
      </c>
    </row>
    <row r="6" spans="1:11" s="2" customFormat="1" x14ac:dyDescent="0.25">
      <c r="A6" s="8" t="s">
        <v>7</v>
      </c>
      <c r="B6" s="9">
        <f>'Data Sheet'!B25</f>
        <v>-7.01</v>
      </c>
      <c r="C6" s="9">
        <f>'Data Sheet'!C25</f>
        <v>4.8099999999999996</v>
      </c>
      <c r="D6" s="9">
        <f>'Data Sheet'!D25</f>
        <v>24.17</v>
      </c>
      <c r="E6" s="9">
        <f>'Data Sheet'!E25</f>
        <v>25.71</v>
      </c>
      <c r="F6" s="9">
        <f>'Data Sheet'!F25</f>
        <v>21.32</v>
      </c>
      <c r="G6" s="9">
        <f>'Data Sheet'!G25</f>
        <v>16.14</v>
      </c>
      <c r="H6" s="9">
        <f>'Data Sheet'!H25</f>
        <v>17.079999999999998</v>
      </c>
      <c r="I6" s="9">
        <f>'Data Sheet'!I25</f>
        <v>9.89</v>
      </c>
      <c r="J6" s="9">
        <f>'Data Sheet'!J25</f>
        <v>13.96</v>
      </c>
      <c r="K6" s="9">
        <f>'Data Sheet'!K25</f>
        <v>14.68</v>
      </c>
    </row>
    <row r="7" spans="1:11" x14ac:dyDescent="0.25">
      <c r="A7" s="11" t="s">
        <v>8</v>
      </c>
      <c r="B7" s="12">
        <f>'Data Sheet'!B26</f>
        <v>0.2</v>
      </c>
      <c r="C7" s="12">
        <f>'Data Sheet'!C26</f>
        <v>1.56</v>
      </c>
      <c r="D7" s="12">
        <f>'Data Sheet'!D26</f>
        <v>0.6</v>
      </c>
      <c r="E7" s="12">
        <f>'Data Sheet'!E26</f>
        <v>0.23</v>
      </c>
      <c r="F7" s="12">
        <f>'Data Sheet'!F26</f>
        <v>0.63</v>
      </c>
      <c r="G7" s="12">
        <f>'Data Sheet'!G26</f>
        <v>0.79</v>
      </c>
      <c r="H7" s="12">
        <f>'Data Sheet'!H26</f>
        <v>-0.36</v>
      </c>
      <c r="I7" s="12">
        <f>'Data Sheet'!I26</f>
        <v>0.33</v>
      </c>
      <c r="J7" s="16">
        <f>'Data Sheet'!J26</f>
        <v>0.02</v>
      </c>
      <c r="K7" s="16">
        <f>'Data Sheet'!K26</f>
        <v>0.01</v>
      </c>
    </row>
    <row r="8" spans="1:11" x14ac:dyDescent="0.25">
      <c r="A8" s="11" t="s">
        <v>9</v>
      </c>
      <c r="B8" s="12">
        <f>'Data Sheet'!B27</f>
        <v>-6.81</v>
      </c>
      <c r="C8" s="12">
        <f>'Data Sheet'!C27</f>
        <v>6.37</v>
      </c>
      <c r="D8" s="12">
        <f>'Data Sheet'!D27</f>
        <v>24.77</v>
      </c>
      <c r="E8" s="12">
        <f>'Data Sheet'!E27</f>
        <v>25.94</v>
      </c>
      <c r="F8" s="12">
        <f>'Data Sheet'!F27</f>
        <v>21.95</v>
      </c>
      <c r="G8" s="12">
        <f>'Data Sheet'!G27</f>
        <v>16.93</v>
      </c>
      <c r="H8" s="12">
        <f>'Data Sheet'!H27</f>
        <v>16.72</v>
      </c>
      <c r="I8" s="12">
        <f>'Data Sheet'!I27</f>
        <v>10.220000000000001</v>
      </c>
      <c r="J8" s="16">
        <f>'Data Sheet'!J27</f>
        <v>13.98</v>
      </c>
      <c r="K8" s="16">
        <f>'Data Sheet'!K27</f>
        <v>14.69</v>
      </c>
    </row>
    <row r="9" spans="1:11" x14ac:dyDescent="0.25">
      <c r="A9" s="11" t="s">
        <v>10</v>
      </c>
      <c r="B9" s="12">
        <f>'Data Sheet'!B28</f>
        <v>3.29</v>
      </c>
      <c r="C9" s="12">
        <f>'Data Sheet'!C28</f>
        <v>2.95</v>
      </c>
      <c r="D9" s="12">
        <f>'Data Sheet'!D28</f>
        <v>4.57</v>
      </c>
      <c r="E9" s="12">
        <f>'Data Sheet'!E28</f>
        <v>2.59</v>
      </c>
      <c r="F9" s="12">
        <f>'Data Sheet'!F28</f>
        <v>2.09</v>
      </c>
      <c r="G9" s="12">
        <f>'Data Sheet'!G28</f>
        <v>1.22</v>
      </c>
      <c r="H9" s="12">
        <f>'Data Sheet'!H28</f>
        <v>3.4</v>
      </c>
      <c r="I9" s="12">
        <f>'Data Sheet'!I28</f>
        <v>1.43</v>
      </c>
      <c r="J9" s="16">
        <f>'Data Sheet'!J28</f>
        <v>1.99</v>
      </c>
      <c r="K9" s="16">
        <f>'Data Sheet'!K28</f>
        <v>1.22</v>
      </c>
    </row>
    <row r="10" spans="1:11" x14ac:dyDescent="0.25">
      <c r="A10" s="11" t="s">
        <v>11</v>
      </c>
      <c r="B10" s="12">
        <f>'Data Sheet'!B29</f>
        <v>-10.1</v>
      </c>
      <c r="C10" s="12">
        <f>'Data Sheet'!C29</f>
        <v>3.42</v>
      </c>
      <c r="D10" s="12">
        <f>'Data Sheet'!D29</f>
        <v>20.2</v>
      </c>
      <c r="E10" s="12">
        <f>'Data Sheet'!E29</f>
        <v>23.35</v>
      </c>
      <c r="F10" s="12">
        <f>'Data Sheet'!F29</f>
        <v>19.86</v>
      </c>
      <c r="G10" s="12">
        <f>'Data Sheet'!G29</f>
        <v>15.71</v>
      </c>
      <c r="H10" s="12">
        <f>'Data Sheet'!H29</f>
        <v>13.32</v>
      </c>
      <c r="I10" s="12">
        <f>'Data Sheet'!I29</f>
        <v>8.7899999999999991</v>
      </c>
      <c r="J10" s="16">
        <f>'Data Sheet'!J29</f>
        <v>11.99</v>
      </c>
      <c r="K10" s="16">
        <f>'Data Sheet'!K29</f>
        <v>13.47</v>
      </c>
    </row>
    <row r="11" spans="1:11" x14ac:dyDescent="0.25">
      <c r="A11" s="11" t="s">
        <v>12</v>
      </c>
      <c r="B11" s="12">
        <f>'Data Sheet'!B30</f>
        <v>5.05</v>
      </c>
      <c r="C11" s="12">
        <f>'Data Sheet'!C30</f>
        <v>4.88</v>
      </c>
      <c r="D11" s="12">
        <f>'Data Sheet'!D30</f>
        <v>4.99</v>
      </c>
      <c r="E11" s="12">
        <f>'Data Sheet'!E30</f>
        <v>4.84</v>
      </c>
      <c r="F11" s="12">
        <f>'Data Sheet'!F30</f>
        <v>3.83</v>
      </c>
      <c r="G11" s="12">
        <f>'Data Sheet'!G30</f>
        <v>1.75</v>
      </c>
      <c r="H11" s="12">
        <f>'Data Sheet'!H30</f>
        <v>0.88</v>
      </c>
      <c r="I11" s="12">
        <f>'Data Sheet'!I30</f>
        <v>0.71</v>
      </c>
      <c r="J11" s="16">
        <f>'Data Sheet'!J30</f>
        <v>1.1599999999999999</v>
      </c>
      <c r="K11" s="16">
        <f>'Data Sheet'!K30</f>
        <v>1.22</v>
      </c>
    </row>
    <row r="12" spans="1:11" x14ac:dyDescent="0.25">
      <c r="A12" s="11" t="s">
        <v>13</v>
      </c>
      <c r="B12" s="12">
        <f>'Data Sheet'!B31</f>
        <v>-15.15</v>
      </c>
      <c r="C12" s="12">
        <f>'Data Sheet'!C31</f>
        <v>-1.46</v>
      </c>
      <c r="D12" s="12">
        <f>'Data Sheet'!D31</f>
        <v>15.21</v>
      </c>
      <c r="E12" s="12">
        <f>'Data Sheet'!E31</f>
        <v>18.510000000000002</v>
      </c>
      <c r="F12" s="12">
        <f>'Data Sheet'!F31</f>
        <v>16.03</v>
      </c>
      <c r="G12" s="12">
        <f>'Data Sheet'!G31</f>
        <v>13.96</v>
      </c>
      <c r="H12" s="12">
        <f>'Data Sheet'!H31</f>
        <v>12.44</v>
      </c>
      <c r="I12" s="12">
        <f>'Data Sheet'!I31</f>
        <v>8.08</v>
      </c>
      <c r="J12" s="16">
        <f>'Data Sheet'!J31</f>
        <v>10.83</v>
      </c>
      <c r="K12" s="16">
        <f>'Data Sheet'!K31</f>
        <v>12.25</v>
      </c>
    </row>
    <row r="13" spans="1:11" x14ac:dyDescent="0.25">
      <c r="A13" s="11" t="s">
        <v>14</v>
      </c>
      <c r="B13" s="12">
        <f>'Data Sheet'!B32</f>
        <v>0</v>
      </c>
      <c r="C13" s="12">
        <f>'Data Sheet'!C32</f>
        <v>0</v>
      </c>
      <c r="D13" s="12">
        <f>'Data Sheet'!D32</f>
        <v>0</v>
      </c>
      <c r="E13" s="12">
        <f>'Data Sheet'!E32</f>
        <v>0</v>
      </c>
      <c r="F13" s="12">
        <f>'Data Sheet'!F32</f>
        <v>12.81</v>
      </c>
      <c r="G13" s="12">
        <f>'Data Sheet'!G32</f>
        <v>-1.57</v>
      </c>
      <c r="H13" s="12">
        <f>'Data Sheet'!H32</f>
        <v>-0.56999999999999995</v>
      </c>
      <c r="I13" s="12">
        <f>'Data Sheet'!I32</f>
        <v>1.55</v>
      </c>
      <c r="J13" s="12">
        <f>'Data Sheet'!J32</f>
        <v>2.86</v>
      </c>
      <c r="K13" s="12">
        <f>'Data Sheet'!K32</f>
        <v>3.43</v>
      </c>
    </row>
    <row r="14" spans="1:11" s="2" customFormat="1" x14ac:dyDescent="0.25">
      <c r="A14" s="8" t="s">
        <v>15</v>
      </c>
      <c r="B14" s="9">
        <f>'Data Sheet'!B33</f>
        <v>-15.15</v>
      </c>
      <c r="C14" s="9">
        <f>'Data Sheet'!C33</f>
        <v>-1.46</v>
      </c>
      <c r="D14" s="9">
        <f>'Data Sheet'!D33</f>
        <v>15.22</v>
      </c>
      <c r="E14" s="9">
        <f>'Data Sheet'!E33</f>
        <v>18.510000000000002</v>
      </c>
      <c r="F14" s="9">
        <f>'Data Sheet'!F33</f>
        <v>43.25</v>
      </c>
      <c r="G14" s="9">
        <f>'Data Sheet'!G33</f>
        <v>15.52</v>
      </c>
      <c r="H14" s="9">
        <f>'Data Sheet'!H33</f>
        <v>12.89</v>
      </c>
      <c r="I14" s="9">
        <f>'Data Sheet'!I33</f>
        <v>6.52</v>
      </c>
      <c r="J14" s="9">
        <f>'Data Sheet'!J33</f>
        <v>7.97</v>
      </c>
      <c r="K14" s="9">
        <f>'Data Sheet'!K33</f>
        <v>8.81</v>
      </c>
    </row>
    <row r="16" spans="1:11" s="2" customFormat="1" x14ac:dyDescent="0.25">
      <c r="A16" s="34" t="s">
        <v>21</v>
      </c>
      <c r="B16" s="35">
        <f t="shared" ref="B16:K16" si="1">IF(B4&gt;0,B6/B4,"")</f>
        <v>-6.8310270902358208E-2</v>
      </c>
      <c r="C16" s="35">
        <f t="shared" si="1"/>
        <v>4.1979403037179258E-2</v>
      </c>
      <c r="D16" s="35">
        <f t="shared" si="1"/>
        <v>0.19217619464101138</v>
      </c>
      <c r="E16" s="35">
        <f t="shared" si="1"/>
        <v>0.2065392030848329</v>
      </c>
      <c r="F16" s="35">
        <f t="shared" si="1"/>
        <v>0.20254607638229147</v>
      </c>
      <c r="G16" s="35">
        <f t="shared" si="1"/>
        <v>0.21522869715962131</v>
      </c>
      <c r="H16" s="35">
        <f t="shared" si="1"/>
        <v>0.25595684100104898</v>
      </c>
      <c r="I16" s="35">
        <f t="shared" si="1"/>
        <v>0.17626091605774372</v>
      </c>
      <c r="J16" s="35">
        <f t="shared" si="1"/>
        <v>0.21939336790821939</v>
      </c>
      <c r="K16" s="35">
        <f t="shared" si="1"/>
        <v>0.23020228947781088</v>
      </c>
    </row>
    <row r="18" spans="1:12" x14ac:dyDescent="0.25">
      <c r="L18" s="1" t="s">
        <v>32</v>
      </c>
    </row>
    <row r="19" spans="1:12" x14ac:dyDescent="0.25">
      <c r="A19" s="1" t="s">
        <v>33</v>
      </c>
      <c r="G19" s="133">
        <f>SUM(D4:G4)</f>
        <v>430.5</v>
      </c>
      <c r="K19" s="133">
        <f>SUM(H4:K4)</f>
        <v>250.24</v>
      </c>
      <c r="L19" s="29">
        <f>(K19-G19)/G19</f>
        <v>-0.4187224157955865</v>
      </c>
    </row>
    <row r="20" spans="1:12" x14ac:dyDescent="0.25">
      <c r="A20" s="1" t="s">
        <v>34</v>
      </c>
      <c r="G20" s="133">
        <f>SUM(D8:G8)</f>
        <v>89.59</v>
      </c>
      <c r="K20" s="133">
        <f>SUM(H8:K8)</f>
        <v>55.61</v>
      </c>
      <c r="L20" s="29">
        <f t="shared" ref="L20:L21" si="2">(K20-G20)/G20</f>
        <v>-0.37928340216542028</v>
      </c>
    </row>
    <row r="21" spans="1:12" x14ac:dyDescent="0.25">
      <c r="A21" s="1" t="s">
        <v>35</v>
      </c>
      <c r="G21" s="133">
        <f>SUM(D14:G14)</f>
        <v>92.5</v>
      </c>
      <c r="K21" s="133">
        <f>SUM(H14:K14)</f>
        <v>36.19</v>
      </c>
      <c r="L21" s="29">
        <f t="shared" si="2"/>
        <v>-0.60875675675675678</v>
      </c>
    </row>
  </sheetData>
  <sheetProtection selectLockedCells="1" selectUnlockedCells="1"/>
  <mergeCells count="1">
    <mergeCell ref="G1:H1"/>
  </mergeCells>
  <hyperlinks>
    <hyperlink ref="J1" r:id="rId1"/>
  </hyperlinks>
  <printOptions gridLine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8.7109375" defaultRowHeight="15" x14ac:dyDescent="0.25"/>
  <cols>
    <col min="1" max="1" width="26.7109375" style="36" customWidth="1"/>
    <col min="2" max="6" width="11.5703125" style="36" customWidth="1"/>
    <col min="7" max="11" width="15.7109375" style="36" customWidth="1"/>
    <col min="12" max="16384" width="8.7109375" style="36"/>
  </cols>
  <sheetData>
    <row r="1" spans="1:11" s="2" customFormat="1" x14ac:dyDescent="0.25">
      <c r="A1" s="2" t="str">
        <f>'Profit &amp; Loss'!A1</f>
        <v>PHOENIX LAMPS LIMITED</v>
      </c>
      <c r="G1" s="159"/>
      <c r="H1" s="159"/>
      <c r="J1" s="33" t="s">
        <v>0</v>
      </c>
      <c r="K1" s="33"/>
    </row>
    <row r="3" spans="1:11" x14ac:dyDescent="0.25">
      <c r="A3" s="4" t="s">
        <v>1</v>
      </c>
      <c r="B3" s="5">
        <f>'Data Sheet'!B37</f>
        <v>38442</v>
      </c>
      <c r="C3" s="5">
        <f>'Data Sheet'!C37</f>
        <v>38807</v>
      </c>
      <c r="D3" s="5">
        <f>'Data Sheet'!D37</f>
        <v>39172</v>
      </c>
      <c r="E3" s="5">
        <f>'Data Sheet'!E37</f>
        <v>39538</v>
      </c>
      <c r="F3" s="5">
        <f>'Data Sheet'!F37</f>
        <v>39903</v>
      </c>
      <c r="G3" s="5">
        <f>'Data Sheet'!G37</f>
        <v>40268</v>
      </c>
      <c r="H3" s="5">
        <f>'Data Sheet'!H37</f>
        <v>40633</v>
      </c>
      <c r="I3" s="5">
        <f>'Data Sheet'!I37</f>
        <v>40999</v>
      </c>
      <c r="J3" s="5">
        <f>'Data Sheet'!J37</f>
        <v>41364</v>
      </c>
      <c r="K3" s="5">
        <f>'Data Sheet'!K37</f>
        <v>41729</v>
      </c>
    </row>
    <row r="4" spans="1:11" x14ac:dyDescent="0.25">
      <c r="A4" s="11" t="s">
        <v>36</v>
      </c>
      <c r="B4" s="37">
        <f>'Data Sheet'!B38</f>
        <v>23.85</v>
      </c>
      <c r="C4" s="37">
        <f>'Data Sheet'!C38</f>
        <v>23.85</v>
      </c>
      <c r="D4" s="37">
        <f>'Data Sheet'!D38</f>
        <v>28.02</v>
      </c>
      <c r="E4" s="37">
        <f>'Data Sheet'!E38</f>
        <v>28.02</v>
      </c>
      <c r="F4" s="37">
        <f>'Data Sheet'!F38</f>
        <v>28.02</v>
      </c>
      <c r="G4" s="37">
        <f>'Data Sheet'!G38</f>
        <v>28.02</v>
      </c>
      <c r="H4" s="37">
        <f>'Data Sheet'!H38</f>
        <v>28.02</v>
      </c>
      <c r="I4" s="37">
        <f>'Data Sheet'!I38</f>
        <v>28.02</v>
      </c>
      <c r="J4" s="38">
        <f>'Data Sheet'!J38</f>
        <v>28.02</v>
      </c>
      <c r="K4" s="38">
        <f>'Data Sheet'!K38</f>
        <v>28.02</v>
      </c>
    </row>
    <row r="5" spans="1:11" s="1" customFormat="1" x14ac:dyDescent="0.25">
      <c r="A5" s="11" t="s">
        <v>37</v>
      </c>
      <c r="B5" s="37">
        <f>'Data Sheet'!B39</f>
        <v>13.67</v>
      </c>
      <c r="C5" s="37">
        <f>'Data Sheet'!C39</f>
        <v>31.58</v>
      </c>
      <c r="D5" s="37">
        <f>'Data Sheet'!D39</f>
        <v>89.36</v>
      </c>
      <c r="E5" s="37">
        <f>'Data Sheet'!E39</f>
        <v>113.67</v>
      </c>
      <c r="F5" s="37">
        <f>'Data Sheet'!F39</f>
        <v>113.99</v>
      </c>
      <c r="G5" s="37">
        <f>'Data Sheet'!G39</f>
        <v>94.72</v>
      </c>
      <c r="H5" s="37">
        <f>'Data Sheet'!H39</f>
        <v>85.88</v>
      </c>
      <c r="I5" s="37">
        <f>'Data Sheet'!I39</f>
        <v>91.58</v>
      </c>
      <c r="J5" s="38">
        <f>'Data Sheet'!J39</f>
        <v>83.03</v>
      </c>
      <c r="K5" s="38">
        <f>'Data Sheet'!K39</f>
        <v>120.74</v>
      </c>
    </row>
    <row r="6" spans="1:11" x14ac:dyDescent="0.25">
      <c r="A6" s="11" t="s">
        <v>38</v>
      </c>
      <c r="B6" s="37">
        <f>'Data Sheet'!B40</f>
        <v>60.87</v>
      </c>
      <c r="C6" s="37">
        <f>'Data Sheet'!C40</f>
        <v>55.78</v>
      </c>
      <c r="D6" s="37">
        <f>'Data Sheet'!D40</f>
        <v>50.97</v>
      </c>
      <c r="E6" s="37">
        <f>'Data Sheet'!E40</f>
        <v>104.87</v>
      </c>
      <c r="F6" s="37">
        <f>'Data Sheet'!F40</f>
        <v>128.07</v>
      </c>
      <c r="G6" s="37">
        <f>'Data Sheet'!G40</f>
        <v>132.43</v>
      </c>
      <c r="H6" s="37">
        <f>'Data Sheet'!H40</f>
        <v>132.54</v>
      </c>
      <c r="I6" s="37">
        <f>'Data Sheet'!I40</f>
        <v>149.06</v>
      </c>
      <c r="J6" s="38">
        <f>'Data Sheet'!J40</f>
        <v>122.62</v>
      </c>
      <c r="K6" s="38">
        <f>'Data Sheet'!K40</f>
        <v>28.5</v>
      </c>
    </row>
    <row r="7" spans="1:11" s="1" customFormat="1" x14ac:dyDescent="0.25">
      <c r="A7" s="11" t="s">
        <v>39</v>
      </c>
      <c r="B7" s="37">
        <f>'Data Sheet'!B41</f>
        <v>0</v>
      </c>
      <c r="C7" s="37">
        <f>'Data Sheet'!C41</f>
        <v>25</v>
      </c>
      <c r="D7" s="37">
        <f>'Data Sheet'!D41</f>
        <v>0</v>
      </c>
      <c r="E7" s="37">
        <f>'Data Sheet'!E41</f>
        <v>0</v>
      </c>
      <c r="F7" s="37">
        <f>'Data Sheet'!F41</f>
        <v>0</v>
      </c>
      <c r="G7" s="37">
        <f>'Data Sheet'!G41</f>
        <v>0</v>
      </c>
      <c r="H7" s="37">
        <f>'Data Sheet'!H41</f>
        <v>0</v>
      </c>
      <c r="I7" s="37">
        <f>'Data Sheet'!I41</f>
        <v>0</v>
      </c>
      <c r="J7" s="37">
        <f>'Data Sheet'!J41</f>
        <v>0</v>
      </c>
      <c r="K7" s="37">
        <f>'Data Sheet'!K41</f>
        <v>0</v>
      </c>
    </row>
    <row r="8" spans="1:11" s="2" customFormat="1" x14ac:dyDescent="0.25">
      <c r="A8" s="8" t="s">
        <v>40</v>
      </c>
      <c r="B8" s="39">
        <f>'Data Sheet'!B42</f>
        <v>122.42</v>
      </c>
      <c r="C8" s="39">
        <f>'Data Sheet'!C42</f>
        <v>159.12</v>
      </c>
      <c r="D8" s="39">
        <f>'Data Sheet'!D42</f>
        <v>181.51</v>
      </c>
      <c r="E8" s="39">
        <f>'Data Sheet'!E42</f>
        <v>259.72000000000003</v>
      </c>
      <c r="F8" s="39">
        <f>'Data Sheet'!F42</f>
        <v>283.24</v>
      </c>
      <c r="G8" s="39">
        <f>'Data Sheet'!G42</f>
        <v>268.33</v>
      </c>
      <c r="H8" s="39">
        <f>'Data Sheet'!H42</f>
        <v>259.60000000000002</v>
      </c>
      <c r="I8" s="39">
        <f>'Data Sheet'!I42</f>
        <v>281.82</v>
      </c>
      <c r="J8" s="39">
        <f>'Data Sheet'!J42</f>
        <v>246.83</v>
      </c>
      <c r="K8" s="39">
        <f>'Data Sheet'!K42</f>
        <v>190.42</v>
      </c>
    </row>
    <row r="9" spans="1:11" x14ac:dyDescent="0.25">
      <c r="A9" s="11" t="s">
        <v>41</v>
      </c>
      <c r="B9" s="37">
        <f>'Data Sheet'!B43</f>
        <v>84.7</v>
      </c>
      <c r="C9" s="37">
        <f>'Data Sheet'!C43</f>
        <v>82.3</v>
      </c>
      <c r="D9" s="37">
        <f>'Data Sheet'!D43</f>
        <v>76</v>
      </c>
      <c r="E9" s="37">
        <f>'Data Sheet'!E43</f>
        <v>95.96</v>
      </c>
      <c r="F9" s="37">
        <f>'Data Sheet'!F43</f>
        <v>114.27</v>
      </c>
      <c r="G9" s="37">
        <f>'Data Sheet'!G43</f>
        <v>105.88</v>
      </c>
      <c r="H9" s="37">
        <f>'Data Sheet'!H43</f>
        <v>110.21</v>
      </c>
      <c r="I9" s="37">
        <f>'Data Sheet'!I43</f>
        <v>102.64</v>
      </c>
      <c r="J9" s="38">
        <f>'Data Sheet'!J43</f>
        <v>90.85</v>
      </c>
      <c r="K9" s="38">
        <f>'Data Sheet'!K43</f>
        <v>31.39</v>
      </c>
    </row>
    <row r="10" spans="1:11" x14ac:dyDescent="0.25">
      <c r="A10" s="11" t="s">
        <v>42</v>
      </c>
      <c r="B10" s="37">
        <f>'Data Sheet'!B44</f>
        <v>3.47</v>
      </c>
      <c r="C10" s="37">
        <f>'Data Sheet'!C44</f>
        <v>3.66</v>
      </c>
      <c r="D10" s="37">
        <f>'Data Sheet'!D44</f>
        <v>19.23</v>
      </c>
      <c r="E10" s="37">
        <f>'Data Sheet'!E44</f>
        <v>17.350000000000001</v>
      </c>
      <c r="F10" s="37">
        <f>'Data Sheet'!F44</f>
        <v>8.34</v>
      </c>
      <c r="G10" s="37">
        <f>'Data Sheet'!G44</f>
        <v>12.17</v>
      </c>
      <c r="H10" s="37">
        <f>'Data Sheet'!H44</f>
        <v>8.3699999999999992</v>
      </c>
      <c r="I10" s="37">
        <f>'Data Sheet'!I44</f>
        <v>0.39</v>
      </c>
      <c r="J10" s="38">
        <f>'Data Sheet'!J44</f>
        <v>0</v>
      </c>
      <c r="K10" s="38">
        <f>'Data Sheet'!K44</f>
        <v>0.06</v>
      </c>
    </row>
    <row r="11" spans="1:11" x14ac:dyDescent="0.25">
      <c r="A11" s="11" t="s">
        <v>43</v>
      </c>
      <c r="B11" s="37">
        <f>'Data Sheet'!B45</f>
        <v>0</v>
      </c>
      <c r="C11" s="37">
        <f>'Data Sheet'!C45</f>
        <v>0.05</v>
      </c>
      <c r="D11" s="37">
        <f>'Data Sheet'!D45</f>
        <v>0</v>
      </c>
      <c r="E11" s="37">
        <f>'Data Sheet'!E45</f>
        <v>0</v>
      </c>
      <c r="F11" s="37">
        <f>'Data Sheet'!F45</f>
        <v>0.05</v>
      </c>
      <c r="G11" s="37">
        <f>'Data Sheet'!G45</f>
        <v>0</v>
      </c>
      <c r="H11" s="37">
        <f>'Data Sheet'!H45</f>
        <v>0.25</v>
      </c>
      <c r="I11" s="37">
        <f>'Data Sheet'!I45</f>
        <v>0.25</v>
      </c>
      <c r="J11" s="38">
        <f>'Data Sheet'!J45</f>
        <v>0.28999999999999998</v>
      </c>
      <c r="K11" s="38">
        <f>'Data Sheet'!K45</f>
        <v>79.27</v>
      </c>
    </row>
    <row r="12" spans="1:11" x14ac:dyDescent="0.25">
      <c r="A12" s="11" t="s">
        <v>44</v>
      </c>
      <c r="B12" s="37">
        <f>'Data Sheet'!B46</f>
        <v>34.25</v>
      </c>
      <c r="C12" s="37">
        <f>'Data Sheet'!C46</f>
        <v>73.11</v>
      </c>
      <c r="D12" s="37">
        <f>'Data Sheet'!D46</f>
        <v>86.28</v>
      </c>
      <c r="E12" s="37">
        <f>'Data Sheet'!E46</f>
        <v>146.43</v>
      </c>
      <c r="F12" s="37">
        <f>'Data Sheet'!F46</f>
        <v>160.58000000000001</v>
      </c>
      <c r="G12" s="37">
        <f>'Data Sheet'!G46</f>
        <v>150.28</v>
      </c>
      <c r="H12" s="37">
        <f>'Data Sheet'!H46</f>
        <v>140.76</v>
      </c>
      <c r="I12" s="37">
        <f>'Data Sheet'!I46</f>
        <v>178.54</v>
      </c>
      <c r="J12" s="37">
        <f>'Data Sheet'!J46</f>
        <v>155.69</v>
      </c>
      <c r="K12" s="37">
        <f>'Data Sheet'!K46</f>
        <v>79.7</v>
      </c>
    </row>
    <row r="13" spans="1:11" s="2" customFormat="1" x14ac:dyDescent="0.25">
      <c r="A13" s="8" t="s">
        <v>40</v>
      </c>
      <c r="B13" s="39">
        <f>'Data Sheet'!B47</f>
        <v>122.42</v>
      </c>
      <c r="C13" s="39">
        <f>'Data Sheet'!C47</f>
        <v>159.12</v>
      </c>
      <c r="D13" s="39">
        <f>'Data Sheet'!D47</f>
        <v>181.51</v>
      </c>
      <c r="E13" s="39">
        <f>'Data Sheet'!E47</f>
        <v>259.72000000000003</v>
      </c>
      <c r="F13" s="39">
        <f>'Data Sheet'!F47</f>
        <v>283.24</v>
      </c>
      <c r="G13" s="39">
        <f>'Data Sheet'!G47</f>
        <v>268.33</v>
      </c>
      <c r="H13" s="39">
        <f>'Data Sheet'!H47</f>
        <v>259.60000000000002</v>
      </c>
      <c r="I13" s="39">
        <f>'Data Sheet'!I47</f>
        <v>281.82</v>
      </c>
      <c r="J13" s="39">
        <f>'Data Sheet'!J47</f>
        <v>246.83</v>
      </c>
      <c r="K13" s="39">
        <f>'Data Sheet'!K47</f>
        <v>190.42</v>
      </c>
    </row>
    <row r="14" spans="1:11" x14ac:dyDescent="0.25">
      <c r="A14" s="11"/>
      <c r="B14" s="40"/>
      <c r="C14" s="40"/>
      <c r="D14" s="40"/>
      <c r="E14" s="40"/>
      <c r="F14" s="40"/>
      <c r="G14" s="40"/>
      <c r="H14" s="40"/>
      <c r="I14" s="40"/>
      <c r="J14" s="41"/>
      <c r="K14" s="41"/>
    </row>
    <row r="15" spans="1:11" x14ac:dyDescent="0.25">
      <c r="A15" s="11"/>
      <c r="B15" s="40"/>
      <c r="C15" s="40"/>
      <c r="D15" s="40"/>
      <c r="E15" s="40"/>
      <c r="F15" s="40"/>
      <c r="G15" s="40"/>
      <c r="H15" s="40"/>
      <c r="I15" s="40"/>
      <c r="J15" s="41"/>
      <c r="K15" s="41"/>
    </row>
    <row r="16" spans="1:11" x14ac:dyDescent="0.25">
      <c r="A16" s="11" t="s">
        <v>45</v>
      </c>
      <c r="B16" s="40">
        <f>'Data Sheet'!B66</f>
        <v>0</v>
      </c>
      <c r="C16" s="40">
        <f>'Data Sheet'!C66</f>
        <v>0</v>
      </c>
      <c r="D16" s="40">
        <f>'Data Sheet'!D66</f>
        <v>0</v>
      </c>
      <c r="E16" s="40">
        <f>'Data Sheet'!E66</f>
        <v>0</v>
      </c>
      <c r="F16" s="40">
        <f>'Data Sheet'!F66</f>
        <v>0</v>
      </c>
      <c r="G16" s="40">
        <f>'Data Sheet'!G66</f>
        <v>98.06</v>
      </c>
      <c r="H16" s="40">
        <f>'Data Sheet'!H66</f>
        <v>106.25</v>
      </c>
      <c r="I16" s="40">
        <f>'Data Sheet'!I66</f>
        <v>123.14</v>
      </c>
      <c r="J16" s="41">
        <f>'Data Sheet'!J66</f>
        <v>163.22</v>
      </c>
      <c r="K16" s="41">
        <f>'Data Sheet'!K66</f>
        <v>70.19</v>
      </c>
    </row>
    <row r="17" spans="1:12" x14ac:dyDescent="0.25">
      <c r="A17" s="11" t="s">
        <v>46</v>
      </c>
      <c r="B17" s="40">
        <f>'Data Sheet'!B67</f>
        <v>0</v>
      </c>
      <c r="C17" s="40">
        <f>'Data Sheet'!C67</f>
        <v>0</v>
      </c>
      <c r="D17" s="40">
        <f>'Data Sheet'!D67</f>
        <v>0</v>
      </c>
      <c r="E17" s="40">
        <f>'Data Sheet'!E67</f>
        <v>0</v>
      </c>
      <c r="F17" s="40">
        <f>'Data Sheet'!F67</f>
        <v>0</v>
      </c>
      <c r="G17" s="40">
        <f>'Data Sheet'!G67</f>
        <v>88.34</v>
      </c>
      <c r="H17" s="40">
        <f>'Data Sheet'!H67</f>
        <v>79.06</v>
      </c>
      <c r="I17" s="40">
        <f>'Data Sheet'!I67</f>
        <v>99.83</v>
      </c>
      <c r="J17" s="40">
        <f>'Data Sheet'!J67</f>
        <v>99.74</v>
      </c>
      <c r="K17" s="40">
        <f>'Data Sheet'!K67</f>
        <v>51.84</v>
      </c>
    </row>
    <row r="19" spans="1:12" x14ac:dyDescent="0.25">
      <c r="A19" s="36" t="s">
        <v>47</v>
      </c>
      <c r="B19" s="31">
        <f>IF('Profit &amp; Loss'!B4&gt;0,'Balance Sheet'!B16/('Profit &amp; Loss'!B4/365),0)</f>
        <v>0</v>
      </c>
      <c r="C19" s="31">
        <f>IF('Profit &amp; Loss'!C4&gt;0,'Balance Sheet'!C16/('Profit &amp; Loss'!C4/365),0)</f>
        <v>0</v>
      </c>
      <c r="D19" s="31">
        <f>IF('Profit &amp; Loss'!D4&gt;0,'Balance Sheet'!D16/('Profit &amp; Loss'!D4/365),0)</f>
        <v>0</v>
      </c>
      <c r="E19" s="31">
        <f>IF('Profit &amp; Loss'!E4&gt;0,'Balance Sheet'!E16/('Profit &amp; Loss'!E4/365),0)</f>
        <v>0</v>
      </c>
      <c r="F19" s="31">
        <f>IF('Profit &amp; Loss'!F4&gt;0,'Balance Sheet'!F16/('Profit &amp; Loss'!F4/365),0)</f>
        <v>0</v>
      </c>
      <c r="G19" s="31">
        <f>IF('Profit &amp; Loss'!G4&gt;0,'Balance Sheet'!G16/('Profit &amp; Loss'!G4/365),0)</f>
        <v>80.896618750565054</v>
      </c>
      <c r="H19" s="31">
        <f>IF('Profit &amp; Loss'!H4&gt;0,'Balance Sheet'!H16/('Profit &amp; Loss'!H4/365),0)</f>
        <v>92.616363766627657</v>
      </c>
      <c r="I19" s="31">
        <f>IF('Profit &amp; Loss'!I4&gt;0,'Balance Sheet'!I16/('Profit &amp; Loss'!I4/365),0)</f>
        <v>99.133417146386108</v>
      </c>
      <c r="J19" s="31">
        <f>IF('Profit &amp; Loss'!J4&gt;0,'Balance Sheet'!J16/('Profit &amp; Loss'!J4/365),0)</f>
        <v>136.34975854255831</v>
      </c>
      <c r="K19" s="31">
        <f>IF('Profit &amp; Loss'!K4&gt;0,'Balance Sheet'!K16/('Profit &amp; Loss'!K4/365),0)</f>
        <v>69.077194779982747</v>
      </c>
    </row>
    <row r="20" spans="1:12" x14ac:dyDescent="0.25">
      <c r="A20" s="36" t="s">
        <v>48</v>
      </c>
      <c r="B20" s="31">
        <f>IF('Balance Sheet'!B17&gt;0,'Profit &amp; Loss'!B4/'Balance Sheet'!B17,0)</f>
        <v>0</v>
      </c>
      <c r="C20" s="31">
        <f>IF('Balance Sheet'!C17&gt;0,'Profit &amp; Loss'!C4/'Balance Sheet'!C17,0)</f>
        <v>0</v>
      </c>
      <c r="D20" s="31">
        <f>IF('Balance Sheet'!D17&gt;0,'Profit &amp; Loss'!D4/'Balance Sheet'!D17,0)</f>
        <v>0</v>
      </c>
      <c r="E20" s="31">
        <f>IF('Balance Sheet'!E17&gt;0,'Profit &amp; Loss'!E4/'Balance Sheet'!E17,0)</f>
        <v>0</v>
      </c>
      <c r="F20" s="31">
        <f>IF('Balance Sheet'!F17&gt;0,'Profit &amp; Loss'!F4/'Balance Sheet'!F17,0)</f>
        <v>0</v>
      </c>
      <c r="G20" s="31">
        <f>IF('Balance Sheet'!G17&gt;0,'Profit &amp; Loss'!G4/'Balance Sheet'!G17,0)</f>
        <v>5.0083767262848085</v>
      </c>
      <c r="H20" s="31">
        <f>IF('Balance Sheet'!H17&gt;0,'Profit &amp; Loss'!H4/'Balance Sheet'!H17,0)</f>
        <v>5.2963571970655199</v>
      </c>
      <c r="I20" s="31">
        <f>IF('Balance Sheet'!I17&gt;0,'Profit &amp; Loss'!I4/'Balance Sheet'!I17,0)</f>
        <v>4.5416207552839829</v>
      </c>
      <c r="J20" s="31">
        <f>IF('Balance Sheet'!J17&gt;0,'Profit &amp; Loss'!J4/'Balance Sheet'!J17,0)</f>
        <v>4.380689793463004</v>
      </c>
      <c r="K20" s="31">
        <f>IF('Balance Sheet'!K17&gt;0,'Profit &amp; Loss'!K4/'Balance Sheet'!K17,0)</f>
        <v>7.1543209876543203</v>
      </c>
    </row>
    <row r="22" spans="1:12" s="2" customFormat="1" x14ac:dyDescent="0.25">
      <c r="A22" s="2" t="s">
        <v>49</v>
      </c>
      <c r="B22" s="35">
        <f>IF(SUM('Balance Sheet'!B4:B5),'Profit &amp; Loss'!B14/SUM('Balance Sheet'!B4:B5),"")</f>
        <v>0.32862473347547971</v>
      </c>
      <c r="C22" s="35">
        <f>IF(SUM('Balance Sheet'!C4:C5),'Profit &amp; Loss'!C14/SUM('Balance Sheet'!C4:C5),"")</f>
        <v>0.43099404654519213</v>
      </c>
      <c r="D22" s="35">
        <f>IF(SUM('Balance Sheet'!D4:D5),'Profit &amp; Loss'!D14/SUM('Balance Sheet'!D4:D5),"")</f>
        <v>0.26810359516101551</v>
      </c>
      <c r="E22" s="35">
        <f>IF(SUM('Balance Sheet'!E4:E5),'Profit &amp; Loss'!E14/SUM('Balance Sheet'!E4:E5),"")</f>
        <v>0.33876773237349145</v>
      </c>
      <c r="F22" s="35">
        <f>IF(SUM('Balance Sheet'!F4:F5),'Profit &amp; Loss'!F14/SUM('Balance Sheet'!F4:F5),"")</f>
        <v>1.1478064925005282E-2</v>
      </c>
      <c r="G22" s="35">
        <f>IF(SUM('Balance Sheet'!G4:G5),'Profit &amp; Loss'!G14/SUM('Balance Sheet'!G4:G5),"")</f>
        <v>-0.15699853348541634</v>
      </c>
      <c r="H22" s="35">
        <f>IF(SUM('Balance Sheet'!H4:H5),'Profit &amp; Loss'!H14/SUM('Balance Sheet'!H4:H5),"")</f>
        <v>-7.7611940298507473E-2</v>
      </c>
      <c r="I22" s="35">
        <f>IF(SUM('Balance Sheet'!I4:I5),'Profit &amp; Loss'!I14/SUM('Balance Sheet'!I4:I5),"")</f>
        <v>4.7742474916387959E-2</v>
      </c>
      <c r="J22" s="35">
        <f>IF(SUM('Balance Sheet'!J4:J5),'Profit &amp; Loss'!J14/SUM('Balance Sheet'!J4:J5),"")</f>
        <v>-7.6992345790184616E-2</v>
      </c>
      <c r="K22" s="35">
        <f>IF(SUM('Balance Sheet'!K4:K5),'Profit &amp; Loss'!K14/SUM('Balance Sheet'!K4:K5),"")</f>
        <v>0.6060769023931164</v>
      </c>
    </row>
    <row r="23" spans="1:12" s="2" customFormat="1" x14ac:dyDescent="0.25">
      <c r="A23" s="2" t="s">
        <v>50</v>
      </c>
      <c r="B23" s="35">
        <f>IF(('Balance Sheet'!B9+'Balance Sheet'!B12)&gt;0,('Profit &amp; Loss'!B10-'Profit &amp; Loss'!B13)/('Balance Sheet'!B9+'Balance Sheet'!B12),"")</f>
        <v>0.15897435897435896</v>
      </c>
      <c r="C23" s="35">
        <f>IF(('Balance Sheet'!C9+'Balance Sheet'!C12)&gt;0,('Profit &amp; Loss'!C10-'Profit &amp; Loss'!C13)/('Balance Sheet'!C9+'Balance Sheet'!C12),"")</f>
        <v>0.18589537352808699</v>
      </c>
      <c r="D23" s="35">
        <f>IF(('Balance Sheet'!D9+'Balance Sheet'!D12)&gt;0,('Profit &amp; Loss'!D10-'Profit &amp; Loss'!D13)/('Balance Sheet'!D9+'Balance Sheet'!D12),"")</f>
        <v>0.23656642839536604</v>
      </c>
      <c r="E23" s="35">
        <f>IF(('Balance Sheet'!E9+'Balance Sheet'!E12)&gt;0,('Profit &amp; Loss'!E10-'Profit &amp; Loss'!E13)/('Balance Sheet'!E9+'Balance Sheet'!E12),"")</f>
        <v>0.21539667478031274</v>
      </c>
      <c r="F23" s="35">
        <f>IF(('Balance Sheet'!F9+'Balance Sheet'!F12)&gt;0,('Profit &amp; Loss'!F10-'Profit &amp; Loss'!F13)/('Balance Sheet'!F9+'Balance Sheet'!F12),"")</f>
        <v>9.6925595779516094E-2</v>
      </c>
      <c r="G23" s="35">
        <f>IF(('Balance Sheet'!G9+'Balance Sheet'!G12)&gt;0,('Profit &amp; Loss'!G10-'Profit &amp; Loss'!G13)/('Balance Sheet'!G9+'Balance Sheet'!G12),"")</f>
        <v>6.4178638351030617E-2</v>
      </c>
      <c r="H23" s="35">
        <f>IF(('Balance Sheet'!H9+'Balance Sheet'!H12)&gt;0,('Profit &amp; Loss'!H10-'Profit &amp; Loss'!H13)/('Balance Sheet'!H9+'Balance Sheet'!H12),"")</f>
        <v>6.5585528150775008E-2</v>
      </c>
      <c r="I23" s="35">
        <f>IF(('Balance Sheet'!I9+'Balance Sheet'!I12)&gt;0,('Profit &amp; Loss'!I10-'Profit &amp; Loss'!I13)/('Balance Sheet'!I9+'Balance Sheet'!I12),"")</f>
        <v>0.10409701970268155</v>
      </c>
      <c r="J23" s="35">
        <f>IF(('Balance Sheet'!J9+'Balance Sheet'!J12)&gt;0,('Profit &amp; Loss'!J10-'Profit &amp; Loss'!J13)/('Balance Sheet'!J9+'Balance Sheet'!J12),"")</f>
        <v>4.6239961061085424E-2</v>
      </c>
      <c r="K23" s="35">
        <f>IF(('Balance Sheet'!K9+'Balance Sheet'!K12)&gt;0,('Profit &amp; Loss'!K10-'Profit &amp; Loss'!K13)/('Balance Sheet'!K9+'Balance Sheet'!K12),"")</f>
        <v>0.55396525339814562</v>
      </c>
    </row>
    <row r="25" spans="1:12" x14ac:dyDescent="0.25">
      <c r="A25" s="4" t="s">
        <v>51</v>
      </c>
      <c r="B25" s="5">
        <f>B3</f>
        <v>38442</v>
      </c>
      <c r="C25" s="5">
        <f t="shared" ref="C25:K25" si="0">C3</f>
        <v>38807</v>
      </c>
      <c r="D25" s="5">
        <f t="shared" si="0"/>
        <v>39172</v>
      </c>
      <c r="E25" s="5">
        <f t="shared" si="0"/>
        <v>39538</v>
      </c>
      <c r="F25" s="5">
        <f t="shared" si="0"/>
        <v>39903</v>
      </c>
      <c r="G25" s="5">
        <f t="shared" si="0"/>
        <v>40268</v>
      </c>
      <c r="H25" s="5">
        <f t="shared" si="0"/>
        <v>40633</v>
      </c>
      <c r="I25" s="5">
        <f t="shared" si="0"/>
        <v>40999</v>
      </c>
      <c r="J25" s="5">
        <f t="shared" si="0"/>
        <v>41364</v>
      </c>
      <c r="K25" s="5">
        <f t="shared" si="0"/>
        <v>41729</v>
      </c>
      <c r="L25" s="36" t="s">
        <v>52</v>
      </c>
    </row>
    <row r="26" spans="1:12" x14ac:dyDescent="0.25">
      <c r="A26" s="36" t="str">
        <f>A9</f>
        <v>Net Block</v>
      </c>
      <c r="B26" s="132">
        <f>B9/B$13</f>
        <v>0.69188041169743508</v>
      </c>
      <c r="C26" s="132">
        <f t="shared" ref="C26:K26" si="1">C9/C$13</f>
        <v>0.51721970839617892</v>
      </c>
      <c r="D26" s="132">
        <f t="shared" si="1"/>
        <v>0.41870971296347309</v>
      </c>
      <c r="E26" s="132">
        <f t="shared" si="1"/>
        <v>0.36947481903588475</v>
      </c>
      <c r="F26" s="132">
        <f t="shared" si="1"/>
        <v>0.40343877983335685</v>
      </c>
      <c r="G26" s="132">
        <f t="shared" si="1"/>
        <v>0.39458875265531251</v>
      </c>
      <c r="H26" s="132">
        <f t="shared" si="1"/>
        <v>0.42453775038520797</v>
      </c>
      <c r="I26" s="132">
        <f t="shared" si="1"/>
        <v>0.36420410190901997</v>
      </c>
      <c r="J26" s="132">
        <f t="shared" si="1"/>
        <v>0.36806709071020538</v>
      </c>
      <c r="K26" s="132">
        <f t="shared" si="1"/>
        <v>0.16484612960823444</v>
      </c>
      <c r="L26" s="132">
        <f>AVERAGE(B26:K26)</f>
        <v>0.41169672571943094</v>
      </c>
    </row>
    <row r="27" spans="1:12" x14ac:dyDescent="0.25">
      <c r="A27" s="36" t="str">
        <f>A10</f>
        <v>Capital Work in Progress</v>
      </c>
      <c r="B27" s="132">
        <f>B10/B$13</f>
        <v>2.8345041659859502E-2</v>
      </c>
      <c r="C27" s="132">
        <f t="shared" ref="C27:K27" si="2">C10/C$13</f>
        <v>2.3001508295625944E-2</v>
      </c>
      <c r="D27" s="132">
        <f t="shared" si="2"/>
        <v>0.10594457605641563</v>
      </c>
      <c r="E27" s="132">
        <f t="shared" si="2"/>
        <v>6.6802710611427688E-2</v>
      </c>
      <c r="F27" s="132">
        <f t="shared" si="2"/>
        <v>2.94449936449654E-2</v>
      </c>
      <c r="G27" s="132">
        <f t="shared" si="2"/>
        <v>4.5354600678269297E-2</v>
      </c>
      <c r="H27" s="132">
        <f t="shared" si="2"/>
        <v>3.2241910631741137E-2</v>
      </c>
      <c r="I27" s="132">
        <f t="shared" si="2"/>
        <v>1.3838620395997445E-3</v>
      </c>
      <c r="J27" s="132">
        <f t="shared" si="2"/>
        <v>0</v>
      </c>
      <c r="K27" s="132">
        <f t="shared" si="2"/>
        <v>3.150929524209642E-4</v>
      </c>
      <c r="L27" s="132">
        <f t="shared" ref="L27:L29" si="3">AVERAGE(B27:K27)</f>
        <v>3.3283429657032529E-2</v>
      </c>
    </row>
    <row r="28" spans="1:12" x14ac:dyDescent="0.25">
      <c r="A28" s="36" t="str">
        <f>A11</f>
        <v>Investments</v>
      </c>
      <c r="B28" s="132">
        <f>B11/B$13</f>
        <v>0</v>
      </c>
      <c r="C28" s="132">
        <f t="shared" ref="C28:K28" si="4">C11/C$13</f>
        <v>3.1422825540472602E-4</v>
      </c>
      <c r="D28" s="132">
        <f t="shared" si="4"/>
        <v>0</v>
      </c>
      <c r="E28" s="132">
        <f t="shared" si="4"/>
        <v>0</v>
      </c>
      <c r="F28" s="132">
        <f t="shared" si="4"/>
        <v>1.7652873887868945E-4</v>
      </c>
      <c r="G28" s="132">
        <f t="shared" si="4"/>
        <v>0</v>
      </c>
      <c r="H28" s="132">
        <f t="shared" si="4"/>
        <v>9.6302003081664088E-4</v>
      </c>
      <c r="I28" s="132">
        <f t="shared" si="4"/>
        <v>8.8709105102547725E-4</v>
      </c>
      <c r="J28" s="132">
        <f t="shared" si="4"/>
        <v>1.1748977028724222E-3</v>
      </c>
      <c r="K28" s="132">
        <f t="shared" si="4"/>
        <v>0.41629030564016384</v>
      </c>
      <c r="L28" s="132">
        <f t="shared" si="3"/>
        <v>4.1980607141916183E-2</v>
      </c>
    </row>
    <row r="29" spans="1:12" x14ac:dyDescent="0.25">
      <c r="A29" s="36" t="str">
        <f>A12</f>
        <v>Working Capital</v>
      </c>
      <c r="B29" s="132">
        <f>B12/B$13</f>
        <v>0.27977454664270546</v>
      </c>
      <c r="C29" s="132">
        <f t="shared" ref="C29:K29" si="5">C12/C$13</f>
        <v>0.45946455505279032</v>
      </c>
      <c r="D29" s="132">
        <f t="shared" si="5"/>
        <v>0.4753457109801113</v>
      </c>
      <c r="E29" s="132">
        <f t="shared" si="5"/>
        <v>0.56379947635915595</v>
      </c>
      <c r="F29" s="132">
        <f t="shared" si="5"/>
        <v>0.56693969778279907</v>
      </c>
      <c r="G29" s="132">
        <f t="shared" si="5"/>
        <v>0.5600566466664183</v>
      </c>
      <c r="H29" s="132">
        <f t="shared" si="5"/>
        <v>0.54221879815100149</v>
      </c>
      <c r="I29" s="132">
        <f t="shared" si="5"/>
        <v>0.63352494500035483</v>
      </c>
      <c r="J29" s="132">
        <f t="shared" si="5"/>
        <v>0.63075801158692213</v>
      </c>
      <c r="K29" s="132">
        <f t="shared" si="5"/>
        <v>0.41854847179918081</v>
      </c>
      <c r="L29" s="132">
        <f t="shared" si="3"/>
        <v>0.51304308600214399</v>
      </c>
    </row>
    <row r="30" spans="1:12" x14ac:dyDescent="0.25">
      <c r="A30" s="36" t="str">
        <f>A13</f>
        <v>Total</v>
      </c>
      <c r="B30" s="132">
        <f>B13/B$13</f>
        <v>1</v>
      </c>
      <c r="C30" s="132">
        <f t="shared" ref="C30:K30" si="6">C13/C$13</f>
        <v>1</v>
      </c>
      <c r="D30" s="132">
        <f t="shared" si="6"/>
        <v>1</v>
      </c>
      <c r="E30" s="132">
        <f t="shared" si="6"/>
        <v>1</v>
      </c>
      <c r="F30" s="132">
        <f t="shared" si="6"/>
        <v>1</v>
      </c>
      <c r="G30" s="132">
        <f t="shared" si="6"/>
        <v>1</v>
      </c>
      <c r="H30" s="132">
        <f t="shared" si="6"/>
        <v>1</v>
      </c>
      <c r="I30" s="132">
        <f t="shared" si="6"/>
        <v>1</v>
      </c>
      <c r="J30" s="132">
        <f t="shared" si="6"/>
        <v>1</v>
      </c>
      <c r="K30" s="132">
        <f t="shared" si="6"/>
        <v>1</v>
      </c>
    </row>
    <row r="33" spans="1:12" x14ac:dyDescent="0.25">
      <c r="A33" s="36" t="str">
        <f>A6</f>
        <v>Secured Loans</v>
      </c>
      <c r="B33" s="132">
        <f>B6/B$8</f>
        <v>0.49722267603332787</v>
      </c>
      <c r="C33" s="132">
        <f t="shared" ref="C33:K33" si="7">C6/C$8</f>
        <v>0.35055304172951229</v>
      </c>
      <c r="D33" s="132">
        <f t="shared" si="7"/>
        <v>0.28081097460195031</v>
      </c>
      <c r="E33" s="132">
        <f t="shared" si="7"/>
        <v>0.40378099491760355</v>
      </c>
      <c r="F33" s="132">
        <f t="shared" si="7"/>
        <v>0.45216071176387512</v>
      </c>
      <c r="G33" s="132">
        <f t="shared" si="7"/>
        <v>0.49353408116871023</v>
      </c>
      <c r="H33" s="132">
        <f t="shared" si="7"/>
        <v>0.51055469953775034</v>
      </c>
      <c r="I33" s="132">
        <f t="shared" si="7"/>
        <v>0.52891916826343055</v>
      </c>
      <c r="J33" s="132">
        <f t="shared" si="7"/>
        <v>0.49677915974557385</v>
      </c>
      <c r="K33" s="132">
        <f t="shared" si="7"/>
        <v>0.14966915239995801</v>
      </c>
      <c r="L33" s="132">
        <f t="shared" ref="L33:L34" si="8">AVERAGE(B33:K33)</f>
        <v>0.41639846601616914</v>
      </c>
    </row>
    <row r="34" spans="1:12" x14ac:dyDescent="0.25">
      <c r="A34" s="36" t="str">
        <f>A7</f>
        <v>Unsecured Loans</v>
      </c>
      <c r="B34" s="132">
        <f>B7/B$8</f>
        <v>0</v>
      </c>
      <c r="C34" s="132">
        <f t="shared" ref="C34:K34" si="9">C7/C$8</f>
        <v>0.15711412770236299</v>
      </c>
      <c r="D34" s="132">
        <f t="shared" si="9"/>
        <v>0</v>
      </c>
      <c r="E34" s="132">
        <f t="shared" si="9"/>
        <v>0</v>
      </c>
      <c r="F34" s="132">
        <f t="shared" si="9"/>
        <v>0</v>
      </c>
      <c r="G34" s="132">
        <f t="shared" si="9"/>
        <v>0</v>
      </c>
      <c r="H34" s="132">
        <f t="shared" si="9"/>
        <v>0</v>
      </c>
      <c r="I34" s="132">
        <f t="shared" si="9"/>
        <v>0</v>
      </c>
      <c r="J34" s="132">
        <f t="shared" si="9"/>
        <v>0</v>
      </c>
      <c r="K34" s="132">
        <f t="shared" si="9"/>
        <v>0</v>
      </c>
      <c r="L34" s="132">
        <f t="shared" si="8"/>
        <v>1.5711412770236299E-2</v>
      </c>
    </row>
  </sheetData>
  <sheetProtection selectLockedCells="1" selectUnlockedCells="1"/>
  <mergeCells count="1">
    <mergeCell ref="G1:H1"/>
  </mergeCells>
  <hyperlinks>
    <hyperlink ref="J1" r:id="rId1"/>
  </hyperlinks>
  <printOptions gridLine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/>
  </sheetViews>
  <sheetFormatPr defaultColWidth="9.140625" defaultRowHeight="15" x14ac:dyDescent="0.25"/>
  <cols>
    <col min="1" max="1" width="27" style="1" customWidth="1"/>
    <col min="2" max="6" width="11.5703125" style="1" customWidth="1"/>
    <col min="7" max="11" width="13.7109375" style="1" customWidth="1"/>
    <col min="12" max="16384" width="9.140625" style="1"/>
  </cols>
  <sheetData>
    <row r="1" spans="1:11" s="2" customFormat="1" x14ac:dyDescent="0.25">
      <c r="A1" s="2" t="str">
        <f>'Balance Sheet'!A1</f>
        <v>PHOENIX LAMPS LIMITED</v>
      </c>
      <c r="G1" s="159"/>
      <c r="H1" s="159"/>
      <c r="J1" s="33" t="s">
        <v>0</v>
      </c>
      <c r="K1" s="33"/>
    </row>
    <row r="3" spans="1:11" s="2" customFormat="1" x14ac:dyDescent="0.25">
      <c r="A3" s="4" t="s">
        <v>1</v>
      </c>
      <c r="B3" s="5">
        <f>'Data Sheet'!B52</f>
        <v>38442</v>
      </c>
      <c r="C3" s="5">
        <f>'Data Sheet'!C52</f>
        <v>38807</v>
      </c>
      <c r="D3" s="5">
        <f>'Data Sheet'!D52</f>
        <v>39172</v>
      </c>
      <c r="E3" s="5">
        <f>'Data Sheet'!E52</f>
        <v>39538</v>
      </c>
      <c r="F3" s="5">
        <f>'Data Sheet'!F52</f>
        <v>39903</v>
      </c>
      <c r="G3" s="5">
        <f>'Data Sheet'!G52</f>
        <v>40268</v>
      </c>
      <c r="H3" s="5">
        <f>'Data Sheet'!H52</f>
        <v>40633</v>
      </c>
      <c r="I3" s="5">
        <f>'Data Sheet'!I52</f>
        <v>40999</v>
      </c>
      <c r="J3" s="5">
        <f>'Data Sheet'!J52</f>
        <v>41364</v>
      </c>
      <c r="K3" s="5">
        <f>'Data Sheet'!K52</f>
        <v>41729</v>
      </c>
    </row>
    <row r="4" spans="1:11" s="2" customFormat="1" x14ac:dyDescent="0.25">
      <c r="A4" s="8" t="s">
        <v>53</v>
      </c>
      <c r="B4" s="9">
        <f>'Data Sheet'!B53</f>
        <v>17.989999999999998</v>
      </c>
      <c r="C4" s="9">
        <f>'Data Sheet'!C53</f>
        <v>19.77</v>
      </c>
      <c r="D4" s="9">
        <f>'Data Sheet'!D53</f>
        <v>20.04</v>
      </c>
      <c r="E4" s="9">
        <f>'Data Sheet'!E53</f>
        <v>-8.27</v>
      </c>
      <c r="F4" s="9">
        <f>'Data Sheet'!F53</f>
        <v>28.72</v>
      </c>
      <c r="G4" s="9">
        <f>'Data Sheet'!G53</f>
        <v>28.34</v>
      </c>
      <c r="H4" s="9">
        <f>'Data Sheet'!H53</f>
        <v>24.01</v>
      </c>
      <c r="I4" s="9">
        <f>'Data Sheet'!I53</f>
        <v>-1.0900000000000001</v>
      </c>
      <c r="J4" s="9">
        <f>'Data Sheet'!J53</f>
        <v>24.09</v>
      </c>
      <c r="K4" s="9">
        <f>'Data Sheet'!K53</f>
        <v>70.69</v>
      </c>
    </row>
    <row r="5" spans="1:11" x14ac:dyDescent="0.25">
      <c r="A5" s="11" t="s">
        <v>54</v>
      </c>
      <c r="B5" s="12">
        <f>'Data Sheet'!B54</f>
        <v>-13.11</v>
      </c>
      <c r="C5" s="12">
        <f>'Data Sheet'!C54</f>
        <v>-14.85</v>
      </c>
      <c r="D5" s="12">
        <f>'Data Sheet'!D54</f>
        <v>-19.71</v>
      </c>
      <c r="E5" s="12">
        <f>'Data Sheet'!E54</f>
        <v>-29.52</v>
      </c>
      <c r="F5" s="12">
        <f>'Data Sheet'!F54</f>
        <v>-19.47</v>
      </c>
      <c r="G5" s="12">
        <f>'Data Sheet'!G54</f>
        <v>-10.39</v>
      </c>
      <c r="H5" s="12">
        <f>'Data Sheet'!H54</f>
        <v>-13.47</v>
      </c>
      <c r="I5" s="12">
        <f>'Data Sheet'!I54</f>
        <v>-2.46</v>
      </c>
      <c r="J5" s="16">
        <f>'Data Sheet'!J54</f>
        <v>13.45</v>
      </c>
      <c r="K5" s="16">
        <f>'Data Sheet'!K54</f>
        <v>0.69</v>
      </c>
    </row>
    <row r="6" spans="1:11" x14ac:dyDescent="0.25">
      <c r="A6" s="11" t="s">
        <v>55</v>
      </c>
      <c r="B6" s="12">
        <f>'Data Sheet'!B55</f>
        <v>-5.6</v>
      </c>
      <c r="C6" s="12">
        <f>'Data Sheet'!C55</f>
        <v>6.85</v>
      </c>
      <c r="D6" s="12">
        <f>'Data Sheet'!D55</f>
        <v>-10.68</v>
      </c>
      <c r="E6" s="12">
        <f>'Data Sheet'!E55</f>
        <v>37.69</v>
      </c>
      <c r="F6" s="12">
        <f>'Data Sheet'!F55</f>
        <v>-4.6100000000000003</v>
      </c>
      <c r="G6" s="12">
        <f>'Data Sheet'!G55</f>
        <v>-11.41</v>
      </c>
      <c r="H6" s="12">
        <f>'Data Sheet'!H55</f>
        <v>-14.84</v>
      </c>
      <c r="I6" s="12">
        <f>'Data Sheet'!I55</f>
        <v>3.85</v>
      </c>
      <c r="J6" s="12">
        <f>'Data Sheet'!J55</f>
        <v>-40.85</v>
      </c>
      <c r="K6" s="12">
        <f>'Data Sheet'!K55</f>
        <v>-57.75</v>
      </c>
    </row>
    <row r="7" spans="1:11" s="2" customFormat="1" x14ac:dyDescent="0.25">
      <c r="A7" s="8" t="s">
        <v>56</v>
      </c>
      <c r="B7" s="9">
        <f>'Data Sheet'!B56</f>
        <v>-0.71</v>
      </c>
      <c r="C7" s="9">
        <f>'Data Sheet'!C56</f>
        <v>11.77</v>
      </c>
      <c r="D7" s="9">
        <f>'Data Sheet'!D56</f>
        <v>-10.36</v>
      </c>
      <c r="E7" s="9">
        <f>'Data Sheet'!E56</f>
        <v>-0.11</v>
      </c>
      <c r="F7" s="9">
        <f>'Data Sheet'!F56</f>
        <v>4.6500000000000004</v>
      </c>
      <c r="G7" s="9">
        <f>'Data Sheet'!G56</f>
        <v>6.54</v>
      </c>
      <c r="H7" s="9">
        <f>'Data Sheet'!H56</f>
        <v>-4.3</v>
      </c>
      <c r="I7" s="9">
        <f>'Data Sheet'!I56</f>
        <v>0.3</v>
      </c>
      <c r="J7" s="9">
        <f>'Data Sheet'!J56</f>
        <v>-3.31</v>
      </c>
      <c r="K7" s="9">
        <f>'Data Sheet'!K56</f>
        <v>13.63</v>
      </c>
    </row>
    <row r="8" spans="1:11" x14ac:dyDescent="0.25">
      <c r="A8" s="42" t="s">
        <v>57</v>
      </c>
      <c r="B8" s="12">
        <f>'Data Sheet'!B57</f>
        <v>1.26</v>
      </c>
      <c r="C8" s="12">
        <f>'Data Sheet'!C57</f>
        <v>13.04</v>
      </c>
      <c r="D8" s="12">
        <f>'Data Sheet'!D57</f>
        <v>2.68</v>
      </c>
      <c r="E8" s="12">
        <f>'Data Sheet'!E57</f>
        <v>2.57</v>
      </c>
      <c r="F8" s="12">
        <f>'Data Sheet'!F57</f>
        <v>7.21</v>
      </c>
      <c r="G8" s="12">
        <f>'Data Sheet'!G57</f>
        <v>13.76</v>
      </c>
      <c r="H8" s="12">
        <f>'Data Sheet'!H57</f>
        <v>9.4600000000000009</v>
      </c>
      <c r="I8" s="12">
        <f>'Data Sheet'!I57</f>
        <v>9.76</v>
      </c>
      <c r="J8" s="12">
        <f>'Data Sheet'!J57</f>
        <v>4.91</v>
      </c>
      <c r="K8" s="12">
        <f>'Data Sheet'!K57</f>
        <v>18.5</v>
      </c>
    </row>
  </sheetData>
  <sheetProtection selectLockedCells="1" selectUnlockedCells="1"/>
  <mergeCells count="1">
    <mergeCell ref="G1:H1"/>
  </mergeCells>
  <hyperlinks>
    <hyperlink ref="J1" r:id="rId1"/>
  </hyperlinks>
  <printOptions gridLine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1"/>
  <sheetViews>
    <sheetView topLeftCell="A26" zoomScaleNormal="100" workbookViewId="0">
      <selection activeCell="B34" sqref="B34"/>
    </sheetView>
  </sheetViews>
  <sheetFormatPr defaultColWidth="8.7109375" defaultRowHeight="15" x14ac:dyDescent="0.25"/>
  <cols>
    <col min="1" max="1" width="31.42578125" style="43" customWidth="1"/>
    <col min="2" max="2" width="11.28515625" style="43" customWidth="1"/>
    <col min="3" max="3" width="10.42578125" style="43" customWidth="1"/>
    <col min="4" max="4" width="10.85546875" style="43" customWidth="1"/>
    <col min="5" max="5" width="10.42578125" style="43" customWidth="1"/>
    <col min="6" max="6" width="10.5703125" style="43" customWidth="1"/>
    <col min="7" max="8" width="10.42578125" style="43" customWidth="1"/>
    <col min="9" max="10" width="10.7109375" style="43" customWidth="1"/>
    <col min="11" max="11" width="11.140625" style="43" customWidth="1"/>
    <col min="12" max="12" width="14.7109375" style="43" customWidth="1"/>
    <col min="13" max="13" width="14.42578125" style="43" customWidth="1"/>
    <col min="14" max="20" width="11.140625" style="43" customWidth="1"/>
    <col min="21" max="16384" width="8.7109375" style="43"/>
  </cols>
  <sheetData>
    <row r="1" spans="1:14" x14ac:dyDescent="0.25">
      <c r="A1" s="70" t="str">
        <f>'Data Sheet'!A1</f>
        <v>PHOENIX LAMPS LIMITED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4" x14ac:dyDescent="0.25">
      <c r="A2" s="70"/>
      <c r="B2" s="130"/>
      <c r="C2" s="130"/>
      <c r="D2" s="130"/>
      <c r="E2" s="130"/>
      <c r="F2" s="130"/>
      <c r="G2" s="130"/>
      <c r="H2" s="130"/>
      <c r="I2" s="130"/>
      <c r="J2" s="130"/>
      <c r="K2" s="130"/>
      <c r="M2" s="43" t="s">
        <v>58</v>
      </c>
    </row>
    <row r="3" spans="1:14" ht="15" customHeight="1" x14ac:dyDescent="0.25">
      <c r="A3" s="45" t="s">
        <v>59</v>
      </c>
      <c r="M3" s="43" t="s">
        <v>58</v>
      </c>
    </row>
    <row r="4" spans="1:14" ht="30" customHeight="1" x14ac:dyDescent="0.25">
      <c r="A4" s="46"/>
      <c r="B4" s="47" t="s">
        <v>60</v>
      </c>
      <c r="C4" s="47" t="s">
        <v>61</v>
      </c>
      <c r="D4" s="46" t="s">
        <v>62</v>
      </c>
      <c r="F4" s="162" t="s">
        <v>63</v>
      </c>
      <c r="G4" s="163"/>
      <c r="H4" s="163"/>
      <c r="I4" s="163"/>
      <c r="J4" s="163"/>
      <c r="K4" s="164"/>
      <c r="M4" s="161" t="s">
        <v>64</v>
      </c>
      <c r="N4" s="161"/>
    </row>
    <row r="5" spans="1:14" ht="15" customHeight="1" x14ac:dyDescent="0.25">
      <c r="A5" s="48" t="s">
        <v>65</v>
      </c>
      <c r="B5" s="49">
        <f>'Other Input Data'!B41-'Other Input Data'!K41</f>
        <v>111.23999999999998</v>
      </c>
      <c r="C5" s="49">
        <f>B62-K62</f>
        <v>104.68</v>
      </c>
      <c r="D5" s="50">
        <f>C5/B5</f>
        <v>0.94102840704782476</v>
      </c>
      <c r="F5" s="51"/>
      <c r="G5" s="52" t="s">
        <v>66</v>
      </c>
      <c r="H5" s="52" t="s">
        <v>67</v>
      </c>
      <c r="I5" s="53" t="s">
        <v>68</v>
      </c>
      <c r="J5" s="53" t="s">
        <v>69</v>
      </c>
      <c r="K5" s="53" t="s">
        <v>70</v>
      </c>
      <c r="M5" s="54" t="s">
        <v>71</v>
      </c>
      <c r="N5" s="55">
        <v>0.1</v>
      </c>
    </row>
    <row r="6" spans="1:14" ht="15" customHeight="1" x14ac:dyDescent="0.25">
      <c r="A6" s="48" t="s">
        <v>72</v>
      </c>
      <c r="B6" s="49">
        <f>'Other Input Data'!B41-'Other Input Data'!H41</f>
        <v>7.0699999999999932</v>
      </c>
      <c r="C6" s="49">
        <f>B62-H62</f>
        <v>-262.05</v>
      </c>
      <c r="D6" s="50">
        <f>C6/B6</f>
        <v>-37.065063649222104</v>
      </c>
      <c r="F6" s="56" t="s">
        <v>73</v>
      </c>
      <c r="G6" s="57">
        <f>MIN('Profit &amp; Loss'!B16:K16)</f>
        <v>0</v>
      </c>
      <c r="H6" s="57">
        <f>MIN('Other Input Data'!B60:K60)</f>
        <v>1.1803692030616841</v>
      </c>
      <c r="I6" s="57">
        <f>MIN('Other Input Data'!B63:K63)</f>
        <v>2.5158837237826566</v>
      </c>
      <c r="J6" s="57">
        <f>MIN('Other Input Data'!B62:K62)</f>
        <v>0.30000228869612983</v>
      </c>
      <c r="K6" s="58">
        <f>MAX('Other Input Data'!B64:K64)</f>
        <v>0.210678292379119</v>
      </c>
      <c r="M6" s="59" t="s">
        <v>74</v>
      </c>
      <c r="N6" s="57">
        <f>('Profit &amp; Loss'!L$12/'Data Sheet'!$B$61)/N5</f>
        <v>155.71428571428572</v>
      </c>
    </row>
    <row r="7" spans="1:14" ht="15" customHeight="1" x14ac:dyDescent="0.25">
      <c r="A7" s="48" t="s">
        <v>75</v>
      </c>
      <c r="B7" s="49">
        <f>'Other Input Data'!B41-'Other Input Data'!F41</f>
        <v>26.019999999999996</v>
      </c>
      <c r="C7" s="49">
        <f>B62-F62</f>
        <v>-30.379999999999995</v>
      </c>
      <c r="D7" s="50">
        <f>C7/B7</f>
        <v>-1.1675634127594159</v>
      </c>
      <c r="F7" s="56" t="s">
        <v>76</v>
      </c>
      <c r="G7" s="57">
        <f>MAX('Profit &amp; Loss'!B16:K16)</f>
        <v>177.22699386503069</v>
      </c>
      <c r="H7" s="57">
        <f>MAX('Other Input Data'!B60:K60)</f>
        <v>3.2215406819411871</v>
      </c>
      <c r="I7" s="57">
        <f>MAX('Other Input Data'!B63:K63)</f>
        <v>15.201977401129943</v>
      </c>
      <c r="J7" s="57">
        <f>MAX('Other Input Data'!B62:K62)</f>
        <v>1.229973363241273</v>
      </c>
      <c r="K7" s="58">
        <f>MIN('Other Input Data'!B64:K64)</f>
        <v>0</v>
      </c>
      <c r="M7" s="60" t="s">
        <v>77</v>
      </c>
      <c r="N7" s="58">
        <f>('Profit &amp; Loss'!L$12/'Data Sheet'!$B$61)/'Data Sheet'!$B$63</f>
        <v>0.13412083179525042</v>
      </c>
    </row>
    <row r="8" spans="1:14" ht="15" customHeight="1" x14ac:dyDescent="0.25">
      <c r="A8" s="48" t="s">
        <v>78</v>
      </c>
      <c r="B8" s="49">
        <f>'Other Input Data'!B41-'Other Input Data'!D41</f>
        <v>29.159999999999997</v>
      </c>
      <c r="C8" s="49">
        <f>B62-D62</f>
        <v>-11.919999999999987</v>
      </c>
      <c r="D8" s="50">
        <f>C8/B8</f>
        <v>-0.40877914951988986</v>
      </c>
      <c r="F8" s="56" t="s">
        <v>79</v>
      </c>
      <c r="G8" s="57">
        <f>'Other Input Data'!$B$37/'Profit &amp; Loss'!L14</f>
        <v>8.9825918762088968</v>
      </c>
      <c r="H8" s="57">
        <f>'Other Input Data'!$B$37/'Other Input Data'!B41</f>
        <v>2.1852648561441246</v>
      </c>
      <c r="I8" s="57">
        <f>('Other Input Data'!$B$37+'Other Input Data'!B42+'Other Input Data'!B43-'Other Input Data'!B8)/'Other Input Data'!B28</f>
        <v>4.336808536734944</v>
      </c>
      <c r="J8" s="57">
        <f>'Other Input Data'!$B$37/'Profit &amp; Loss'!L4</f>
        <v>1.2990728900255752</v>
      </c>
      <c r="K8" s="58">
        <f>'Other Input Data'!B35/'Other Input Data'!$B$37</f>
        <v>0.11446413190599238</v>
      </c>
      <c r="M8" s="53"/>
      <c r="N8" s="61"/>
    </row>
    <row r="9" spans="1:14" ht="15" customHeight="1" x14ac:dyDescent="0.25">
      <c r="A9" s="48" t="s">
        <v>80</v>
      </c>
      <c r="B9" s="49">
        <f>'Other Input Data'!B41-'Other Input Data'!C41</f>
        <v>37.709999999999994</v>
      </c>
      <c r="C9" s="49">
        <f>B62-C62</f>
        <v>45.539999999999992</v>
      </c>
      <c r="D9" s="50">
        <f>C9/B9</f>
        <v>1.2076372315035799</v>
      </c>
      <c r="F9" s="51"/>
      <c r="G9" s="62"/>
      <c r="H9" s="51"/>
      <c r="I9" s="51"/>
      <c r="J9" s="51"/>
      <c r="K9" s="51"/>
      <c r="M9" s="63" t="s">
        <v>58</v>
      </c>
      <c r="N9" s="51"/>
    </row>
    <row r="10" spans="1:14" ht="15" customHeight="1" x14ac:dyDescent="0.25">
      <c r="A10" s="165" t="s">
        <v>81</v>
      </c>
      <c r="B10" s="165"/>
      <c r="C10" s="165"/>
      <c r="D10" s="165"/>
      <c r="E10" s="165"/>
      <c r="F10" s="165"/>
      <c r="G10" s="165"/>
      <c r="H10" s="165"/>
      <c r="I10" s="165"/>
      <c r="J10" s="165"/>
    </row>
    <row r="11" spans="1:14" ht="15" customHeight="1" x14ac:dyDescent="0.25">
      <c r="A11" s="129"/>
      <c r="B11" s="129"/>
      <c r="C11" s="129"/>
      <c r="D11" s="129"/>
      <c r="E11" s="129"/>
      <c r="F11" s="129"/>
      <c r="G11" s="129"/>
      <c r="H11" s="129"/>
      <c r="I11" s="129"/>
      <c r="J11" s="129"/>
    </row>
    <row r="12" spans="1:14" ht="30" x14ac:dyDescent="0.25">
      <c r="A12" s="64" t="str">
        <f>'Data Sheet'!A1</f>
        <v>PHOENIX LAMPS LIMITED</v>
      </c>
      <c r="B12" s="64" t="s">
        <v>82</v>
      </c>
      <c r="C12" s="65" t="s">
        <v>83</v>
      </c>
      <c r="D12" s="64" t="s">
        <v>11</v>
      </c>
      <c r="E12" s="64" t="s">
        <v>84</v>
      </c>
      <c r="F12" s="64" t="s">
        <v>85</v>
      </c>
      <c r="G12" s="64" t="s">
        <v>86</v>
      </c>
      <c r="H12" s="64" t="s">
        <v>87</v>
      </c>
      <c r="I12" s="64" t="s">
        <v>88</v>
      </c>
      <c r="J12" s="64" t="s">
        <v>89</v>
      </c>
      <c r="K12" s="64" t="s">
        <v>90</v>
      </c>
      <c r="L12" s="65" t="s">
        <v>91</v>
      </c>
    </row>
    <row r="13" spans="1:14" x14ac:dyDescent="0.25">
      <c r="A13" s="66" t="s">
        <v>92</v>
      </c>
      <c r="B13" s="67">
        <f>POWER('Other Input Data'!B25/'Other Input Data'!K25,1/9)-1</f>
        <v>7.5312195008205185E-2</v>
      </c>
      <c r="C13" s="68">
        <f>('Other Input Data'!B27/'Other Input Data'!K27)^(1/9)-1</f>
        <v>7.5312195008205185E-2</v>
      </c>
      <c r="D13" s="68">
        <f>('Other Input Data'!B30/'Other Input Data'!K30)^(1/9)-1</f>
        <v>0.13507863730000014</v>
      </c>
      <c r="E13" s="69">
        <f>POWER('Other Input Data'!B34/'Other Input Data'!K34,1/9)-1</f>
        <v>0.24739973479811761</v>
      </c>
      <c r="F13" s="68">
        <f>('Other Input Data'!B35/'Other Input Data'!K35)^(1/9)-1</f>
        <v>0.32185444672185892</v>
      </c>
      <c r="G13" s="69">
        <f>POWER(B60/K60,1/9)-1</f>
        <v>0.29747935353768429</v>
      </c>
      <c r="H13" s="69">
        <f>POWER(B62/K62,1/9)-1</f>
        <v>0.10494598880288453</v>
      </c>
      <c r="I13" s="68">
        <f>('Other Input Data'!B52/'Other Input Data'!K52)^(1/9)-1</f>
        <v>0.16422337084082983</v>
      </c>
      <c r="J13" s="68">
        <f>('Other Input Data'!B53/'Other Input Data'!K53)^(1/9)-1</f>
        <v>0.23561984147307902</v>
      </c>
      <c r="K13" s="68">
        <f>('Other Input Data'!B41/'Other Input Data'!K41)^(1/9)-1</f>
        <v>0.16538456028449033</v>
      </c>
      <c r="L13" s="68">
        <f>('Other Input Data'!B57/'Other Input Data'!K57)^(1/9)-1</f>
        <v>0.12352338840286259</v>
      </c>
    </row>
    <row r="14" spans="1:14" x14ac:dyDescent="0.25">
      <c r="A14" s="66" t="s">
        <v>93</v>
      </c>
      <c r="B14" s="67">
        <f>POWER('Other Input Data'!B25/'Other Input Data'!F25,1/4)-1</f>
        <v>-4.3148024910870553E-2</v>
      </c>
      <c r="C14" s="68">
        <f>('Other Input Data'!B27/'Other Input Data'!F27)^(1/4)-1</f>
        <v>-4.3148024910870553E-2</v>
      </c>
      <c r="D14" s="68">
        <f>('Other Input Data'!B30/'Other Input Data'!F30)^(1/4)-1</f>
        <v>0.46033248611232991</v>
      </c>
      <c r="E14" s="69" t="e">
        <f>POWER('Other Input Data'!B34/'Other Input Data'!F34,1/4)-1</f>
        <v>#NUM!</v>
      </c>
      <c r="F14" s="68" t="e">
        <f>('Other Input Data'!B35/'Other Input Data'!F35)^(1/4)-1</f>
        <v>#DIV/0!</v>
      </c>
      <c r="G14" s="69" t="e">
        <f>POWER(B60/F60,1/4)-1</f>
        <v>#NUM!</v>
      </c>
      <c r="H14" s="69">
        <f>POWER(B62/F62,1/4)-1</f>
        <v>-3.8902641246488012E-2</v>
      </c>
      <c r="I14" s="68">
        <f>('Other Input Data'!B52/'Other Input Data'!F52)^(1/4)-1</f>
        <v>0.25672291467704644</v>
      </c>
      <c r="J14" s="68">
        <f>('Other Input Data'!B53/'Other Input Data'!F53)^(1/4)-1</f>
        <v>0.56958734037690384</v>
      </c>
      <c r="K14" s="68">
        <f>('Other Input Data'!B41/'Other Input Data'!F41)^(1/4)-1</f>
        <v>4.9240420173425781E-2</v>
      </c>
      <c r="L14" s="68">
        <f>('Other Input Data'!B57/'Other Input Data'!F57)^(1/4)-1</f>
        <v>8.1486493642999314E-3</v>
      </c>
    </row>
    <row r="15" spans="1:14" x14ac:dyDescent="0.25">
      <c r="A15" s="66" t="s">
        <v>94</v>
      </c>
      <c r="B15" s="67">
        <f>POWER('Other Input Data'!B25/'Other Input Data'!D25,1/2)-1</f>
        <v>-9.5557964745981216E-2</v>
      </c>
      <c r="C15" s="68">
        <f>('Other Input Data'!B27/'Other Input Data'!D27)^(1/2)-1</f>
        <v>-9.5557964745981216E-2</v>
      </c>
      <c r="D15" s="68">
        <f>('Other Input Data'!B30/'Other Input Data'!D30)^(1/2)-1</f>
        <v>0.62916274833607955</v>
      </c>
      <c r="E15" s="69">
        <f>POWER('Other Input Data'!B34/'Other Input Data'!D34,1/2)-1</f>
        <v>2.9736434643518712</v>
      </c>
      <c r="F15" s="68" t="e">
        <f>('Other Input Data'!B35/'Other Input Data'!D35)^(1/2)-1</f>
        <v>#DIV/0!</v>
      </c>
      <c r="G15" s="69">
        <f>POWER(B60/D60,1/2)-1</f>
        <v>1.019463961622006</v>
      </c>
      <c r="H15" s="69">
        <f>POWER(B62/D62,1/2)-1</f>
        <v>-3.2127414543547173E-2</v>
      </c>
      <c r="I15" s="68" t="e">
        <f>('Other Input Data'!B52/'Other Input Data'!D52)^(1/2)-1</f>
        <v>#NUM!</v>
      </c>
      <c r="J15" s="68">
        <f>('Other Input Data'!B53/'Other Input Data'!D53)^(1/2)-1</f>
        <v>17.067441225376601</v>
      </c>
      <c r="K15" s="68">
        <f>('Other Input Data'!B41/'Other Input Data'!D41)^(1/2)-1</f>
        <v>0.11526351551106528</v>
      </c>
      <c r="L15" s="68">
        <f>('Other Input Data'!B57/'Other Input Data'!D57)^(1/2)-1</f>
        <v>6.4958211556849443E-2</v>
      </c>
    </row>
    <row r="16" spans="1:14" x14ac:dyDescent="0.25">
      <c r="A16" s="66" t="s">
        <v>95</v>
      </c>
      <c r="B16" s="67">
        <f>('Other Input Data'!B25-'Other Input Data'!C25)/'Other Input Data'!C25</f>
        <v>-0.1511683793742705</v>
      </c>
      <c r="C16" s="68">
        <f>('Other Input Data'!B27-'Other Input Data'!C27)/'Other Input Data'!C27</f>
        <v>-0.1511683793742705</v>
      </c>
      <c r="D16" s="68">
        <f>('Other Input Data'!B30-'Other Input Data'!C30)/'Other Input Data'!C30</f>
        <v>5.3350877192982455</v>
      </c>
      <c r="E16" s="69">
        <f>('Other Input Data'!B34-'Other Input Data'!C34)/'Other Input Data'!C34</f>
        <v>-11.54502923976608</v>
      </c>
      <c r="F16" s="68" t="e">
        <f>('Other Input Data'!B35-'Other Input Data'!C35)/'Other Input Data'!C35</f>
        <v>#DIV/0!</v>
      </c>
      <c r="G16" s="69">
        <f>(B60-C60)/C60</f>
        <v>-4.6553592084256756</v>
      </c>
      <c r="H16" s="69">
        <f>(B62-C62)/C62</f>
        <v>0.34742142203234655</v>
      </c>
      <c r="I16" s="68">
        <f>('Other Input Data'!B52-'Other Input Data'!C52)/'Other Input Data'!C52</f>
        <v>1.934412619344126</v>
      </c>
      <c r="J16" s="68">
        <f>('Other Input Data'!B53-'Other Input Data'!C53)/'Other Input Data'!C53</f>
        <v>4.472587222473944</v>
      </c>
      <c r="K16" s="68">
        <f>('Other Input Data'!B41-'Other Input Data'!C41)/'Other Input Data'!C41</f>
        <v>0.33957676722197205</v>
      </c>
      <c r="L16" s="68">
        <f>('Other Input Data'!B57-'Other Input Data'!C57)/'Other Input Data'!C57</f>
        <v>0.63129386634116569</v>
      </c>
    </row>
    <row r="17" spans="1:13" x14ac:dyDescent="0.25">
      <c r="A17" s="70"/>
      <c r="B17" s="71"/>
    </row>
    <row r="18" spans="1:13" x14ac:dyDescent="0.25">
      <c r="A18" s="64" t="str">
        <f>'Data Sheet'!A1</f>
        <v>PHOENIX LAMPS LIMITED</v>
      </c>
      <c r="B18" s="72">
        <f>'Other Input Data'!B24</f>
        <v>41729</v>
      </c>
      <c r="C18" s="72">
        <f>'Other Input Data'!C24</f>
        <v>41364</v>
      </c>
      <c r="D18" s="72">
        <f>'Other Input Data'!D24</f>
        <v>40999</v>
      </c>
      <c r="E18" s="72">
        <f>'Other Input Data'!E24</f>
        <v>40633</v>
      </c>
      <c r="F18" s="72">
        <f>'Other Input Data'!F24</f>
        <v>40268</v>
      </c>
      <c r="G18" s="72">
        <f>'Other Input Data'!G24</f>
        <v>39903</v>
      </c>
      <c r="H18" s="72">
        <f>'Other Input Data'!H24</f>
        <v>39538</v>
      </c>
      <c r="I18" s="72">
        <f>'Other Input Data'!I24</f>
        <v>39172</v>
      </c>
      <c r="J18" s="72">
        <f>'Other Input Data'!J24</f>
        <v>38807</v>
      </c>
      <c r="K18" s="72">
        <f>'Other Input Data'!K24</f>
        <v>38442</v>
      </c>
      <c r="M18" s="43" t="s">
        <v>96</v>
      </c>
    </row>
    <row r="19" spans="1:13" x14ac:dyDescent="0.25">
      <c r="A19" s="66" t="s">
        <v>97</v>
      </c>
      <c r="B19" s="73">
        <f>'Other Input Data'!B50/('Other Input Data'!B39+'Other Input Data'!B40)</f>
        <v>1.2800484001075558</v>
      </c>
      <c r="C19" s="73">
        <f>'Other Input Data'!C50/('Other Input Data'!C39+'Other Input Data'!C40)</f>
        <v>2.2226924808644757</v>
      </c>
      <c r="D19" s="73">
        <f>'Other Input Data'!D50/('Other Input Data'!D39+'Other Input Data'!D40)</f>
        <v>2.3563545150501675</v>
      </c>
      <c r="E19" s="73">
        <f>'Other Input Data'!E50/('Other Input Data'!E39+'Other Input Data'!E40)</f>
        <v>2.2791922739244956</v>
      </c>
      <c r="F19" s="73">
        <f>'Other Input Data'!F50/('Other Input Data'!F39+'Other Input Data'!F40)</f>
        <v>2.1861658790940197</v>
      </c>
      <c r="G19" s="73">
        <f>'Other Input Data'!G50/('Other Input Data'!G39+'Other Input Data'!G40)</f>
        <v>1.9945074290542921</v>
      </c>
      <c r="H19" s="73">
        <f>'Other Input Data'!H50/('Other Input Data'!H39+'Other Input Data'!H40)</f>
        <v>1.8330157385842334</v>
      </c>
      <c r="I19" s="73">
        <f>'Other Input Data'!I50/('Other Input Data'!I39+'Other Input Data'!I40)</f>
        <v>1.5463452036121996</v>
      </c>
      <c r="J19" s="73">
        <f>'Other Input Data'!J50/('Other Input Data'!J39+'Other Input Data'!J40)</f>
        <v>2.8706476637200073</v>
      </c>
      <c r="K19" s="73">
        <f>'Other Input Data'!K50/('Other Input Data'!K39+'Other Input Data'!K40)</f>
        <v>3.2627931769722811</v>
      </c>
      <c r="L19" s="43" t="s">
        <v>58</v>
      </c>
    </row>
    <row r="20" spans="1:13" x14ac:dyDescent="0.25">
      <c r="A20" s="66" t="s">
        <v>98</v>
      </c>
      <c r="B20" s="73">
        <f>('Other Input Data'!B42+'Other Input Data'!B43)/'Other Input Data'!B34</f>
        <v>0.31610470275066549</v>
      </c>
      <c r="C20" s="73">
        <f>('Other Input Data'!C42+'Other Input Data'!C43)/'Other Input Data'!C34</f>
        <v>-14.341520467836256</v>
      </c>
      <c r="D20" s="73">
        <f>('Other Input Data'!D42+'Other Input Data'!D43)/'Other Input Data'!D34</f>
        <v>26.105078809106832</v>
      </c>
      <c r="E20" s="73">
        <f>('Other Input Data'!E42+'Other Input Data'!E43)/'Other Input Data'!E34</f>
        <v>-14.993212669683258</v>
      </c>
      <c r="F20" s="73">
        <f>('Other Input Data'!F42+'Other Input Data'!F43)/'Other Input Data'!F34</f>
        <v>-6.8723404255319158</v>
      </c>
      <c r="G20" s="73">
        <f>('Other Input Data'!G42+'Other Input Data'!G43)/'Other Input Data'!G34</f>
        <v>78.570552147239269</v>
      </c>
      <c r="H20" s="73">
        <f>('Other Input Data'!H42+'Other Input Data'!H43)/'Other Input Data'!H34</f>
        <v>2.1847916666666669</v>
      </c>
      <c r="I20" s="73">
        <f>('Other Input Data'!I42+'Other Input Data'!I43)/'Other Input Data'!I34</f>
        <v>1.6196377502383221</v>
      </c>
      <c r="J20" s="73">
        <f>('Other Input Data'!J42+'Other Input Data'!J43)/'Other Input Data'!J34</f>
        <v>3.381331100879029</v>
      </c>
      <c r="K20" s="73">
        <f>('Other Input Data'!K42+'Other Input Data'!K43)/'Other Input Data'!K34</f>
        <v>4.9367396593673964</v>
      </c>
    </row>
    <row r="21" spans="1:13" x14ac:dyDescent="0.25">
      <c r="A21" s="66" t="s">
        <v>99</v>
      </c>
      <c r="B21" s="73">
        <f>'Other Input Data'!B10/'Other Input Data'!B34</f>
        <v>0</v>
      </c>
      <c r="C21" s="73">
        <f>'Other Input Data'!C10/'Other Input Data'!C34</f>
        <v>0</v>
      </c>
      <c r="D21" s="73">
        <f>'Other Input Data'!D10/'Other Input Data'!D34</f>
        <v>0</v>
      </c>
      <c r="E21" s="73">
        <f>'Other Input Data'!E10/'Other Input Data'!E34</f>
        <v>0</v>
      </c>
      <c r="F21" s="73">
        <f>'Other Input Data'!F10/'Other Input Data'!F34</f>
        <v>0</v>
      </c>
      <c r="G21" s="73">
        <f>'Other Input Data'!G10/'Other Input Data'!G34</f>
        <v>0</v>
      </c>
      <c r="H21" s="73">
        <f>'Other Input Data'!H10/'Other Input Data'!H34</f>
        <v>0</v>
      </c>
      <c r="I21" s="73">
        <f>'Other Input Data'!I10/'Other Input Data'!I34</f>
        <v>0</v>
      </c>
      <c r="J21" s="73">
        <v>0</v>
      </c>
      <c r="K21" s="73">
        <v>0</v>
      </c>
    </row>
    <row r="22" spans="1:13" x14ac:dyDescent="0.25">
      <c r="A22" s="66" t="s">
        <v>100</v>
      </c>
      <c r="B22" s="73">
        <f>('Other Input Data'!B42+'Other Input Data'!B43+'Other Input Data'!B10)/'Other Input Data'!B34</f>
        <v>0.31610470275066549</v>
      </c>
      <c r="C22" s="73">
        <f>('Other Input Data'!C42+'Other Input Data'!C43+'Other Input Data'!C10)/'Other Input Data'!C34</f>
        <v>-14.341520467836256</v>
      </c>
      <c r="D22" s="73">
        <f>('Other Input Data'!D42+'Other Input Data'!D43+'Other Input Data'!D10)/'Other Input Data'!D34</f>
        <v>26.105078809106832</v>
      </c>
      <c r="E22" s="73">
        <f>('Other Input Data'!E42+'Other Input Data'!E43+'Other Input Data'!E10)/'Other Input Data'!E34</f>
        <v>-14.993212669683258</v>
      </c>
      <c r="F22" s="73">
        <f>('Other Input Data'!F42+'Other Input Data'!F43+'Other Input Data'!F10)/'Other Input Data'!F34</f>
        <v>-6.8723404255319158</v>
      </c>
      <c r="G22" s="73">
        <f>('Other Input Data'!G42+'Other Input Data'!G43+'Other Input Data'!G10)/'Other Input Data'!G34</f>
        <v>78.570552147239269</v>
      </c>
      <c r="H22" s="73">
        <f>('Other Input Data'!H42+'Other Input Data'!H43+'Other Input Data'!H10)/'Other Input Data'!H34</f>
        <v>2.1847916666666669</v>
      </c>
      <c r="I22" s="73">
        <f>('Other Input Data'!I42+'Other Input Data'!I43+'Other Input Data'!I10)/'Other Input Data'!I34</f>
        <v>1.6196377502383221</v>
      </c>
      <c r="J22" s="73">
        <f>('Other Input Data'!J42+'Other Input Data'!J43+'Other Input Data'!J10)/'Other Input Data'!J34</f>
        <v>3.381331100879029</v>
      </c>
      <c r="K22" s="73">
        <f>('Other Input Data'!K42+'Other Input Data'!K43+'Other Input Data'!K10)/'Other Input Data'!K34</f>
        <v>4.9367396593673964</v>
      </c>
      <c r="L22" s="74"/>
    </row>
    <row r="23" spans="1:13" x14ac:dyDescent="0.25">
      <c r="A23" s="75" t="s">
        <v>101</v>
      </c>
      <c r="B23" s="73">
        <f>('Other Input Data'!B42+'Other Input Data'!B43)/('Other Input Data'!B39+'Other Input Data'!B40)</f>
        <v>0.19158375907502018</v>
      </c>
      <c r="C23" s="73">
        <f>('Other Input Data'!C42+'Other Input Data'!C43)/('Other Input Data'!C39+'Other Input Data'!C40)</f>
        <v>1.1041873030166591</v>
      </c>
      <c r="D23" s="73">
        <f>('Other Input Data'!D42+'Other Input Data'!D43)/('Other Input Data'!D39+'Other Input Data'!D40)</f>
        <v>1.2463210702341139</v>
      </c>
      <c r="E23" s="73">
        <f>('Other Input Data'!E42+'Other Input Data'!E43)/('Other Input Data'!E39+'Other Input Data'!E40)</f>
        <v>1.1636523266022827</v>
      </c>
      <c r="F23" s="73">
        <f>('Other Input Data'!F42+'Other Input Data'!F43)/('Other Input Data'!F39+'Other Input Data'!F40)</f>
        <v>1.0789473684210527</v>
      </c>
      <c r="G23" s="73">
        <f>('Other Input Data'!G42+'Other Input Data'!G43)/('Other Input Data'!G39+'Other Input Data'!G40)</f>
        <v>0.90183789873952536</v>
      </c>
      <c r="H23" s="73">
        <f>('Other Input Data'!H42+'Other Input Data'!H43)/('Other Input Data'!H39+'Other Input Data'!H40)</f>
        <v>0.74013691862516762</v>
      </c>
      <c r="I23" s="73">
        <f>('Other Input Data'!I42+'Other Input Data'!I43)/('Other Input Data'!I39+'Other Input Data'!I40)</f>
        <v>0.43423070369739308</v>
      </c>
      <c r="J23" s="73">
        <f>('Other Input Data'!J42+'Other Input Data'!J43)/('Other Input Data'!J39+'Other Input Data'!J40)</f>
        <v>1.4573335738769619</v>
      </c>
      <c r="K23" s="73">
        <f>('Other Input Data'!K42+'Other Input Data'!K43)/('Other Input Data'!K39+'Other Input Data'!K40)</f>
        <v>1.6223347547974412</v>
      </c>
    </row>
    <row r="24" spans="1:13" x14ac:dyDescent="0.25">
      <c r="A24" s="75" t="s">
        <v>102</v>
      </c>
      <c r="B24" s="73">
        <f>'Other Input Data'!B30/'Other Input Data'!B31</f>
        <v>6.3968113374667848</v>
      </c>
      <c r="C24" s="73">
        <f>'Other Input Data'!C30/'Other Input Data'!C31</f>
        <v>0.57114228456913829</v>
      </c>
      <c r="D24" s="73">
        <f>'Other Input Data'!D30/'Other Input Data'!D31</f>
        <v>1.1908096280087528</v>
      </c>
      <c r="E24" s="73">
        <f>'Other Input Data'!E30/'Other Input Data'!E31</f>
        <v>0.89578313253012032</v>
      </c>
      <c r="F24" s="73">
        <f>'Other Input Data'!F30/'Other Input Data'!F31</f>
        <v>0.85884261763115211</v>
      </c>
      <c r="G24" s="73">
        <f>'Other Input Data'!G30/'Other Input Data'!G31</f>
        <v>1.5654008438818565</v>
      </c>
      <c r="H24" s="73">
        <f>'Other Input Data'!H30/'Other Input Data'!H31</f>
        <v>7.858741258741258</v>
      </c>
      <c r="I24" s="73">
        <f>'Other Input Data'!I30/'Other Input Data'!I31</f>
        <v>4.9612724757952966</v>
      </c>
      <c r="J24" s="73">
        <f>'Other Input Data'!J30/'Other Input Data'!J31</f>
        <v>4.3604651162790695</v>
      </c>
      <c r="K24" s="73">
        <f>'Other Input Data'!K30/'Other Input Data'!K31</f>
        <v>3.0745672436751001</v>
      </c>
    </row>
    <row r="25" spans="1:13" s="45" customFormat="1" x14ac:dyDescent="0.25">
      <c r="A25" s="66" t="s">
        <v>103</v>
      </c>
      <c r="B25" s="76">
        <f>'Other Input Data'!B46/'Other Input Data'!B25</f>
        <v>0.21489430543572047</v>
      </c>
      <c r="C25" s="76">
        <f>'Other Input Data'!C46/'Other Input Data'!C25</f>
        <v>0.35632710045087312</v>
      </c>
      <c r="D25" s="76">
        <f>'Other Input Data'!D46/'Other Input Data'!D25</f>
        <v>0.39378901166765917</v>
      </c>
      <c r="E25" s="76">
        <f>'Other Input Data'!E46/'Other Input Data'!E25</f>
        <v>0.3361593389535022</v>
      </c>
      <c r="F25" s="76">
        <f>'Other Input Data'!F46/'Other Input Data'!F25</f>
        <v>0.33966187505650486</v>
      </c>
      <c r="G25" s="76">
        <f>'Other Input Data'!G46/'Other Input Data'!G25</f>
        <v>0.41804644381963973</v>
      </c>
      <c r="H25" s="76">
        <f>'Other Input Data'!H46/'Other Input Data'!H25</f>
        <v>0.41057058741062669</v>
      </c>
      <c r="I25" s="76">
        <f>'Other Input Data'!I46/'Other Input Data'!I25</f>
        <v>0.31054961667206565</v>
      </c>
      <c r="J25" s="76">
        <f>'Other Input Data'!J46/'Other Input Data'!J25</f>
        <v>0.31415434857339292</v>
      </c>
      <c r="K25" s="76">
        <f>'Other Input Data'!K46/'Other Input Data'!K25</f>
        <v>0.17751632631906292</v>
      </c>
    </row>
    <row r="26" spans="1:13" s="45" customFormat="1" x14ac:dyDescent="0.25">
      <c r="A26" s="66" t="s">
        <v>47</v>
      </c>
      <c r="B26" s="77">
        <f>'Other Input Data'!B7/'Other Input Data'!B25*365</f>
        <v>0</v>
      </c>
      <c r="C26" s="77">
        <f>'Other Input Data'!C7/'Other Input Data'!C25*365</f>
        <v>0</v>
      </c>
      <c r="D26" s="77">
        <f>'Other Input Data'!D7/'Other Input Data'!D25*365</f>
        <v>0</v>
      </c>
      <c r="E26" s="77">
        <f>'Other Input Data'!E7/'Other Input Data'!E25*365</f>
        <v>0</v>
      </c>
      <c r="F26" s="77">
        <f>'Other Input Data'!F7/'Other Input Data'!F25*365</f>
        <v>0</v>
      </c>
      <c r="G26" s="77">
        <f>'Other Input Data'!G7/'Other Input Data'!G25*365</f>
        <v>0</v>
      </c>
      <c r="H26" s="77">
        <f>'Other Input Data'!H7/'Other Input Data'!H25*365</f>
        <v>0</v>
      </c>
      <c r="I26" s="77">
        <f>'Other Input Data'!I7/'Other Input Data'!I25*365</f>
        <v>0</v>
      </c>
      <c r="J26" s="77">
        <f>'Other Input Data'!J7/'Other Input Data'!J25*365</f>
        <v>0</v>
      </c>
      <c r="K26" s="77">
        <f>'Other Input Data'!K7/'Other Input Data'!K25*365</f>
        <v>0</v>
      </c>
    </row>
    <row r="27" spans="1:13" s="45" customFormat="1" x14ac:dyDescent="0.25">
      <c r="A27" s="66" t="s">
        <v>104</v>
      </c>
      <c r="B27" s="77" t="e">
        <f>'Other Input Data'!B6/'Other Input Data'!B15*365</f>
        <v>#DIV/0!</v>
      </c>
      <c r="C27" s="77" t="e">
        <f>'Other Input Data'!C6/'Other Input Data'!C15*365</f>
        <v>#DIV/0!</v>
      </c>
      <c r="D27" s="77" t="e">
        <f>'Other Input Data'!D6/'Other Input Data'!D15*365</f>
        <v>#DIV/0!</v>
      </c>
      <c r="E27" s="77" t="e">
        <f>'Other Input Data'!E6/'Other Input Data'!E15*365</f>
        <v>#DIV/0!</v>
      </c>
      <c r="F27" s="77" t="e">
        <f>'Other Input Data'!F6/'Other Input Data'!F15*365</f>
        <v>#DIV/0!</v>
      </c>
      <c r="G27" s="77" t="e">
        <f>'Other Input Data'!G6/'Other Input Data'!G15*365</f>
        <v>#DIV/0!</v>
      </c>
      <c r="H27" s="77" t="e">
        <f>'Other Input Data'!H6/'Other Input Data'!H15*365</f>
        <v>#DIV/0!</v>
      </c>
      <c r="I27" s="77" t="e">
        <f>'Other Input Data'!I6/'Other Input Data'!I15*365</f>
        <v>#DIV/0!</v>
      </c>
      <c r="J27" s="77" t="e">
        <f>'Other Input Data'!J6/'Other Input Data'!J15*365</f>
        <v>#DIV/0!</v>
      </c>
      <c r="K27" s="77" t="e">
        <f>'Other Input Data'!K6/'Other Input Data'!K15*365</f>
        <v>#DIV/0!</v>
      </c>
    </row>
    <row r="28" spans="1:13" s="45" customFormat="1" x14ac:dyDescent="0.25">
      <c r="A28" s="66" t="s">
        <v>105</v>
      </c>
      <c r="B28" s="73" t="e">
        <f t="shared" ref="B28:K28" si="0">365/B27</f>
        <v>#DIV/0!</v>
      </c>
      <c r="C28" s="73" t="e">
        <f t="shared" si="0"/>
        <v>#DIV/0!</v>
      </c>
      <c r="D28" s="73" t="e">
        <f t="shared" si="0"/>
        <v>#DIV/0!</v>
      </c>
      <c r="E28" s="73" t="e">
        <f t="shared" si="0"/>
        <v>#DIV/0!</v>
      </c>
      <c r="F28" s="73" t="e">
        <f t="shared" si="0"/>
        <v>#DIV/0!</v>
      </c>
      <c r="G28" s="73" t="e">
        <f t="shared" si="0"/>
        <v>#DIV/0!</v>
      </c>
      <c r="H28" s="73" t="e">
        <f t="shared" si="0"/>
        <v>#DIV/0!</v>
      </c>
      <c r="I28" s="73" t="e">
        <f t="shared" si="0"/>
        <v>#DIV/0!</v>
      </c>
      <c r="J28" s="73" t="e">
        <f t="shared" si="0"/>
        <v>#DIV/0!</v>
      </c>
      <c r="K28" s="73" t="e">
        <f t="shared" si="0"/>
        <v>#DIV/0!</v>
      </c>
    </row>
    <row r="29" spans="1:13" s="45" customFormat="1" x14ac:dyDescent="0.25">
      <c r="A29" s="66" t="s">
        <v>106</v>
      </c>
      <c r="B29" s="73" t="e">
        <f>('Other Input Data'!B7+'Other Input Data'!B8)/'Other Input Data'!B10</f>
        <v>#DIV/0!</v>
      </c>
      <c r="C29" s="73" t="e">
        <f>('Other Input Data'!C7+'Other Input Data'!C8)/'Other Input Data'!C10</f>
        <v>#DIV/0!</v>
      </c>
      <c r="D29" s="73" t="e">
        <f>('Other Input Data'!D7+'Other Input Data'!D8)/'Other Input Data'!D10</f>
        <v>#DIV/0!</v>
      </c>
      <c r="E29" s="73" t="e">
        <f>('Other Input Data'!E7+'Other Input Data'!E8)/'Other Input Data'!E10</f>
        <v>#DIV/0!</v>
      </c>
      <c r="F29" s="73" t="e">
        <f>('Other Input Data'!F7+'Other Input Data'!F8)/'Other Input Data'!F10</f>
        <v>#DIV/0!</v>
      </c>
      <c r="G29" s="73" t="e">
        <f>('Other Input Data'!G7+'Other Input Data'!G8)/'Other Input Data'!G10</f>
        <v>#DIV/0!</v>
      </c>
      <c r="H29" s="73" t="e">
        <f>('Other Input Data'!H7+'Other Input Data'!H8)/'Other Input Data'!H10</f>
        <v>#DIV/0!</v>
      </c>
      <c r="I29" s="73" t="e">
        <f>('Other Input Data'!I7+'Other Input Data'!I8)/'Other Input Data'!I10</f>
        <v>#DIV/0!</v>
      </c>
      <c r="J29" s="73" t="e">
        <f>('Other Input Data'!J7+'Other Input Data'!J8)/'Other Input Data'!J10</f>
        <v>#DIV/0!</v>
      </c>
      <c r="K29" s="73" t="e">
        <f>('Other Input Data'!K7+'Other Input Data'!K8)/'Other Input Data'!K10</f>
        <v>#DIV/0!</v>
      </c>
      <c r="M29" s="45" t="s">
        <v>107</v>
      </c>
    </row>
    <row r="30" spans="1:13" s="45" customFormat="1" x14ac:dyDescent="0.25">
      <c r="A30" s="66" t="s">
        <v>108</v>
      </c>
      <c r="B30" s="73" t="e">
        <f>'Other Input Data'!B9/'Other Input Data'!B10</f>
        <v>#DIV/0!</v>
      </c>
      <c r="C30" s="73" t="e">
        <f>'Other Input Data'!C9/'Other Input Data'!C10</f>
        <v>#DIV/0!</v>
      </c>
      <c r="D30" s="73" t="e">
        <f>'Other Input Data'!D9/'Other Input Data'!D10</f>
        <v>#DIV/0!</v>
      </c>
      <c r="E30" s="73" t="e">
        <f>'Other Input Data'!E9/'Other Input Data'!E10</f>
        <v>#DIV/0!</v>
      </c>
      <c r="F30" s="73" t="e">
        <f>'Other Input Data'!F9/'Other Input Data'!F10</f>
        <v>#DIV/0!</v>
      </c>
      <c r="G30" s="73" t="e">
        <f>'Other Input Data'!G9/'Other Input Data'!G10</f>
        <v>#DIV/0!</v>
      </c>
      <c r="H30" s="73" t="e">
        <f>'Other Input Data'!H9/'Other Input Data'!H10</f>
        <v>#DIV/0!</v>
      </c>
      <c r="I30" s="73" t="e">
        <f>'Other Input Data'!I9/'Other Input Data'!I10</f>
        <v>#DIV/0!</v>
      </c>
      <c r="J30" s="73" t="e">
        <f>'Other Input Data'!J9/'Other Input Data'!J10</f>
        <v>#DIV/0!</v>
      </c>
      <c r="K30" s="73" t="e">
        <f>'Other Input Data'!K9/'Other Input Data'!K10</f>
        <v>#DIV/0!</v>
      </c>
      <c r="L30" s="45" t="s">
        <v>58</v>
      </c>
    </row>
    <row r="31" spans="1:13" s="45" customFormat="1" x14ac:dyDescent="0.25">
      <c r="A31" s="78" t="s">
        <v>109</v>
      </c>
      <c r="B31" s="73">
        <f>'Other Input Data'!B52/'Other Input Data'!B34</f>
        <v>0.78405057675244016</v>
      </c>
      <c r="C31" s="73">
        <f>'Other Input Data'!C52/'Other Input Data'!C34</f>
        <v>-2.8175438596491227</v>
      </c>
      <c r="D31" s="73">
        <f>'Other Input Data'!D52/'Other Input Data'!D34</f>
        <v>-0.19089316987740806</v>
      </c>
      <c r="E31" s="73">
        <f>'Other Input Data'!E52/'Other Input Data'!E34</f>
        <v>-2.7160633484162897</v>
      </c>
      <c r="F31" s="73">
        <f>'Other Input Data'!F52/'Other Input Data'!F34</f>
        <v>-1.4706798131811105</v>
      </c>
      <c r="G31" s="73">
        <f>'Other Input Data'!G52/'Other Input Data'!G34</f>
        <v>17.619631901840492</v>
      </c>
      <c r="H31" s="73">
        <f>'Other Input Data'!H52/'Other Input Data'!H34</f>
        <v>-0.17229166666666665</v>
      </c>
      <c r="I31" s="73">
        <f>'Other Input Data'!I52/'Other Input Data'!I34</f>
        <v>0.6367969494756911</v>
      </c>
      <c r="J31" s="73">
        <f>'Other Input Data'!J52/'Other Input Data'!J34</f>
        <v>0.82754290498116367</v>
      </c>
      <c r="K31" s="73">
        <f>'Other Input Data'!K52/'Other Input Data'!K34</f>
        <v>1.4590429845904298</v>
      </c>
    </row>
    <row r="32" spans="1:13" x14ac:dyDescent="0.25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43" t="s">
        <v>58</v>
      </c>
    </row>
    <row r="33" spans="1:14" x14ac:dyDescent="0.25">
      <c r="A33" s="79" t="s">
        <v>110</v>
      </c>
      <c r="B33" s="80">
        <f>'Other Input Data'!B27/'Other Input Data'!B25</f>
        <v>1</v>
      </c>
      <c r="C33" s="80">
        <f>'Other Input Data'!C27/'Other Input Data'!C25</f>
        <v>1</v>
      </c>
      <c r="D33" s="80">
        <f>'Other Input Data'!D27/'Other Input Data'!D25</f>
        <v>1</v>
      </c>
      <c r="E33" s="80">
        <f>'Other Input Data'!E27/'Other Input Data'!E25</f>
        <v>1</v>
      </c>
      <c r="F33" s="80">
        <f>'Other Input Data'!F27/'Other Input Data'!F25</f>
        <v>1</v>
      </c>
      <c r="G33" s="80">
        <f>'Other Input Data'!G27/'Other Input Data'!G25</f>
        <v>1</v>
      </c>
      <c r="H33" s="80">
        <f>'Other Input Data'!H27/'Other Input Data'!H25</f>
        <v>1</v>
      </c>
      <c r="I33" s="80">
        <f>'Other Input Data'!I27/'Other Input Data'!I25</f>
        <v>1</v>
      </c>
      <c r="J33" s="80">
        <f>'Other Input Data'!J27/'Other Input Data'!J25</f>
        <v>1</v>
      </c>
      <c r="K33" s="80">
        <f>'Other Input Data'!K27/'Other Input Data'!K25</f>
        <v>1</v>
      </c>
      <c r="L33" s="81"/>
      <c r="M33" s="81"/>
      <c r="N33" s="81"/>
    </row>
    <row r="34" spans="1:14" x14ac:dyDescent="0.25">
      <c r="A34" s="66" t="s">
        <v>111</v>
      </c>
      <c r="B34" s="67">
        <f>'Other Input Data'!B28/'Other Input Data'!B25</f>
        <v>0.21982851596203623</v>
      </c>
      <c r="C34" s="67">
        <f>'Other Input Data'!C28/'Other Input Data'!C25</f>
        <v>5.859062092326002E-2</v>
      </c>
      <c r="D34" s="67">
        <f>'Other Input Data'!D28/'Other Input Data'!D25</f>
        <v>9.1091554732129071E-2</v>
      </c>
      <c r="E34" s="67">
        <f>'Other Input Data'!E28/'Other Input Data'!E25</f>
        <v>6.7633080982972313E-2</v>
      </c>
      <c r="F34" s="67">
        <f>'Other Input Data'!F28/'Other Input Data'!F25</f>
        <v>6.5274387487568933E-2</v>
      </c>
      <c r="G34" s="67">
        <f>'Other Input Data'!G28/'Other Input Data'!G25</f>
        <v>9.7391440174945318E-2</v>
      </c>
      <c r="H34" s="67">
        <f>'Other Input Data'!H28/'Other Input Data'!H25</f>
        <v>0.18870040656105425</v>
      </c>
      <c r="I34" s="67">
        <f>'Other Input Data'!I28/'Other Input Data'!I25</f>
        <v>0.16780045351473924</v>
      </c>
      <c r="J34" s="67">
        <f>'Other Input Data'!J28/'Other Input Data'!J25</f>
        <v>0.19035751117222413</v>
      </c>
      <c r="K34" s="67">
        <f>'Other Input Data'!K28/'Other Input Data'!K25</f>
        <v>0.1965377837669742</v>
      </c>
      <c r="L34" s="81"/>
      <c r="M34" s="81"/>
      <c r="N34" s="81"/>
    </row>
    <row r="35" spans="1:14" x14ac:dyDescent="0.25">
      <c r="A35" s="66" t="s">
        <v>112</v>
      </c>
      <c r="B35" s="67">
        <f>'Other Input Data'!B34/'Other Input Data'!B25</f>
        <v>0.24309749784296808</v>
      </c>
      <c r="C35" s="67">
        <f>'Other Input Data'!C34/'Other Input Data'!C25</f>
        <v>-1.9568351909916921E-2</v>
      </c>
      <c r="D35" s="67">
        <f>'Other Input Data'!D34/'Other Input Data'!D25</f>
        <v>1.2594013983546174E-2</v>
      </c>
      <c r="E35" s="67">
        <f>'Other Input Data'!E34/'Other Input Data'!E25</f>
        <v>-2.1111456069543618E-2</v>
      </c>
      <c r="F35" s="67">
        <f>'Other Input Data'!F34/'Other Input Data'!F25</f>
        <v>-4.3553928216255311E-2</v>
      </c>
      <c r="G35" s="67">
        <f>'Other Input Data'!G34/'Other Input Data'!G25</f>
        <v>4.243465583671769E-3</v>
      </c>
      <c r="H35" s="67">
        <f>'Other Input Data'!H34/'Other Input Data'!H25</f>
        <v>0.13458572830506099</v>
      </c>
      <c r="I35" s="67">
        <f>'Other Input Data'!I34/'Other Input Data'!I25</f>
        <v>0.11327070510743981</v>
      </c>
      <c r="J35" s="67">
        <f>'Other Input Data'!J34/'Other Input Data'!J25</f>
        <v>0.10265555173599175</v>
      </c>
      <c r="K35" s="67">
        <f>'Other Input Data'!K34/'Other Input Data'!K25</f>
        <v>6.3905877474862649E-2</v>
      </c>
      <c r="L35" s="81"/>
      <c r="M35" s="81"/>
      <c r="N35" s="81"/>
    </row>
    <row r="36" spans="1:14" x14ac:dyDescent="0.25">
      <c r="A36" s="66" t="s">
        <v>113</v>
      </c>
      <c r="B36" s="67">
        <f>'Other Input Data'!B53/'Other Input Data'!B25</f>
        <v>0.32565789473684209</v>
      </c>
      <c r="C36" s="67">
        <f>'Other Input Data'!C53/'Other Input Data'!C25</f>
        <v>5.051152358501363E-2</v>
      </c>
      <c r="D36" s="67">
        <f>'Other Input Data'!D53/'Other Input Data'!D25</f>
        <v>8.1607446128056124E-4</v>
      </c>
      <c r="E36" s="67">
        <f>'Other Input Data'!E53/'Other Input Data'!E25</f>
        <v>2.3953382848136039E-2</v>
      </c>
      <c r="F36" s="67">
        <f>'Other Input Data'!F53/'Other Input Data'!F25</f>
        <v>4.4977850103968896E-2</v>
      </c>
      <c r="G36" s="67">
        <f>'Other Input Data'!G53/'Other Input Data'!G25</f>
        <v>2.0774757888159943E-2</v>
      </c>
      <c r="H36" s="67">
        <f>'Other Input Data'!H53/'Other Input Data'!H25</f>
        <v>-0.10503294546474133</v>
      </c>
      <c r="I36" s="67">
        <f>'Other Input Data'!I53/'Other Input Data'!I25</f>
        <v>7.1986466544275352E-5</v>
      </c>
      <c r="J36" s="67">
        <f>'Other Input Data'!J53/'Other Input Data'!J25</f>
        <v>3.3001031282227589E-2</v>
      </c>
      <c r="K36" s="67">
        <f>'Other Input Data'!K53/'Other Input Data'!K25</f>
        <v>9.3241422203793917E-2</v>
      </c>
      <c r="L36" s="81"/>
      <c r="M36" s="81"/>
      <c r="N36" s="81"/>
    </row>
    <row r="37" spans="1:14" x14ac:dyDescent="0.25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</row>
    <row r="38" spans="1:14" x14ac:dyDescent="0.25">
      <c r="A38" s="66" t="s">
        <v>114</v>
      </c>
      <c r="B38" s="73">
        <f>'Other Input Data'!B25/'Other Input Data'!B48</f>
        <v>3.3367521367521364</v>
      </c>
      <c r="C38" s="73">
        <f>'Other Input Data'!C25/'Other Input Data'!C48</f>
        <v>1.7722479110894784</v>
      </c>
      <c r="D38" s="73">
        <f>'Other Input Data'!D25/'Other Input Data'!D48</f>
        <v>1.6102212593671201</v>
      </c>
      <c r="E38" s="73">
        <f>'Other Input Data'!E25/'Other Input Data'!E48</f>
        <v>1.6145985964371099</v>
      </c>
      <c r="F38" s="73">
        <f>'Other Input Data'!F25/'Other Input Data'!F48</f>
        <v>1.6488652032944509</v>
      </c>
      <c r="G38" s="73">
        <f>'Other Input Data'!G25/'Other Input Data'!G48</f>
        <v>1.3564038278187789</v>
      </c>
      <c r="H38" s="73">
        <f>'Other Input Data'!H25/'Other Input Data'!H48</f>
        <v>1.3731038731038729</v>
      </c>
      <c r="I38" s="73">
        <f>'Other Input Data'!I25/'Other Input Data'!I48</f>
        <v>1.5306594677979175</v>
      </c>
      <c r="J38" s="73">
        <f>'Other Input Data'!J25/'Other Input Data'!J48</f>
        <v>1.463003709058905</v>
      </c>
      <c r="K38" s="73">
        <f>'Other Input Data'!K25/'Other Input Data'!K48</f>
        <v>1.5760496650874041</v>
      </c>
    </row>
    <row r="39" spans="1:14" s="45" customFormat="1" x14ac:dyDescent="0.25">
      <c r="A39" s="66" t="s">
        <v>115</v>
      </c>
      <c r="B39" s="73">
        <f>'Other Input Data'!B25/'Other Input Data'!B44</f>
        <v>11.815227779547627</v>
      </c>
      <c r="C39" s="73">
        <f>'Other Input Data'!C25/'Other Input Data'!C44</f>
        <v>4.809356081452945</v>
      </c>
      <c r="D39" s="73">
        <f>'Other Input Data'!D25/'Other Input Data'!D44</f>
        <v>4.4172837100545594</v>
      </c>
      <c r="E39" s="73">
        <f>'Other Input Data'!E25/'Other Input Data'!E44</f>
        <v>3.7993829960983581</v>
      </c>
      <c r="F39" s="73">
        <f>'Other Input Data'!F25/'Other Input Data'!F44</f>
        <v>4.1786928598413295</v>
      </c>
      <c r="G39" s="73">
        <f>'Other Input Data'!G25/'Other Input Data'!G44</f>
        <v>3.3615122079285902</v>
      </c>
      <c r="H39" s="73">
        <f>'Other Input Data'!H25/'Other Input Data'!H44</f>
        <v>3.7166527719883287</v>
      </c>
      <c r="I39" s="73">
        <f>'Other Input Data'!I25/'Other Input Data'!I44</f>
        <v>3.6556578947368421</v>
      </c>
      <c r="J39" s="73">
        <f>'Other Input Data'!J25/'Other Input Data'!J44</f>
        <v>2.8277035236938031</v>
      </c>
      <c r="K39" s="73">
        <f>'Other Input Data'!K25/'Other Input Data'!K44</f>
        <v>2.2779220779220779</v>
      </c>
    </row>
    <row r="40" spans="1:14" x14ac:dyDescent="0.25">
      <c r="A40" s="66" t="s">
        <v>116</v>
      </c>
      <c r="B40" s="73">
        <f>'Other Input Data'!B25/'Other Input Data'!B50</f>
        <v>1.9476945698981201</v>
      </c>
      <c r="C40" s="73">
        <f>'Other Input Data'!C25/'Other Input Data'!C50</f>
        <v>1.7701657010898189</v>
      </c>
      <c r="D40" s="73">
        <f>'Other Input Data'!D25/'Other Input Data'!D50</f>
        <v>1.6087928464977646</v>
      </c>
      <c r="E40" s="73">
        <f>'Other Input Data'!E25/'Other Input Data'!E50</f>
        <v>1.6129815100154083</v>
      </c>
      <c r="F40" s="73">
        <f>'Other Input Data'!F25/'Other Input Data'!F50</f>
        <v>1.6488652032944509</v>
      </c>
      <c r="G40" s="73">
        <f>'Other Input Data'!G25/'Other Input Data'!G50</f>
        <v>1.3561643835616437</v>
      </c>
      <c r="H40" s="73">
        <f>'Other Input Data'!H25/'Other Input Data'!H50</f>
        <v>1.373209610349607</v>
      </c>
      <c r="I40" s="73">
        <f>'Other Input Data'!I25/'Other Input Data'!I50</f>
        <v>1.5306594677979175</v>
      </c>
      <c r="J40" s="73">
        <f>'Other Input Data'!J25/'Other Input Data'!J50</f>
        <v>1.4625439919557566</v>
      </c>
      <c r="K40" s="73">
        <f>'Other Input Data'!K25/'Other Input Data'!K50</f>
        <v>1.5760496650874041</v>
      </c>
    </row>
    <row r="41" spans="1:14" x14ac:dyDescent="0.25">
      <c r="A41" s="66" t="s">
        <v>117</v>
      </c>
      <c r="B41" s="67">
        <f t="shared" ref="B41:K41" si="1">B35*B40</f>
        <v>0.4734796765045689</v>
      </c>
      <c r="C41" s="67">
        <f t="shared" si="1"/>
        <v>-3.4639225377790385E-2</v>
      </c>
      <c r="D41" s="67">
        <f t="shared" si="1"/>
        <v>2.0261159605421901E-2</v>
      </c>
      <c r="E41" s="67">
        <f t="shared" si="1"/>
        <v>-3.4052388289676425E-2</v>
      </c>
      <c r="F41" s="67">
        <f t="shared" si="1"/>
        <v>-7.1814556702567728E-2</v>
      </c>
      <c r="G41" s="67">
        <f t="shared" si="1"/>
        <v>5.7548368874452754E-3</v>
      </c>
      <c r="H41" s="67">
        <f t="shared" si="1"/>
        <v>0.18481441552441089</v>
      </c>
      <c r="I41" s="67">
        <f t="shared" si="1"/>
        <v>0.17337887719684866</v>
      </c>
      <c r="J41" s="67">
        <f t="shared" si="1"/>
        <v>0.15013826043237807</v>
      </c>
      <c r="K41" s="67">
        <f t="shared" si="1"/>
        <v>0.10071883679137396</v>
      </c>
    </row>
    <row r="42" spans="1:14" x14ac:dyDescent="0.25">
      <c r="A42" s="66" t="s">
        <v>118</v>
      </c>
      <c r="B42" s="67">
        <f t="shared" ref="B42:K42" si="2">B35*B40*B19</f>
        <v>0.60607690239311651</v>
      </c>
      <c r="C42" s="67">
        <f t="shared" si="2"/>
        <v>-7.6992345790184616E-2</v>
      </c>
      <c r="D42" s="67">
        <f t="shared" si="2"/>
        <v>4.7742474916387966E-2</v>
      </c>
      <c r="E42" s="67">
        <f t="shared" si="2"/>
        <v>-7.7611940298507473E-2</v>
      </c>
      <c r="F42" s="67">
        <f t="shared" si="2"/>
        <v>-0.15699853348541631</v>
      </c>
      <c r="G42" s="67">
        <f t="shared" si="2"/>
        <v>1.147806492500528E-2</v>
      </c>
      <c r="H42" s="67">
        <f t="shared" si="2"/>
        <v>0.33876773237349145</v>
      </c>
      <c r="I42" s="67">
        <f t="shared" si="2"/>
        <v>0.26810359516101551</v>
      </c>
      <c r="J42" s="67">
        <f t="shared" si="2"/>
        <v>0.43099404654519213</v>
      </c>
      <c r="K42" s="67">
        <f t="shared" si="2"/>
        <v>0.32862473347547971</v>
      </c>
    </row>
    <row r="43" spans="1:14" x14ac:dyDescent="0.25">
      <c r="A43" s="66" t="s">
        <v>119</v>
      </c>
      <c r="B43" s="67">
        <f>'Other Input Data'!B30/'Other Input Data'!B49</f>
        <v>0.30894934976043809</v>
      </c>
      <c r="C43" s="67">
        <f>'Other Input Data'!C30/'Other Input Data'!C49</f>
        <v>5.8148431522570772E-2</v>
      </c>
      <c r="D43" s="67">
        <f>'Other Input Data'!D30/'Other Input Data'!D49</f>
        <v>0.13299120234604106</v>
      </c>
      <c r="E43" s="67">
        <f>'Other Input Data'!E30/'Other Input Data'!E49</f>
        <v>7.4761186525892406E-2</v>
      </c>
      <c r="F43" s="67">
        <f>'Other Input Data'!F30/'Other Input Data'!F49</f>
        <v>7.6441705978627136E-2</v>
      </c>
      <c r="G43" s="67">
        <f>'Other Input Data'!G30/'Other Input Data'!G49</f>
        <v>0.11440024668516806</v>
      </c>
      <c r="H43" s="67">
        <f>'Other Input Data'!H30/'Other Input Data'!H49</f>
        <v>0.24787154263531694</v>
      </c>
      <c r="I43" s="67">
        <f>'Other Input Data'!I30/'Other Input Data'!I49</f>
        <v>0.17724083407451327</v>
      </c>
      <c r="J43" s="67">
        <f>'Other Input Data'!J30/'Other Input Data'!J49</f>
        <v>0.21362956633198033</v>
      </c>
      <c r="K43" s="67">
        <f>'Other Input Data'!K30/'Other Input Data'!K49</f>
        <v>0.18845902709761669</v>
      </c>
    </row>
    <row r="44" spans="1:14" x14ac:dyDescent="0.25">
      <c r="A44" s="66" t="s">
        <v>120</v>
      </c>
      <c r="B44" s="67">
        <f t="shared" ref="B44:K44" si="3">B58*(1-B51)</f>
        <v>0.5358806203191534</v>
      </c>
      <c r="C44" s="67">
        <f t="shared" si="3"/>
        <v>4.6239961061085424E-2</v>
      </c>
      <c r="D44" s="67">
        <f t="shared" si="3"/>
        <v>0.14219086522781832</v>
      </c>
      <c r="E44" s="67">
        <f t="shared" si="3"/>
        <v>4.6400578435878337E-3</v>
      </c>
      <c r="F44" s="67">
        <f t="shared" si="3"/>
        <v>4.6483050478388181E-2</v>
      </c>
      <c r="G44" s="67">
        <f t="shared" si="3"/>
        <v>9.8248612218449466E-2</v>
      </c>
      <c r="H44" s="67">
        <f t="shared" si="3"/>
        <v>0.19877461537331031</v>
      </c>
      <c r="I44" s="67">
        <f t="shared" si="3"/>
        <v>0.21500224556015116</v>
      </c>
      <c r="J44" s="67">
        <f t="shared" si="3"/>
        <v>0.17954555405825542</v>
      </c>
      <c r="K44" s="67">
        <f t="shared" si="3"/>
        <v>0.13797699088505969</v>
      </c>
    </row>
    <row r="45" spans="1:14" x14ac:dyDescent="0.25">
      <c r="A45" s="66" t="s">
        <v>225</v>
      </c>
      <c r="B45" s="67">
        <f>('Other Input Data'!B55-'Other Input Data'!C55)/('Other Input Data'!C48-'Other Input Data'!D48)</f>
        <v>-1.3749109605616301</v>
      </c>
      <c r="C45" s="67">
        <f>('Other Input Data'!C55-'Other Input Data'!D55)/('Other Input Data'!D48-'Other Input Data'!E48)</f>
        <v>-1.2881998165630579</v>
      </c>
      <c r="D45" s="67">
        <f>('Other Input Data'!D55-'Other Input Data'!E55)/('Other Input Data'!E48-'Other Input Data'!F48)</f>
        <v>-4.3196139400490203</v>
      </c>
      <c r="E45" s="67">
        <f>('Other Input Data'!E55-'Other Input Data'!F55)/('Other Input Data'!F48-'Other Input Data'!G48)</f>
        <v>0.75837445045153573</v>
      </c>
      <c r="F45" s="67">
        <f>('Other Input Data'!F55-'Other Input Data'!G55)/('Other Input Data'!G48-'Other Input Data'!H48)</f>
        <v>-0.6545939257687341</v>
      </c>
      <c r="G45" s="67">
        <f>('Other Input Data'!G55-'Other Input Data'!H55)/('Other Input Data'!H48-'Other Input Data'!I48)</f>
        <v>-0.3043166828955759</v>
      </c>
      <c r="H45" s="67">
        <f>('Other Input Data'!H55-'Other Input Data'!I55)/('Other Input Data'!I48-'Other Input Data'!J48)</f>
        <v>0.56170503589307419</v>
      </c>
      <c r="I45" s="67">
        <f>('Other Input Data'!I55-'Other Input Data'!J55)/('Other Input Data'!J48-'Other Input Data'!K48)</f>
        <v>0.28553195927902714</v>
      </c>
      <c r="J45" s="67">
        <f>('Other Input Data'!J55-'Other Input Data'!K55)/('Other Input Data'!K48-'Other Input Data'!L48)</f>
        <v>9.5320765070231059E-2</v>
      </c>
      <c r="K45" s="67"/>
    </row>
    <row r="46" spans="1:14" ht="15" customHeight="1" x14ac:dyDescent="0.25">
      <c r="A46" s="66" t="s">
        <v>226</v>
      </c>
      <c r="B46" s="67">
        <f>('Other Input Data'!B55-'Other Input Data'!E55)/('Other Input Data'!C48-'Other Input Data'!F48)</f>
        <v>-2.6782826226396446</v>
      </c>
      <c r="C46" s="67">
        <f>('Other Input Data'!C55-'Other Input Data'!F55)/('Other Input Data'!D48-'Other Input Data'!G48)</f>
        <v>0.66222033016413429</v>
      </c>
      <c r="D46" s="67">
        <f>('Other Input Data'!D55-'Other Input Data'!G55)/('Other Input Data'!E48-'Other Input Data'!H48)</f>
        <v>-30.534143570132624</v>
      </c>
      <c r="E46" s="67">
        <f>('Other Input Data'!E55-'Other Input Data'!H55)/('Other Input Data'!F48-'Other Input Data'!I48)</f>
        <v>-0.58081508864210496</v>
      </c>
      <c r="F46" s="67">
        <f>('Other Input Data'!F55-'Other Input Data'!I55)/('Other Input Data'!G48-'Other Input Data'!J48)</f>
        <v>-0.2139241109954651</v>
      </c>
      <c r="G46" s="67">
        <f>('Other Input Data'!G55-'Other Input Data'!J55)/('Other Input Data'!H48-'Other Input Data'!K48)</f>
        <v>-5.3691144036118795E-3</v>
      </c>
      <c r="H46" s="67">
        <f>('Other Input Data'!H55-'Other Input Data'!K55)/('Other Input Data'!I48-'Other Input Data'!L48)</f>
        <v>0.19138656477832963</v>
      </c>
      <c r="I46" s="166"/>
      <c r="J46" s="167"/>
      <c r="K46" s="168"/>
    </row>
    <row r="47" spans="1:14" ht="15" customHeight="1" x14ac:dyDescent="0.25">
      <c r="A47" s="66" t="s">
        <v>227</v>
      </c>
      <c r="B47" s="67">
        <f>('Other Input Data'!B55-'Other Input Data'!G55)/('Other Input Data'!C48-'Other Input Data'!G48)</f>
        <v>-0.86603291826278839</v>
      </c>
      <c r="C47" s="67">
        <f>('Other Input Data'!C55-'Other Input Data'!H55)/('Other Input Data'!D48-'Other Input Data'!H48)</f>
        <v>-1.8428638844280185</v>
      </c>
      <c r="D47" s="67">
        <f>('Other Input Data'!D55-'Other Input Data'!I55)/('Other Input Data'!E48-'Other Input Data'!I48)</f>
        <v>1.2997871393726932E-2</v>
      </c>
      <c r="E47" s="67">
        <f>('Other Input Data'!E55-'Other Input Data'!J55)/('Other Input Data'!F48-'Other Input Data'!J48)</f>
        <v>-0.25038402601950049</v>
      </c>
      <c r="F47" s="67">
        <f>('Other Input Data'!F55-'Other Input Data'!K55)/('Other Input Data'!G48-'Other Input Data'!K48)</f>
        <v>-2.7482405232836377E-2</v>
      </c>
      <c r="G47" s="67">
        <f>('Other Input Data'!G55-'Other Input Data'!L55)/('Other Input Data'!H48-'Other Input Data'!L48)</f>
        <v>0.10711875142120084</v>
      </c>
      <c r="H47" s="138"/>
      <c r="I47" s="140"/>
      <c r="J47" s="140"/>
      <c r="K47" s="141"/>
    </row>
    <row r="48" spans="1:14" ht="15" customHeight="1" x14ac:dyDescent="0.25">
      <c r="A48" s="66" t="s">
        <v>228</v>
      </c>
      <c r="B48" s="67">
        <f>('Other Input Data'!B55-'Other Input Data'!K55)/('Other Input Data'!C48-'Other Input Data'!K48)</f>
        <v>0.3437962272343289</v>
      </c>
      <c r="C48" s="166"/>
      <c r="D48" s="167"/>
      <c r="E48" s="167"/>
      <c r="F48" s="167"/>
      <c r="G48" s="167"/>
      <c r="H48" s="167"/>
      <c r="I48" s="167"/>
      <c r="J48" s="167"/>
      <c r="K48" s="168"/>
    </row>
    <row r="49" spans="1:11" x14ac:dyDescent="0.25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</row>
    <row r="50" spans="1:11" x14ac:dyDescent="0.25">
      <c r="A50" s="136" t="s">
        <v>121</v>
      </c>
      <c r="B50" s="137">
        <f>'Other Input Data'!B71</f>
        <v>4.6473479676504565</v>
      </c>
      <c r="C50" s="137">
        <f>'Other Input Data'!C71</f>
        <v>2.9496252481464973</v>
      </c>
      <c r="D50" s="137">
        <f>'Other Input Data'!D71</f>
        <v>3.1174118231495278</v>
      </c>
      <c r="E50" s="137">
        <f>'Other Input Data'!E71</f>
        <v>3.0937018489984589</v>
      </c>
      <c r="F50" s="137">
        <f>'Other Input Data'!F71</f>
        <v>2.8785525286028397</v>
      </c>
      <c r="G50" s="137">
        <f>'Other Input Data'!G71</f>
        <v>2.9544732382431862</v>
      </c>
      <c r="H50" s="137">
        <f>'Other Input Data'!H71</f>
        <v>3.9857346373017086</v>
      </c>
      <c r="I50" s="137">
        <f>'Other Input Data'!I71</f>
        <v>3.9495620076028874</v>
      </c>
      <c r="J50" s="137">
        <f>'Other Input Data'!J71</f>
        <v>3.4844142785319248</v>
      </c>
      <c r="K50" s="137">
        <f>'Other Input Data'!K71</f>
        <v>2.9932609050808692</v>
      </c>
    </row>
    <row r="51" spans="1:11" x14ac:dyDescent="0.25">
      <c r="A51" s="44" t="s">
        <v>122</v>
      </c>
      <c r="B51" s="82">
        <f>'Other Input Data'!B33/'Other Input Data'!B32</f>
        <v>0.17525434853954711</v>
      </c>
      <c r="C51" s="82">
        <f>'Other Input Data'!C33/'Other Input Data'!C32</f>
        <v>0</v>
      </c>
      <c r="D51" s="82">
        <f>'Other Input Data'!D33/'Other Input Data'!D32</f>
        <v>-0.47139588100686497</v>
      </c>
      <c r="E51" s="82">
        <f>'Other Input Data'!E33/'Other Input Data'!E32</f>
        <v>0.91907514450867056</v>
      </c>
      <c r="F51" s="82">
        <f>'Other Input Data'!F33/'Other Input Data'!F32</f>
        <v>0.21455938697318011</v>
      </c>
      <c r="G51" s="82">
        <f>'Other Input Data'!G33/'Other Input Data'!G32</f>
        <v>-7.1352502662406822E-2</v>
      </c>
      <c r="H51" s="82">
        <f>'Other Input Data'!H33/'Other Input Data'!H32</f>
        <v>8.1158238172920061E-2</v>
      </c>
      <c r="I51" s="82">
        <f>'Other Input Data'!I33/'Other Input Data'!I32</f>
        <v>-8.7958115183246074E-2</v>
      </c>
      <c r="J51" s="82">
        <f>'Other Input Data'!J33/'Other Input Data'!J32</f>
        <v>4.7989623865110249E-2</v>
      </c>
      <c r="K51" s="82">
        <f>'Other Input Data'!K33/'Other Input Data'!K32</f>
        <v>0.26846499678869618</v>
      </c>
    </row>
    <row r="52" spans="1:11" x14ac:dyDescent="0.25">
      <c r="A52" s="44" t="s">
        <v>123</v>
      </c>
      <c r="B52" s="82">
        <f>('Other Input Data'!B39-'Other Input Data'!C39)/'Other Input Data'!B39</f>
        <v>0</v>
      </c>
      <c r="C52" s="83">
        <f>('Other Input Data'!C39-'Other Input Data'!D39)/'Other Input Data'!C39</f>
        <v>0</v>
      </c>
      <c r="D52" s="82">
        <f>('Other Input Data'!D39-'Other Input Data'!E39)/'Other Input Data'!D39</f>
        <v>0</v>
      </c>
      <c r="E52" s="82">
        <f>('Other Input Data'!E39-'Other Input Data'!F39)/'Other Input Data'!E39</f>
        <v>0</v>
      </c>
      <c r="F52" s="83">
        <f>('Other Input Data'!F39-'Other Input Data'!G39)/'Other Input Data'!F39</f>
        <v>0</v>
      </c>
      <c r="G52" s="82">
        <f>('Other Input Data'!G39-'Other Input Data'!H39)/'Other Input Data'!G39</f>
        <v>0</v>
      </c>
      <c r="H52" s="82">
        <f>('Other Input Data'!H39-'Other Input Data'!I39)/'Other Input Data'!H39</f>
        <v>0</v>
      </c>
      <c r="I52" s="82">
        <f>('Other Input Data'!I39-'Other Input Data'!J39)/'Other Input Data'!I39</f>
        <v>0.14882226980728044</v>
      </c>
      <c r="J52" s="82">
        <f>('Other Input Data'!J39-'Other Input Data'!K39)/'Other Input Data'!J39</f>
        <v>0</v>
      </c>
      <c r="K52" s="82"/>
    </row>
    <row r="53" spans="1:11" x14ac:dyDescent="0.25">
      <c r="A53" s="44" t="s">
        <v>124</v>
      </c>
      <c r="B53" s="84" t="e">
        <f>(('Other Input Data'!B6-'Other Input Data'!C6)/'Other Input Data'!C6)/(('Other Input Data'!B25-'Other Input Data'!C25)/'Other Input Data'!C25)</f>
        <v>#DIV/0!</v>
      </c>
      <c r="C53" s="85" t="e">
        <f>(('Other Input Data'!C6-'Other Input Data'!D6)/'Other Input Data'!D6)/(('Other Input Data'!C25-'Other Input Data'!D25)/'Other Input Data'!D25)</f>
        <v>#DIV/0!</v>
      </c>
      <c r="D53" s="84" t="e">
        <f>(('Other Input Data'!D6-'Other Input Data'!E6)/'Other Input Data'!E6)/(('Other Input Data'!D25-'Other Input Data'!E25)/'Other Input Data'!E25)</f>
        <v>#DIV/0!</v>
      </c>
      <c r="E53" s="84" t="e">
        <f>(('Other Input Data'!E6-'Other Input Data'!F6)/'Other Input Data'!F6)/(('Other Input Data'!E25-'Other Input Data'!F25)/'Other Input Data'!F25)</f>
        <v>#DIV/0!</v>
      </c>
      <c r="F53" s="84" t="e">
        <f>(('Other Input Data'!F6-'Other Input Data'!G6)/'Other Input Data'!G6)/(('Other Input Data'!F25-'Other Input Data'!G25)/'Other Input Data'!G25)</f>
        <v>#DIV/0!</v>
      </c>
      <c r="G53" s="84" t="e">
        <f>(('Other Input Data'!G6-'Other Input Data'!H6)/'Other Input Data'!H6)/(('Other Input Data'!G25-'Other Input Data'!H25)/'Other Input Data'!H25)</f>
        <v>#DIV/0!</v>
      </c>
      <c r="H53" s="84" t="e">
        <f>(('Other Input Data'!H6-'Other Input Data'!I6)/'Other Input Data'!I6)/(('Other Input Data'!H25-'Other Input Data'!I25)/'Other Input Data'!I25)</f>
        <v>#DIV/0!</v>
      </c>
      <c r="I53" s="84" t="e">
        <f>(('Other Input Data'!I6-'Other Input Data'!J6)/'Other Input Data'!J6)/(('Other Input Data'!I25-'Other Input Data'!J25)/'Other Input Data'!J25)</f>
        <v>#DIV/0!</v>
      </c>
      <c r="J53" s="84" t="e">
        <f>(('Other Input Data'!J6-'Other Input Data'!K6)/'Other Input Data'!K6)/(('Other Input Data'!J25-'Other Input Data'!K25)/'Other Input Data'!K25)</f>
        <v>#DIV/0!</v>
      </c>
      <c r="K53" s="84"/>
    </row>
    <row r="54" spans="1:11" x14ac:dyDescent="0.25">
      <c r="A54" s="44" t="s">
        <v>125</v>
      </c>
      <c r="B54" s="84" t="e">
        <f>(('Other Input Data'!B7-'Other Input Data'!C7)/'Other Input Data'!C7)/(('Other Input Data'!B25-'Other Input Data'!C25)/'Other Input Data'!C25)</f>
        <v>#DIV/0!</v>
      </c>
      <c r="C54" s="85" t="e">
        <f>(('Other Input Data'!C7-'Other Input Data'!D7)/'Other Input Data'!D7)/(('Other Input Data'!C25-'Other Input Data'!D25)/'Other Input Data'!D25)</f>
        <v>#DIV/0!</v>
      </c>
      <c r="D54" s="84" t="e">
        <f>(('Other Input Data'!D7-'Other Input Data'!E7)/'Other Input Data'!E7)/(('Other Input Data'!D25-'Other Input Data'!E25)/'Other Input Data'!E25)</f>
        <v>#DIV/0!</v>
      </c>
      <c r="E54" s="84" t="e">
        <f>(('Other Input Data'!E7-'Other Input Data'!F7)/'Other Input Data'!F7)/(('Other Input Data'!E25-'Other Input Data'!F25)/'Other Input Data'!F25)</f>
        <v>#DIV/0!</v>
      </c>
      <c r="F54" s="84" t="e">
        <f>(('Other Input Data'!F7-'Other Input Data'!G7)/'Other Input Data'!G7)/(('Other Input Data'!F25-'Other Input Data'!G25)/'Other Input Data'!G25)</f>
        <v>#DIV/0!</v>
      </c>
      <c r="G54" s="84" t="e">
        <f>(('Other Input Data'!G7-'Other Input Data'!H7)/'Other Input Data'!H7)/(('Other Input Data'!G25-'Other Input Data'!H25)/'Other Input Data'!H25)</f>
        <v>#DIV/0!</v>
      </c>
      <c r="H54" s="84" t="e">
        <f>(('Other Input Data'!H7-'Other Input Data'!I7)/'Other Input Data'!I7)/(('Other Input Data'!H25-'Other Input Data'!I25)/'Other Input Data'!I25)</f>
        <v>#DIV/0!</v>
      </c>
      <c r="I54" s="84" t="e">
        <f>(('Other Input Data'!I7-'Other Input Data'!J7)/'Other Input Data'!J7)/(('Other Input Data'!I25-'Other Input Data'!J25)/'Other Input Data'!J25)</f>
        <v>#DIV/0!</v>
      </c>
      <c r="J54" s="84" t="e">
        <f>(('Other Input Data'!J7-'Other Input Data'!K7)/'Other Input Data'!K7)/(('Other Input Data'!J25-'Other Input Data'!K25)/'Other Input Data'!K25)</f>
        <v>#DIV/0!</v>
      </c>
      <c r="K54" s="84"/>
    </row>
    <row r="55" spans="1:11" x14ac:dyDescent="0.25">
      <c r="A55" s="44" t="s">
        <v>126</v>
      </c>
      <c r="B55" s="84">
        <f>'Other Input Data'!B23/'Other Input Data'!B29</f>
        <v>-5.3802363050483333</v>
      </c>
      <c r="C55" s="84">
        <f>'Other Input Data'!C23/'Other Input Data'!C29</f>
        <v>0.14225352112676004</v>
      </c>
      <c r="D55" s="84">
        <f>'Other Input Data'!D23/'Other Input Data'!D29</f>
        <v>-0.10361958836053894</v>
      </c>
      <c r="E55" s="84">
        <f>'Other Input Data'!E23/'Other Input Data'!E29</f>
        <v>1.0394052044609663</v>
      </c>
      <c r="F55" s="84">
        <f>'Other Input Data'!F23/'Other Input Data'!F29</f>
        <v>0.64923076923076917</v>
      </c>
      <c r="G55" s="84">
        <f>'Other Input Data'!G23/'Other Input Data'!G29</f>
        <v>1.8129370629370631</v>
      </c>
      <c r="H55" s="84">
        <f>'Other Input Data'!H23/'Other Input Data'!H29</f>
        <v>2.6273627362736272</v>
      </c>
      <c r="I55" s="84">
        <f>'Other Input Data'!I23/'Other Input Data'!I29</f>
        <v>1.8623255813953492</v>
      </c>
      <c r="J55" s="84">
        <f>'Other Input Data'!J23/'Other Input Data'!J29</f>
        <v>0.84545454545454501</v>
      </c>
      <c r="K55" s="84">
        <f>'Other Input Data'!K23/'Other Input Data'!K29</f>
        <v>0</v>
      </c>
    </row>
    <row r="56" spans="1:11" x14ac:dyDescent="0.25">
      <c r="A56" s="44" t="s">
        <v>20</v>
      </c>
      <c r="B56" s="82">
        <f>'Other Input Data'!B35/'Other Input Data'!B34</f>
        <v>0.41271073646850048</v>
      </c>
      <c r="C56" s="82">
        <f>'Other Input Data'!C35/'Other Input Data'!C34</f>
        <v>0</v>
      </c>
      <c r="D56" s="82">
        <f>'Other Input Data'!D35/'Other Input Data'!D34</f>
        <v>0</v>
      </c>
      <c r="E56" s="82">
        <f>'Other Input Data'!E35/'Other Input Data'!E34</f>
        <v>0</v>
      </c>
      <c r="F56" s="82">
        <f>'Other Input Data'!F35/'Other Input Data'!F34</f>
        <v>0</v>
      </c>
      <c r="G56" s="82">
        <f>'Other Input Data'!G35/'Other Input Data'!G34</f>
        <v>0.57055214723926384</v>
      </c>
      <c r="H56" s="82">
        <f>'Other Input Data'!H35/'Other Input Data'!H34</f>
        <v>0.19375000000000001</v>
      </c>
      <c r="I56" s="82">
        <f>'Other Input Data'!I35/'Other Input Data'!I34</f>
        <v>0.21703209405783286</v>
      </c>
      <c r="J56" s="82">
        <f>'Other Input Data'!J35/'Other Input Data'!J34</f>
        <v>0.16743407283382167</v>
      </c>
      <c r="K56" s="82">
        <f>'Other Input Data'!K35/'Other Input Data'!K34</f>
        <v>0.24493106244931062</v>
      </c>
    </row>
    <row r="57" spans="1:11" x14ac:dyDescent="0.25">
      <c r="A57" s="44" t="s">
        <v>127</v>
      </c>
      <c r="B57" s="84">
        <f>'Other Input Data'!B8/'Other Input Data'!B50</f>
        <v>0</v>
      </c>
      <c r="C57" s="84">
        <f>'Other Input Data'!C8/'Other Input Data'!C50</f>
        <v>0</v>
      </c>
      <c r="D57" s="84">
        <f>'Other Input Data'!D8/'Other Input Data'!D50</f>
        <v>0</v>
      </c>
      <c r="E57" s="84">
        <f>'Other Input Data'!E8/'Other Input Data'!E50</f>
        <v>0</v>
      </c>
      <c r="F57" s="84">
        <f>'Other Input Data'!F8/'Other Input Data'!F50</f>
        <v>0</v>
      </c>
      <c r="G57" s="84">
        <f>'Other Input Data'!G8/'Other Input Data'!G50</f>
        <v>0</v>
      </c>
      <c r="H57" s="84">
        <f>'Other Input Data'!H8/'Other Input Data'!H50</f>
        <v>0</v>
      </c>
      <c r="I57" s="84">
        <f>'Other Input Data'!I8/'Other Input Data'!I50</f>
        <v>0</v>
      </c>
      <c r="J57" s="84">
        <f>'Other Input Data'!J8/'Other Input Data'!J50</f>
        <v>0</v>
      </c>
      <c r="K57" s="84">
        <f>'Other Input Data'!K8/'Other Input Data'!K50</f>
        <v>0</v>
      </c>
    </row>
    <row r="58" spans="1:11" x14ac:dyDescent="0.25">
      <c r="A58" s="44" t="s">
        <v>128</v>
      </c>
      <c r="B58" s="82">
        <f>'Other Input Data'!B30/'Other Input Data'!B48</f>
        <v>0.64975258659469182</v>
      </c>
      <c r="C58" s="82">
        <f>'Other Input Data'!C30/'Other Input Data'!C48</f>
        <v>4.6239961061085424E-2</v>
      </c>
      <c r="D58" s="82">
        <f>'Other Input Data'!D30/'Other Input Data'!D48</f>
        <v>9.6636715559186001E-2</v>
      </c>
      <c r="E58" s="82">
        <f>'Other Input Data'!E30/'Other Input Data'!E48</f>
        <v>5.733785763862112E-2</v>
      </c>
      <c r="F58" s="82">
        <f>'Other Input Data'!F30/'Other Input Data'!F48</f>
        <v>5.9180859389557638E-2</v>
      </c>
      <c r="G58" s="82">
        <f>'Other Input Data'!G30/'Other Input Data'!G48</f>
        <v>9.1705215579646171E-2</v>
      </c>
      <c r="H58" s="82">
        <f>'Other Input Data'!H30/'Other Input Data'!H48</f>
        <v>0.21633171633171633</v>
      </c>
      <c r="I58" s="82">
        <f>'Other Input Data'!I30/'Other Input Data'!I48</f>
        <v>0.19761996584210237</v>
      </c>
      <c r="J58" s="82">
        <f>'Other Input Data'!J30/'Other Input Data'!J48</f>
        <v>0.18859621550260891</v>
      </c>
      <c r="K58" s="82">
        <f>'Other Input Data'!K30/'Other Input Data'!K48</f>
        <v>0.18861297173664435</v>
      </c>
    </row>
    <row r="59" spans="1:11" x14ac:dyDescent="0.25">
      <c r="A59" s="44" t="s">
        <v>129</v>
      </c>
      <c r="B59" s="82">
        <v>0.1</v>
      </c>
      <c r="C59" s="82">
        <v>0.1</v>
      </c>
      <c r="D59" s="82">
        <v>0.1</v>
      </c>
      <c r="E59" s="82">
        <v>0.1</v>
      </c>
      <c r="F59" s="82">
        <v>0.1</v>
      </c>
      <c r="G59" s="82">
        <v>0.1</v>
      </c>
      <c r="H59" s="82">
        <v>0.1</v>
      </c>
      <c r="I59" s="82">
        <v>0.1</v>
      </c>
      <c r="J59" s="82">
        <v>0.1</v>
      </c>
      <c r="K59" s="82">
        <v>0.1</v>
      </c>
    </row>
    <row r="60" spans="1:11" x14ac:dyDescent="0.25">
      <c r="A60" s="44" t="s">
        <v>86</v>
      </c>
      <c r="B60" s="84">
        <f>'Other Input Data'!B48*(B44-B59)</f>
        <v>48.448130948473903</v>
      </c>
      <c r="C60" s="84">
        <f>'Other Input Data'!C48*(C44-C59)</f>
        <v>-13.254</v>
      </c>
      <c r="D60" s="84">
        <f>'Other Input Data'!D48*(D44-D59)</f>
        <v>11.879681922196802</v>
      </c>
      <c r="E60" s="84">
        <f>'Other Input Data'!E48*(E44-E59)</f>
        <v>-24.730647398843931</v>
      </c>
      <c r="F60" s="84">
        <f>'Other Input Data'!F48*(F44-F59)</f>
        <v>-14.360203065134099</v>
      </c>
      <c r="G60" s="84">
        <f>'Other Input Data'!G48*(G44-G59)</f>
        <v>-0.49597550585729733</v>
      </c>
      <c r="H60" s="84">
        <f>'Other Input Data'!H48*(H44-H59)</f>
        <v>25.655718597063622</v>
      </c>
      <c r="I60" s="84">
        <f>'Other Input Data'!I48*(I44-I59)</f>
        <v>20.874057591623036</v>
      </c>
      <c r="J60" s="84">
        <f>'Other Input Data'!J48*(J44-J59)</f>
        <v>12.653311284046689</v>
      </c>
      <c r="K60" s="84">
        <f>'Other Input Data'!K48*(K44-K59)</f>
        <v>4.6491432241490065</v>
      </c>
    </row>
    <row r="61" spans="1:11" x14ac:dyDescent="0.25">
      <c r="A61" s="44" t="s">
        <v>130</v>
      </c>
      <c r="B61" s="82">
        <f>B60/'Other Input Data'!B25</f>
        <v>0.13063020639687745</v>
      </c>
      <c r="C61" s="82">
        <f>C60/'Other Input Data'!C25</f>
        <v>-3.0334378504565947E-2</v>
      </c>
      <c r="D61" s="82">
        <f>D60/'Other Input Data'!D25</f>
        <v>2.6201905472544171E-2</v>
      </c>
      <c r="E61" s="82">
        <f>E60/'Other Input Data'!E25</f>
        <v>-5.9061083272858236E-2</v>
      </c>
      <c r="F61" s="82">
        <f>F60/'Other Input Data'!F25</f>
        <v>-3.2456837232470163E-2</v>
      </c>
      <c r="G61" s="82">
        <f>G60/'Other Input Data'!G25</f>
        <v>-1.2911993800304522E-3</v>
      </c>
      <c r="H61" s="82">
        <f>H60/'Other Input Data'!H25</f>
        <v>7.1935282761989697E-2</v>
      </c>
      <c r="I61" s="82">
        <f>I60/'Other Input Data'!I25</f>
        <v>7.5132482423147379E-2</v>
      </c>
      <c r="J61" s="82">
        <f>J60/'Other Input Data'!J25</f>
        <v>5.4371396029764048E-2</v>
      </c>
      <c r="K61" s="82">
        <f>K60/'Other Input Data'!K25</f>
        <v>2.4096316078309352E-2</v>
      </c>
    </row>
    <row r="62" spans="1:11" ht="15" customHeight="1" x14ac:dyDescent="0.25">
      <c r="A62" s="86" t="s">
        <v>131</v>
      </c>
      <c r="B62" s="86">
        <f>'Data Sheet'!K17</f>
        <v>176.62</v>
      </c>
      <c r="C62" s="86">
        <f>'Data Sheet'!J17</f>
        <v>131.08000000000001</v>
      </c>
      <c r="D62" s="86">
        <f>'Data Sheet'!I17</f>
        <v>188.54</v>
      </c>
      <c r="E62" s="86">
        <f>'Data Sheet'!H17</f>
        <v>297.98</v>
      </c>
      <c r="F62" s="86">
        <f>'Data Sheet'!G17</f>
        <v>207</v>
      </c>
      <c r="G62" s="86">
        <f>'Data Sheet'!F17</f>
        <v>288.88</v>
      </c>
      <c r="H62" s="86">
        <f>'Data Sheet'!E17</f>
        <v>438.67</v>
      </c>
      <c r="I62" s="86">
        <f>'Data Sheet'!D17</f>
        <v>304.42</v>
      </c>
      <c r="J62" s="86">
        <f>'Data Sheet'!C17</f>
        <v>178.57</v>
      </c>
      <c r="K62" s="86">
        <f>'Data Sheet'!B17</f>
        <v>71.94</v>
      </c>
    </row>
    <row r="63" spans="1:11" ht="15" customHeight="1" x14ac:dyDescent="0.25">
      <c r="A63" s="87" t="s">
        <v>132</v>
      </c>
      <c r="B63" s="87">
        <f t="shared" ref="B63:K63" si="4">B62-C62</f>
        <v>45.539999999999992</v>
      </c>
      <c r="C63" s="87">
        <f t="shared" si="4"/>
        <v>-57.45999999999998</v>
      </c>
      <c r="D63" s="87">
        <f t="shared" si="4"/>
        <v>-109.44000000000003</v>
      </c>
      <c r="E63" s="87">
        <f t="shared" si="4"/>
        <v>90.980000000000018</v>
      </c>
      <c r="F63" s="87">
        <f t="shared" si="4"/>
        <v>-81.88</v>
      </c>
      <c r="G63" s="87">
        <f t="shared" si="4"/>
        <v>-149.79000000000002</v>
      </c>
      <c r="H63" s="87">
        <f t="shared" si="4"/>
        <v>134.25</v>
      </c>
      <c r="I63" s="87">
        <f t="shared" si="4"/>
        <v>125.85000000000002</v>
      </c>
      <c r="J63" s="87">
        <f t="shared" si="4"/>
        <v>106.63</v>
      </c>
      <c r="K63" s="87">
        <f t="shared" si="4"/>
        <v>71.94</v>
      </c>
    </row>
    <row r="64" spans="1:11" x14ac:dyDescent="0.25">
      <c r="A64" s="51" t="s">
        <v>133</v>
      </c>
      <c r="B64" s="62">
        <f t="shared" ref="B64:K64" si="5">B63-B60</f>
        <v>-2.9081309484739108</v>
      </c>
      <c r="C64" s="62">
        <f t="shared" si="5"/>
        <v>-44.205999999999982</v>
      </c>
      <c r="D64" s="62">
        <f t="shared" si="5"/>
        <v>-121.31968192219682</v>
      </c>
      <c r="E64" s="62">
        <f t="shared" si="5"/>
        <v>115.71064739884395</v>
      </c>
      <c r="F64" s="62">
        <f t="shared" si="5"/>
        <v>-67.519796934865894</v>
      </c>
      <c r="G64" s="62">
        <f t="shared" si="5"/>
        <v>-149.29402449414272</v>
      </c>
      <c r="H64" s="62">
        <f t="shared" si="5"/>
        <v>108.59428140293637</v>
      </c>
      <c r="I64" s="62">
        <f t="shared" si="5"/>
        <v>104.97594240837699</v>
      </c>
      <c r="J64" s="62">
        <f t="shared" si="5"/>
        <v>93.976688715953301</v>
      </c>
      <c r="K64" s="62">
        <f t="shared" si="5"/>
        <v>67.290856775850997</v>
      </c>
    </row>
    <row r="65" spans="1:11" x14ac:dyDescent="0.25">
      <c r="A65" s="130"/>
      <c r="B65" s="131"/>
      <c r="C65" s="131"/>
      <c r="D65" s="131"/>
      <c r="E65" s="131"/>
      <c r="F65" s="131"/>
      <c r="G65" s="131"/>
      <c r="H65" s="131"/>
      <c r="I65" s="131"/>
      <c r="J65" s="131"/>
      <c r="K65" s="131"/>
    </row>
    <row r="66" spans="1:11" x14ac:dyDescent="0.25">
      <c r="A66" s="88" t="s">
        <v>239</v>
      </c>
      <c r="B66" s="89">
        <f>SUM('Other Input Data'!B23:K23)/SUM('Other Input Data'!B52:K52)</f>
        <v>0.24490614829016008</v>
      </c>
      <c r="C66" s="90"/>
      <c r="D66" s="90"/>
      <c r="E66" s="90"/>
      <c r="F66" s="90"/>
      <c r="G66" s="90"/>
      <c r="H66" s="90"/>
      <c r="I66" s="90"/>
      <c r="J66" s="90"/>
      <c r="K66" s="90"/>
    </row>
    <row r="67" spans="1:11" x14ac:dyDescent="0.25">
      <c r="A67" s="88" t="s">
        <v>134</v>
      </c>
      <c r="B67" s="89">
        <f>SUM('Other Input Data'!B23:H23)/SUM('Other Input Data'!B52:H52)</f>
        <v>0.137065289206559</v>
      </c>
      <c r="C67" s="91"/>
      <c r="D67" s="91"/>
      <c r="E67" s="91"/>
      <c r="F67" s="91"/>
      <c r="G67" s="91"/>
      <c r="H67" s="91"/>
      <c r="I67" s="91"/>
      <c r="J67" s="91"/>
      <c r="K67" s="91"/>
    </row>
    <row r="68" spans="1:11" x14ac:dyDescent="0.25">
      <c r="A68" s="88" t="s">
        <v>135</v>
      </c>
      <c r="B68" s="89">
        <f>SUM('Other Input Data'!B23:F23)/SUM('Other Input Data'!B52:F52)</f>
        <v>-0.18563407285675154</v>
      </c>
      <c r="C68" s="92"/>
      <c r="D68" s="92"/>
      <c r="E68" s="92"/>
      <c r="F68" s="92"/>
      <c r="G68" s="92"/>
      <c r="H68" s="92"/>
      <c r="I68" s="92"/>
      <c r="J68" s="92"/>
      <c r="K68" s="92"/>
    </row>
    <row r="69" spans="1:11" x14ac:dyDescent="0.25">
      <c r="A69" s="88" t="s">
        <v>136</v>
      </c>
      <c r="B69" s="89">
        <f>SUM('Other Input Data'!B23:D23)/SUM('Other Input Data'!B52:D52)</f>
        <v>-0.52865834133845646</v>
      </c>
      <c r="C69" s="93"/>
      <c r="D69" s="93"/>
      <c r="E69" s="93"/>
      <c r="F69" s="93"/>
      <c r="G69" s="93"/>
      <c r="H69" s="93"/>
      <c r="I69" s="93"/>
      <c r="J69" s="93"/>
      <c r="K69" s="93"/>
    </row>
    <row r="70" spans="1:11" x14ac:dyDescent="0.25">
      <c r="A70" s="51" t="s">
        <v>137</v>
      </c>
      <c r="B70" s="62">
        <f>SUM('Other Input Data'!B23:K23)/SUM('Other Input Data'!B29:K29)</f>
        <v>0.43429791271347251</v>
      </c>
    </row>
    <row r="72" spans="1:11" x14ac:dyDescent="0.25">
      <c r="A72" s="144" t="s">
        <v>236</v>
      </c>
      <c r="B72" s="148">
        <f>AVERAGE(B34:D34)</f>
        <v>0.12317023053914178</v>
      </c>
    </row>
    <row r="73" spans="1:11" x14ac:dyDescent="0.25">
      <c r="A73" s="144" t="s">
        <v>229</v>
      </c>
      <c r="B73" s="148">
        <f>AVERAGE(B34:F34)</f>
        <v>0.10048363201759332</v>
      </c>
    </row>
    <row r="74" spans="1:11" x14ac:dyDescent="0.25">
      <c r="A74" s="144" t="s">
        <v>230</v>
      </c>
      <c r="B74" s="149">
        <f>AVERAGE(B38:D38)</f>
        <v>2.2397404357362451</v>
      </c>
    </row>
    <row r="75" spans="1:11" x14ac:dyDescent="0.25">
      <c r="A75" s="144" t="s">
        <v>231</v>
      </c>
      <c r="B75" s="149">
        <f>AVERAGE(B38:F38)</f>
        <v>1.9965370213880589</v>
      </c>
    </row>
    <row r="76" spans="1:11" x14ac:dyDescent="0.25">
      <c r="A76" s="144" t="s">
        <v>237</v>
      </c>
      <c r="B76" s="148">
        <f>AVERAGE(B44:D44)</f>
        <v>0.24143714886935239</v>
      </c>
    </row>
    <row r="77" spans="1:11" x14ac:dyDescent="0.25">
      <c r="A77" s="144" t="s">
        <v>238</v>
      </c>
      <c r="B77" s="148">
        <f>AVERAGE(B44:F44)</f>
        <v>0.15508691098600663</v>
      </c>
    </row>
    <row r="78" spans="1:11" x14ac:dyDescent="0.25">
      <c r="A78" s="144" t="s">
        <v>234</v>
      </c>
      <c r="B78" s="149">
        <f>AVERAGE('Other Input Data'!B48:D48)</f>
        <v>213.08666666666667</v>
      </c>
    </row>
    <row r="79" spans="1:11" x14ac:dyDescent="0.25">
      <c r="A79" s="144" t="s">
        <v>235</v>
      </c>
      <c r="B79" s="149">
        <f>AVERAGE('Other Input Data'!B48:F48)</f>
        <v>233.38599999999997</v>
      </c>
    </row>
    <row r="80" spans="1:11" x14ac:dyDescent="0.25">
      <c r="A80" s="144" t="s">
        <v>232</v>
      </c>
      <c r="B80" s="150">
        <f>AVERAGE(B61:D61)</f>
        <v>4.2165911121618556E-2</v>
      </c>
    </row>
    <row r="81" spans="1:2" x14ac:dyDescent="0.25">
      <c r="A81" s="144" t="s">
        <v>233</v>
      </c>
      <c r="B81" s="150">
        <f>AVERAGE(B61:F61)</f>
        <v>6.995962571905455E-3</v>
      </c>
    </row>
  </sheetData>
  <sheetProtection selectLockedCells="1" selectUnlockedCells="1"/>
  <mergeCells count="8">
    <mergeCell ref="A49:K49"/>
    <mergeCell ref="M4:N4"/>
    <mergeCell ref="F4:K4"/>
    <mergeCell ref="A10:J10"/>
    <mergeCell ref="A32:K32"/>
    <mergeCell ref="A37:K37"/>
    <mergeCell ref="I46:K46"/>
    <mergeCell ref="C48:K48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workbookViewId="0">
      <selection activeCell="B60" sqref="B60"/>
    </sheetView>
  </sheetViews>
  <sheetFormatPr defaultColWidth="9.140625" defaultRowHeight="12.75" x14ac:dyDescent="0.2"/>
  <cols>
    <col min="1" max="1" width="28" style="94" customWidth="1"/>
    <col min="2" max="2" width="9.7109375" style="94" customWidth="1"/>
    <col min="3" max="3" width="10.28515625" style="94" customWidth="1"/>
    <col min="4" max="11" width="9.140625" style="94"/>
    <col min="12" max="12" width="9.140625" style="94" customWidth="1"/>
    <col min="13" max="16384" width="9.140625" style="94"/>
  </cols>
  <sheetData>
    <row r="1" spans="1:12" s="43" customFormat="1" ht="15" x14ac:dyDescent="0.25">
      <c r="A1" s="70" t="str">
        <f>'Data Sheet'!A1</f>
        <v>PHOENIX LAMPS LIMITED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s="43" customFormat="1" ht="15" x14ac:dyDescent="0.25">
      <c r="A2" s="7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5" x14ac:dyDescent="0.25">
      <c r="A3" s="170" t="s">
        <v>138</v>
      </c>
      <c r="B3" s="170"/>
      <c r="C3" s="170"/>
      <c r="D3" s="170"/>
      <c r="E3" s="170"/>
      <c r="F3" s="170"/>
      <c r="G3" s="170"/>
      <c r="H3" s="170"/>
      <c r="I3" s="170"/>
      <c r="J3" s="170"/>
      <c r="K3" s="95"/>
    </row>
    <row r="4" spans="1:12" ht="15" x14ac:dyDescent="0.25">
      <c r="A4" s="64" t="str">
        <f>'Data Sheet'!A1</f>
        <v>PHOENIX LAMPS LIMITED</v>
      </c>
      <c r="B4" s="96">
        <f>'Data Sheet'!K$4</f>
        <v>41729</v>
      </c>
      <c r="C4" s="96">
        <f>'Data Sheet'!J$4</f>
        <v>41364</v>
      </c>
      <c r="D4" s="96">
        <f>'Data Sheet'!I$4</f>
        <v>40999</v>
      </c>
      <c r="E4" s="96">
        <f>'Data Sheet'!H$4</f>
        <v>40633</v>
      </c>
      <c r="F4" s="96">
        <f>'Data Sheet'!G$4</f>
        <v>40268</v>
      </c>
      <c r="G4" s="96">
        <f>'Data Sheet'!F$4</f>
        <v>39903</v>
      </c>
      <c r="H4" s="96">
        <f>'Data Sheet'!E$4</f>
        <v>39538</v>
      </c>
      <c r="I4" s="96">
        <f>'Data Sheet'!D$4</f>
        <v>39172</v>
      </c>
      <c r="J4" s="96">
        <f>'Data Sheet'!C$4</f>
        <v>38807</v>
      </c>
      <c r="K4" s="96">
        <f>'Data Sheet'!B$4</f>
        <v>38442</v>
      </c>
    </row>
    <row r="5" spans="1:12" x14ac:dyDescent="0.2">
      <c r="A5" s="97" t="s">
        <v>59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2" x14ac:dyDescent="0.2">
      <c r="A6" s="99" t="s">
        <v>46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2" x14ac:dyDescent="0.2">
      <c r="A7" s="99" t="s">
        <v>45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</row>
    <row r="8" spans="1:12" x14ac:dyDescent="0.2">
      <c r="A8" s="99" t="s">
        <v>139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2" x14ac:dyDescent="0.2">
      <c r="A9" s="99" t="s">
        <v>140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12" x14ac:dyDescent="0.2">
      <c r="A10" s="99" t="s">
        <v>141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2" x14ac:dyDescent="0.2">
      <c r="A11" s="99" t="s">
        <v>142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94" t="str">
        <f>IF(B11=B46,"CORRECT", "CHECK MC DATA")</f>
        <v>CHECK MC DATA</v>
      </c>
    </row>
    <row r="12" spans="1:12" ht="12.75" customHeight="1" x14ac:dyDescent="0.2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2" ht="15" x14ac:dyDescent="0.25">
      <c r="A13" s="170" t="s">
        <v>143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00"/>
    </row>
    <row r="14" spans="1:12" ht="15" x14ac:dyDescent="0.25">
      <c r="A14" s="101" t="s">
        <v>144</v>
      </c>
      <c r="B14" s="102">
        <f>'Data Sheet'!K$4</f>
        <v>41729</v>
      </c>
      <c r="C14" s="102">
        <f>'Data Sheet'!J$4</f>
        <v>41364</v>
      </c>
      <c r="D14" s="102">
        <f>'Data Sheet'!I$4</f>
        <v>40999</v>
      </c>
      <c r="E14" s="102">
        <f>'Data Sheet'!H$4</f>
        <v>40633</v>
      </c>
      <c r="F14" s="102">
        <f>'Data Sheet'!G$4</f>
        <v>40268</v>
      </c>
      <c r="G14" s="102">
        <f>'Data Sheet'!F$4</f>
        <v>39903</v>
      </c>
      <c r="H14" s="102">
        <f>'Data Sheet'!E$4</f>
        <v>39538</v>
      </c>
      <c r="I14" s="102">
        <f>'Data Sheet'!D$4</f>
        <v>39172</v>
      </c>
      <c r="J14" s="102">
        <f>'Data Sheet'!C$4</f>
        <v>38807</v>
      </c>
      <c r="K14" s="102">
        <f>'Data Sheet'!B$4</f>
        <v>38442</v>
      </c>
      <c r="L14" s="103"/>
    </row>
    <row r="15" spans="1:12" x14ac:dyDescent="0.2">
      <c r="A15" s="104" t="s">
        <v>145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3"/>
    </row>
    <row r="16" spans="1:12" x14ac:dyDescent="0.2">
      <c r="A16" s="104" t="s">
        <v>146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7"/>
    </row>
    <row r="17" spans="1:12" x14ac:dyDescent="0.2">
      <c r="A17" s="104" t="s">
        <v>147</v>
      </c>
      <c r="B17" s="105"/>
      <c r="C17" s="105"/>
      <c r="D17" s="105"/>
      <c r="E17" s="105"/>
      <c r="F17" s="106"/>
      <c r="G17" s="106"/>
      <c r="H17" s="106"/>
      <c r="I17" s="106"/>
      <c r="J17" s="106"/>
      <c r="K17" s="104"/>
      <c r="L17" s="107"/>
    </row>
    <row r="18" spans="1:12" x14ac:dyDescent="0.2">
      <c r="A18" s="104" t="s">
        <v>148</v>
      </c>
      <c r="B18" s="105"/>
      <c r="C18" s="105"/>
      <c r="D18" s="105"/>
      <c r="E18" s="105"/>
      <c r="F18" s="106"/>
      <c r="G18" s="106"/>
      <c r="H18" s="106"/>
      <c r="I18" s="106"/>
      <c r="J18" s="106"/>
      <c r="K18" s="104"/>
      <c r="L18" s="107"/>
    </row>
    <row r="19" spans="1:12" x14ac:dyDescent="0.2">
      <c r="A19" s="104" t="s">
        <v>149</v>
      </c>
      <c r="B19" s="105"/>
      <c r="C19" s="105"/>
      <c r="D19" s="105"/>
      <c r="E19" s="105"/>
      <c r="F19" s="106"/>
      <c r="G19" s="106"/>
      <c r="H19" s="106"/>
      <c r="I19" s="106"/>
      <c r="J19" s="106"/>
      <c r="K19" s="104"/>
      <c r="L19" s="107"/>
    </row>
    <row r="20" spans="1:12" x14ac:dyDescent="0.2">
      <c r="A20" s="104" t="s">
        <v>150</v>
      </c>
      <c r="B20" s="105"/>
      <c r="C20" s="105"/>
      <c r="D20" s="105"/>
      <c r="E20" s="105"/>
      <c r="F20" s="106"/>
      <c r="G20" s="106"/>
      <c r="H20" s="106"/>
      <c r="I20" s="106"/>
      <c r="J20" s="106"/>
      <c r="K20" s="104"/>
      <c r="L20" s="107"/>
    </row>
    <row r="21" spans="1:12" x14ac:dyDescent="0.2">
      <c r="A21" s="104" t="s">
        <v>151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4"/>
      <c r="L21" s="107"/>
    </row>
    <row r="22" spans="1:12" x14ac:dyDescent="0.2">
      <c r="A22" s="104" t="s">
        <v>152</v>
      </c>
      <c r="B22" s="105"/>
      <c r="C22" s="105"/>
      <c r="D22" s="105"/>
      <c r="E22" s="105"/>
      <c r="F22" s="106"/>
      <c r="G22" s="106"/>
      <c r="H22" s="106"/>
      <c r="I22" s="106"/>
      <c r="J22" s="106"/>
      <c r="K22" s="104"/>
      <c r="L22" s="107"/>
    </row>
    <row r="23" spans="1:12" x14ac:dyDescent="0.2">
      <c r="A23" s="104" t="s">
        <v>153</v>
      </c>
      <c r="B23" s="105">
        <f>(B44-C44)+(B45-C45)+B29</f>
        <v>-50.089999999999989</v>
      </c>
      <c r="C23" s="105">
        <f t="shared" ref="C23:J23" si="0">(C44-D44)+(C45-D45)+C29</f>
        <v>2.0199999999999925</v>
      </c>
      <c r="D23" s="105">
        <f t="shared" si="0"/>
        <v>-1.4599999999999937</v>
      </c>
      <c r="E23" s="105">
        <f t="shared" si="0"/>
        <v>13.979999999999997</v>
      </c>
      <c r="F23" s="105">
        <f t="shared" si="0"/>
        <v>8.44</v>
      </c>
      <c r="G23" s="105">
        <f t="shared" si="0"/>
        <v>20.740000000000002</v>
      </c>
      <c r="H23" s="105">
        <f t="shared" si="0"/>
        <v>29.189999999999994</v>
      </c>
      <c r="I23" s="105">
        <f t="shared" si="0"/>
        <v>20.020000000000003</v>
      </c>
      <c r="J23" s="105">
        <f t="shared" si="0"/>
        <v>12.089999999999995</v>
      </c>
      <c r="K23" s="105"/>
      <c r="L23" s="107"/>
    </row>
    <row r="24" spans="1:12" ht="15" x14ac:dyDescent="0.25">
      <c r="A24" s="145" t="str">
        <f>'Data Sheet'!A1</f>
        <v>PHOENIX LAMPS LIMITED</v>
      </c>
      <c r="B24" s="146">
        <f>'Data Sheet'!K$4</f>
        <v>41729</v>
      </c>
      <c r="C24" s="146">
        <f>'Data Sheet'!J$4</f>
        <v>41364</v>
      </c>
      <c r="D24" s="146">
        <f>'Data Sheet'!I$4</f>
        <v>40999</v>
      </c>
      <c r="E24" s="146">
        <f>'Data Sheet'!H$4</f>
        <v>40633</v>
      </c>
      <c r="F24" s="146">
        <f>'Data Sheet'!G$4</f>
        <v>40268</v>
      </c>
      <c r="G24" s="146">
        <f>'Data Sheet'!F$4</f>
        <v>39903</v>
      </c>
      <c r="H24" s="146">
        <f>'Data Sheet'!E$4</f>
        <v>39538</v>
      </c>
      <c r="I24" s="146">
        <f>'Data Sheet'!D$4</f>
        <v>39172</v>
      </c>
      <c r="J24" s="146">
        <f>'Data Sheet'!C$4</f>
        <v>38807</v>
      </c>
      <c r="K24" s="146">
        <f>'Data Sheet'!B$4</f>
        <v>38442</v>
      </c>
      <c r="L24" s="103"/>
    </row>
    <row r="25" spans="1:12" x14ac:dyDescent="0.2">
      <c r="A25" s="135" t="s">
        <v>5</v>
      </c>
      <c r="B25" s="135">
        <f>'Data Sheet'!K6</f>
        <v>370.88</v>
      </c>
      <c r="C25" s="135">
        <f>'Data Sheet'!J6</f>
        <v>436.93</v>
      </c>
      <c r="D25" s="135">
        <f>'Data Sheet'!I6</f>
        <v>453.39</v>
      </c>
      <c r="E25" s="135">
        <f>'Data Sheet'!H6</f>
        <v>418.73</v>
      </c>
      <c r="F25" s="135">
        <f>'Data Sheet'!G6</f>
        <v>442.44</v>
      </c>
      <c r="G25" s="135">
        <f>'Data Sheet'!F6</f>
        <v>384.12</v>
      </c>
      <c r="H25" s="135">
        <f>'Data Sheet'!E6</f>
        <v>356.65</v>
      </c>
      <c r="I25" s="135">
        <f>'Data Sheet'!D6</f>
        <v>277.83</v>
      </c>
      <c r="J25" s="135">
        <f>'Data Sheet'!C6</f>
        <v>232.72</v>
      </c>
      <c r="K25" s="135">
        <f>'Data Sheet'!B6</f>
        <v>192.94</v>
      </c>
    </row>
    <row r="26" spans="1:12" x14ac:dyDescent="0.2">
      <c r="A26" s="135" t="str">
        <f t="shared" ref="A26:K26" si="1">A15</f>
        <v>Raw Materials</v>
      </c>
      <c r="B26" s="135">
        <f t="shared" si="1"/>
        <v>0</v>
      </c>
      <c r="C26" s="135">
        <f t="shared" si="1"/>
        <v>0</v>
      </c>
      <c r="D26" s="135">
        <f t="shared" si="1"/>
        <v>0</v>
      </c>
      <c r="E26" s="135">
        <f t="shared" si="1"/>
        <v>0</v>
      </c>
      <c r="F26" s="135">
        <f t="shared" si="1"/>
        <v>0</v>
      </c>
      <c r="G26" s="135">
        <f t="shared" si="1"/>
        <v>0</v>
      </c>
      <c r="H26" s="135">
        <f t="shared" si="1"/>
        <v>0</v>
      </c>
      <c r="I26" s="135">
        <f t="shared" si="1"/>
        <v>0</v>
      </c>
      <c r="J26" s="135">
        <f t="shared" si="1"/>
        <v>0</v>
      </c>
      <c r="K26" s="135">
        <f t="shared" si="1"/>
        <v>0</v>
      </c>
    </row>
    <row r="27" spans="1:12" x14ac:dyDescent="0.2">
      <c r="A27" s="135" t="s">
        <v>154</v>
      </c>
      <c r="B27" s="135">
        <f t="shared" ref="B27:K27" si="2">B25-B26</f>
        <v>370.88</v>
      </c>
      <c r="C27" s="135">
        <f t="shared" si="2"/>
        <v>436.93</v>
      </c>
      <c r="D27" s="135">
        <f t="shared" si="2"/>
        <v>453.39</v>
      </c>
      <c r="E27" s="135">
        <f t="shared" si="2"/>
        <v>418.73</v>
      </c>
      <c r="F27" s="135">
        <f t="shared" si="2"/>
        <v>442.44</v>
      </c>
      <c r="G27" s="135">
        <f t="shared" si="2"/>
        <v>384.12</v>
      </c>
      <c r="H27" s="135">
        <f t="shared" si="2"/>
        <v>356.65</v>
      </c>
      <c r="I27" s="135">
        <f t="shared" si="2"/>
        <v>277.83</v>
      </c>
      <c r="J27" s="135">
        <f t="shared" si="2"/>
        <v>232.72</v>
      </c>
      <c r="K27" s="135">
        <f t="shared" si="2"/>
        <v>192.94</v>
      </c>
    </row>
    <row r="28" spans="1:12" x14ac:dyDescent="0.2">
      <c r="A28" s="135" t="s">
        <v>155</v>
      </c>
      <c r="B28" s="135">
        <f>'Data Sheet'!K9</f>
        <v>81.53</v>
      </c>
      <c r="C28" s="135">
        <f>'Data Sheet'!J9</f>
        <v>25.6</v>
      </c>
      <c r="D28" s="135">
        <f>'Data Sheet'!I9</f>
        <v>41.3</v>
      </c>
      <c r="E28" s="135">
        <f>'Data Sheet'!H9</f>
        <v>28.32</v>
      </c>
      <c r="F28" s="135">
        <f>'Data Sheet'!G9</f>
        <v>28.88</v>
      </c>
      <c r="G28" s="135">
        <f>'Data Sheet'!F9</f>
        <v>37.409999999999997</v>
      </c>
      <c r="H28" s="135">
        <f>'Data Sheet'!E9</f>
        <v>67.3</v>
      </c>
      <c r="I28" s="135">
        <f>'Data Sheet'!D9</f>
        <v>46.62</v>
      </c>
      <c r="J28" s="135">
        <f>'Data Sheet'!C9</f>
        <v>44.3</v>
      </c>
      <c r="K28" s="135">
        <f>'Data Sheet'!B9</f>
        <v>37.92</v>
      </c>
    </row>
    <row r="29" spans="1:12" x14ac:dyDescent="0.2">
      <c r="A29" s="135" t="s">
        <v>156</v>
      </c>
      <c r="B29" s="135">
        <f>'Data Sheet'!K10</f>
        <v>9.31</v>
      </c>
      <c r="C29" s="135">
        <f>'Data Sheet'!J10</f>
        <v>14.2</v>
      </c>
      <c r="D29" s="135">
        <f>'Data Sheet'!I10</f>
        <v>14.09</v>
      </c>
      <c r="E29" s="135">
        <f>'Data Sheet'!H10</f>
        <v>13.45</v>
      </c>
      <c r="F29" s="135">
        <f>'Data Sheet'!G10</f>
        <v>13</v>
      </c>
      <c r="G29" s="135">
        <f>'Data Sheet'!F10</f>
        <v>11.44</v>
      </c>
      <c r="H29" s="135">
        <f>'Data Sheet'!E10</f>
        <v>11.11</v>
      </c>
      <c r="I29" s="135">
        <f>'Data Sheet'!D10</f>
        <v>10.75</v>
      </c>
      <c r="J29" s="135">
        <f>'Data Sheet'!C10</f>
        <v>14.3</v>
      </c>
      <c r="K29" s="135">
        <f>'Data Sheet'!B10</f>
        <v>14.83</v>
      </c>
    </row>
    <row r="30" spans="1:12" x14ac:dyDescent="0.2">
      <c r="A30" s="135" t="s">
        <v>11</v>
      </c>
      <c r="B30" s="135">
        <f>'Data Sheet'!K11</f>
        <v>72.22</v>
      </c>
      <c r="C30" s="135">
        <f>'Data Sheet'!J11</f>
        <v>11.4</v>
      </c>
      <c r="D30" s="135">
        <f>'Data Sheet'!I11</f>
        <v>27.21</v>
      </c>
      <c r="E30" s="135">
        <f>'Data Sheet'!H11</f>
        <v>14.87</v>
      </c>
      <c r="F30" s="135">
        <f>'Data Sheet'!G11</f>
        <v>15.88</v>
      </c>
      <c r="G30" s="135">
        <f>'Data Sheet'!F11</f>
        <v>25.97</v>
      </c>
      <c r="H30" s="135">
        <f>'Data Sheet'!E11</f>
        <v>56.19</v>
      </c>
      <c r="I30" s="135">
        <f>'Data Sheet'!D11</f>
        <v>35.869999999999997</v>
      </c>
      <c r="J30" s="135">
        <f>'Data Sheet'!C11</f>
        <v>30</v>
      </c>
      <c r="K30" s="135">
        <f>'Data Sheet'!B11</f>
        <v>23.09</v>
      </c>
    </row>
    <row r="31" spans="1:12" x14ac:dyDescent="0.2">
      <c r="A31" s="135" t="s">
        <v>12</v>
      </c>
      <c r="B31" s="135">
        <f>'Data Sheet'!K12</f>
        <v>11.29</v>
      </c>
      <c r="C31" s="135">
        <f>'Data Sheet'!J12</f>
        <v>19.96</v>
      </c>
      <c r="D31" s="135">
        <f>'Data Sheet'!I12</f>
        <v>22.85</v>
      </c>
      <c r="E31" s="135">
        <f>'Data Sheet'!H12</f>
        <v>16.600000000000001</v>
      </c>
      <c r="F31" s="135">
        <f>'Data Sheet'!G12</f>
        <v>18.489999999999998</v>
      </c>
      <c r="G31" s="135">
        <f>'Data Sheet'!F12</f>
        <v>16.59</v>
      </c>
      <c r="H31" s="135">
        <f>'Data Sheet'!E12</f>
        <v>7.15</v>
      </c>
      <c r="I31" s="135">
        <f>'Data Sheet'!D12</f>
        <v>7.23</v>
      </c>
      <c r="J31" s="135">
        <f>'Data Sheet'!C12</f>
        <v>6.88</v>
      </c>
      <c r="K31" s="135">
        <f>'Data Sheet'!B12</f>
        <v>7.51</v>
      </c>
    </row>
    <row r="32" spans="1:12" x14ac:dyDescent="0.2">
      <c r="A32" s="135" t="s">
        <v>157</v>
      </c>
      <c r="B32" s="135">
        <f>'Data Sheet'!K13</f>
        <v>60.94</v>
      </c>
      <c r="C32" s="135">
        <f>'Data Sheet'!J13</f>
        <v>-8.5500000000000007</v>
      </c>
      <c r="D32" s="135">
        <f>'Data Sheet'!I13</f>
        <v>4.37</v>
      </c>
      <c r="E32" s="135">
        <f>'Data Sheet'!H13</f>
        <v>-1.73</v>
      </c>
      <c r="F32" s="135">
        <f>'Data Sheet'!G13</f>
        <v>-2.61</v>
      </c>
      <c r="G32" s="135">
        <f>'Data Sheet'!F13</f>
        <v>9.39</v>
      </c>
      <c r="H32" s="135">
        <f>'Data Sheet'!E13</f>
        <v>49.04</v>
      </c>
      <c r="I32" s="135">
        <f>'Data Sheet'!D13</f>
        <v>28.65</v>
      </c>
      <c r="J32" s="135">
        <f>'Data Sheet'!C13</f>
        <v>23.13</v>
      </c>
      <c r="K32" s="135">
        <f>'Data Sheet'!B13</f>
        <v>15.57</v>
      </c>
    </row>
    <row r="33" spans="1:11" x14ac:dyDescent="0.2">
      <c r="A33" s="135" t="s">
        <v>14</v>
      </c>
      <c r="B33" s="135">
        <f>'Data Sheet'!K14</f>
        <v>10.68</v>
      </c>
      <c r="C33" s="135">
        <f>'Data Sheet'!J14</f>
        <v>0</v>
      </c>
      <c r="D33" s="135">
        <f>'Data Sheet'!I14</f>
        <v>-2.06</v>
      </c>
      <c r="E33" s="135">
        <f>'Data Sheet'!H14</f>
        <v>-1.59</v>
      </c>
      <c r="F33" s="135">
        <f>'Data Sheet'!G14</f>
        <v>-0.56000000000000005</v>
      </c>
      <c r="G33" s="135">
        <f>'Data Sheet'!F14</f>
        <v>-0.67</v>
      </c>
      <c r="H33" s="135">
        <f>'Data Sheet'!E14</f>
        <v>3.98</v>
      </c>
      <c r="I33" s="135">
        <f>'Data Sheet'!D14</f>
        <v>-2.52</v>
      </c>
      <c r="J33" s="135">
        <f>'Data Sheet'!C14</f>
        <v>1.1100000000000001</v>
      </c>
      <c r="K33" s="135">
        <f>'Data Sheet'!B14</f>
        <v>4.18</v>
      </c>
    </row>
    <row r="34" spans="1:11" x14ac:dyDescent="0.2">
      <c r="A34" s="135" t="s">
        <v>84</v>
      </c>
      <c r="B34" s="135">
        <f>'Data Sheet'!K15</f>
        <v>90.16</v>
      </c>
      <c r="C34" s="135">
        <f>'Data Sheet'!J15</f>
        <v>-8.5500000000000007</v>
      </c>
      <c r="D34" s="135">
        <f>'Data Sheet'!I15</f>
        <v>5.71</v>
      </c>
      <c r="E34" s="135">
        <f>'Data Sheet'!H15</f>
        <v>-8.84</v>
      </c>
      <c r="F34" s="135">
        <f>'Data Sheet'!G15</f>
        <v>-19.27</v>
      </c>
      <c r="G34" s="135">
        <f>'Data Sheet'!F15</f>
        <v>1.63</v>
      </c>
      <c r="H34" s="135">
        <f>'Data Sheet'!E15</f>
        <v>48</v>
      </c>
      <c r="I34" s="135">
        <f>'Data Sheet'!D15</f>
        <v>31.47</v>
      </c>
      <c r="J34" s="135">
        <f>'Data Sheet'!C15</f>
        <v>23.89</v>
      </c>
      <c r="K34" s="135">
        <f>'Data Sheet'!B15</f>
        <v>12.33</v>
      </c>
    </row>
    <row r="35" spans="1:11" x14ac:dyDescent="0.2">
      <c r="A35" s="135" t="s">
        <v>158</v>
      </c>
      <c r="B35" s="135">
        <f>'Data Sheet'!K72</f>
        <v>37.21</v>
      </c>
      <c r="C35" s="135">
        <f>'Data Sheet'!J72</f>
        <v>0</v>
      </c>
      <c r="D35" s="135">
        <f>'Data Sheet'!I72</f>
        <v>0</v>
      </c>
      <c r="E35" s="135">
        <f>'Data Sheet'!H72</f>
        <v>0</v>
      </c>
      <c r="F35" s="135">
        <f>'Data Sheet'!G72</f>
        <v>0</v>
      </c>
      <c r="G35" s="135">
        <f>'Data Sheet'!F72</f>
        <v>0.93</v>
      </c>
      <c r="H35" s="135">
        <f>'Data Sheet'!E72</f>
        <v>9.3000000000000007</v>
      </c>
      <c r="I35" s="135">
        <f>'Data Sheet'!D72</f>
        <v>6.83</v>
      </c>
      <c r="J35" s="135">
        <f>'Data Sheet'!C72</f>
        <v>4</v>
      </c>
      <c r="K35" s="135">
        <f>'Data Sheet'!B72</f>
        <v>3.02</v>
      </c>
    </row>
    <row r="36" spans="1:11" x14ac:dyDescent="0.2">
      <c r="A36" s="135" t="s">
        <v>159</v>
      </c>
      <c r="B36" s="135">
        <f>'Data Sheet'!K17</f>
        <v>176.62</v>
      </c>
      <c r="C36" s="135">
        <f>'Data Sheet'!J17</f>
        <v>131.08000000000001</v>
      </c>
      <c r="D36" s="135">
        <f>'Data Sheet'!I17</f>
        <v>188.54</v>
      </c>
      <c r="E36" s="135">
        <f>'Data Sheet'!H17</f>
        <v>297.98</v>
      </c>
      <c r="F36" s="135">
        <f>'Data Sheet'!G17</f>
        <v>207</v>
      </c>
      <c r="G36" s="135">
        <f>'Data Sheet'!F17</f>
        <v>288.88</v>
      </c>
      <c r="H36" s="135">
        <f>'Data Sheet'!E17</f>
        <v>438.67</v>
      </c>
      <c r="I36" s="135">
        <f>'Data Sheet'!D17</f>
        <v>304.42</v>
      </c>
      <c r="J36" s="135">
        <f>'Data Sheet'!C17</f>
        <v>178.57</v>
      </c>
      <c r="K36" s="135">
        <f>'Data Sheet'!B17</f>
        <v>71.94</v>
      </c>
    </row>
    <row r="37" spans="1:11" ht="12.75" customHeight="1" x14ac:dyDescent="0.2">
      <c r="A37" s="147" t="s">
        <v>160</v>
      </c>
      <c r="B37" s="147">
        <f>'Data Sheet'!B63*'Data Sheet'!B61</f>
        <v>325.08</v>
      </c>
      <c r="C37" s="174"/>
      <c r="D37" s="175"/>
      <c r="E37" s="175"/>
      <c r="F37" s="175"/>
      <c r="G37" s="175"/>
      <c r="H37" s="175"/>
      <c r="I37" s="175"/>
      <c r="J37" s="175"/>
      <c r="K37" s="176"/>
    </row>
    <row r="38" spans="1:11" x14ac:dyDescent="0.2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</row>
    <row r="39" spans="1:11" x14ac:dyDescent="0.2">
      <c r="A39" s="142" t="s">
        <v>161</v>
      </c>
      <c r="B39" s="135">
        <f>'Data Sheet'!K38</f>
        <v>28.02</v>
      </c>
      <c r="C39" s="135">
        <f>'Data Sheet'!J38</f>
        <v>28.02</v>
      </c>
      <c r="D39" s="135">
        <f>'Data Sheet'!I38</f>
        <v>28.02</v>
      </c>
      <c r="E39" s="135">
        <f>'Data Sheet'!H38</f>
        <v>28.02</v>
      </c>
      <c r="F39" s="135">
        <f>'Data Sheet'!G38</f>
        <v>28.02</v>
      </c>
      <c r="G39" s="135">
        <f>'Data Sheet'!F38</f>
        <v>28.02</v>
      </c>
      <c r="H39" s="135">
        <f>'Data Sheet'!E38</f>
        <v>28.02</v>
      </c>
      <c r="I39" s="135">
        <f>'Data Sheet'!D38</f>
        <v>28.02</v>
      </c>
      <c r="J39" s="135">
        <f>'Data Sheet'!C38</f>
        <v>23.85</v>
      </c>
      <c r="K39" s="135">
        <f>'Data Sheet'!B38</f>
        <v>23.85</v>
      </c>
    </row>
    <row r="40" spans="1:11" x14ac:dyDescent="0.2">
      <c r="A40" s="142" t="s">
        <v>162</v>
      </c>
      <c r="B40" s="142">
        <f>'Data Sheet'!K39</f>
        <v>120.74</v>
      </c>
      <c r="C40" s="142">
        <f>'Data Sheet'!J39</f>
        <v>83.03</v>
      </c>
      <c r="D40" s="142">
        <f>'Data Sheet'!I39</f>
        <v>91.58</v>
      </c>
      <c r="E40" s="142">
        <f>'Data Sheet'!H39</f>
        <v>85.88</v>
      </c>
      <c r="F40" s="142">
        <f>'Data Sheet'!G39</f>
        <v>94.72</v>
      </c>
      <c r="G40" s="142">
        <f>'Data Sheet'!F39</f>
        <v>113.99</v>
      </c>
      <c r="H40" s="142">
        <f>'Data Sheet'!E39</f>
        <v>113.67</v>
      </c>
      <c r="I40" s="142">
        <f>'Data Sheet'!D39</f>
        <v>89.36</v>
      </c>
      <c r="J40" s="142">
        <f>'Data Sheet'!C39</f>
        <v>31.58</v>
      </c>
      <c r="K40" s="142">
        <f>'Data Sheet'!B39</f>
        <v>13.67</v>
      </c>
    </row>
    <row r="41" spans="1:11" x14ac:dyDescent="0.2">
      <c r="A41" s="142" t="s">
        <v>163</v>
      </c>
      <c r="B41" s="135">
        <f t="shared" ref="B41:K41" si="3">B40+B39</f>
        <v>148.76</v>
      </c>
      <c r="C41" s="135">
        <f t="shared" si="3"/>
        <v>111.05</v>
      </c>
      <c r="D41" s="135">
        <f t="shared" si="3"/>
        <v>119.6</v>
      </c>
      <c r="E41" s="135">
        <f t="shared" si="3"/>
        <v>113.89999999999999</v>
      </c>
      <c r="F41" s="135">
        <f t="shared" si="3"/>
        <v>122.74</v>
      </c>
      <c r="G41" s="135">
        <f t="shared" si="3"/>
        <v>142.01</v>
      </c>
      <c r="H41" s="135">
        <f t="shared" si="3"/>
        <v>141.69</v>
      </c>
      <c r="I41" s="135">
        <f t="shared" si="3"/>
        <v>117.38</v>
      </c>
      <c r="J41" s="135">
        <f t="shared" si="3"/>
        <v>55.43</v>
      </c>
      <c r="K41" s="135">
        <f t="shared" si="3"/>
        <v>37.520000000000003</v>
      </c>
    </row>
    <row r="42" spans="1:11" x14ac:dyDescent="0.2">
      <c r="A42" s="142" t="s">
        <v>38</v>
      </c>
      <c r="B42" s="135">
        <f>'Data Sheet'!K40</f>
        <v>28.5</v>
      </c>
      <c r="C42" s="135">
        <f>'Data Sheet'!J40</f>
        <v>122.62</v>
      </c>
      <c r="D42" s="135">
        <f>'Data Sheet'!I40</f>
        <v>149.06</v>
      </c>
      <c r="E42" s="135">
        <f>'Data Sheet'!H40</f>
        <v>132.54</v>
      </c>
      <c r="F42" s="135">
        <f>'Data Sheet'!G40</f>
        <v>132.43</v>
      </c>
      <c r="G42" s="135">
        <f>'Data Sheet'!F40</f>
        <v>128.07</v>
      </c>
      <c r="H42" s="135">
        <f>'Data Sheet'!E40</f>
        <v>104.87</v>
      </c>
      <c r="I42" s="135">
        <f>'Data Sheet'!D40</f>
        <v>50.97</v>
      </c>
      <c r="J42" s="135">
        <f>'Data Sheet'!C40</f>
        <v>55.78</v>
      </c>
      <c r="K42" s="135">
        <f>'Data Sheet'!B40</f>
        <v>60.87</v>
      </c>
    </row>
    <row r="43" spans="1:11" x14ac:dyDescent="0.2">
      <c r="A43" s="142" t="s">
        <v>39</v>
      </c>
      <c r="B43" s="135">
        <f>'Data Sheet'!K41</f>
        <v>0</v>
      </c>
      <c r="C43" s="135">
        <f>'Data Sheet'!J41</f>
        <v>0</v>
      </c>
      <c r="D43" s="135">
        <f>'Data Sheet'!I41</f>
        <v>0</v>
      </c>
      <c r="E43" s="135">
        <f>'Data Sheet'!H41</f>
        <v>0</v>
      </c>
      <c r="F43" s="135">
        <f>'Data Sheet'!G41</f>
        <v>0</v>
      </c>
      <c r="G43" s="135">
        <f>'Data Sheet'!F41</f>
        <v>0</v>
      </c>
      <c r="H43" s="135">
        <f>'Data Sheet'!E41</f>
        <v>0</v>
      </c>
      <c r="I43" s="135">
        <f>'Data Sheet'!D41</f>
        <v>0</v>
      </c>
      <c r="J43" s="135">
        <f>'Data Sheet'!C41</f>
        <v>25</v>
      </c>
      <c r="K43" s="135">
        <f>'Data Sheet'!B41</f>
        <v>0</v>
      </c>
    </row>
    <row r="44" spans="1:11" x14ac:dyDescent="0.2">
      <c r="A44" s="135" t="s">
        <v>164</v>
      </c>
      <c r="B44" s="135">
        <f>'Data Sheet'!K43</f>
        <v>31.39</v>
      </c>
      <c r="C44" s="135">
        <f>'Data Sheet'!J43</f>
        <v>90.85</v>
      </c>
      <c r="D44" s="135">
        <f>'Data Sheet'!I43</f>
        <v>102.64</v>
      </c>
      <c r="E44" s="135">
        <f>'Data Sheet'!H43</f>
        <v>110.21</v>
      </c>
      <c r="F44" s="135">
        <f>'Data Sheet'!G43</f>
        <v>105.88</v>
      </c>
      <c r="G44" s="135">
        <f>'Data Sheet'!F43</f>
        <v>114.27</v>
      </c>
      <c r="H44" s="135">
        <f>'Data Sheet'!E43</f>
        <v>95.96</v>
      </c>
      <c r="I44" s="135">
        <f>'Data Sheet'!D43</f>
        <v>76</v>
      </c>
      <c r="J44" s="135">
        <f>'Data Sheet'!C43</f>
        <v>82.3</v>
      </c>
      <c r="K44" s="135">
        <f>'Data Sheet'!B43</f>
        <v>84.7</v>
      </c>
    </row>
    <row r="45" spans="1:11" x14ac:dyDescent="0.2">
      <c r="A45" s="135" t="s">
        <v>42</v>
      </c>
      <c r="B45" s="135">
        <f>'Data Sheet'!K44</f>
        <v>0.06</v>
      </c>
      <c r="C45" s="135">
        <f>'Data Sheet'!J44</f>
        <v>0</v>
      </c>
      <c r="D45" s="135">
        <f>'Data Sheet'!I44</f>
        <v>0.39</v>
      </c>
      <c r="E45" s="135">
        <f>'Data Sheet'!H44</f>
        <v>8.3699999999999992</v>
      </c>
      <c r="F45" s="135">
        <f>'Data Sheet'!G44</f>
        <v>12.17</v>
      </c>
      <c r="G45" s="135">
        <f>'Data Sheet'!F44</f>
        <v>8.34</v>
      </c>
      <c r="H45" s="135">
        <f>'Data Sheet'!E44</f>
        <v>17.350000000000001</v>
      </c>
      <c r="I45" s="135">
        <f>'Data Sheet'!D44</f>
        <v>19.23</v>
      </c>
      <c r="J45" s="135">
        <f>'Data Sheet'!C44</f>
        <v>3.66</v>
      </c>
      <c r="K45" s="135">
        <f>'Data Sheet'!B44</f>
        <v>3.47</v>
      </c>
    </row>
    <row r="46" spans="1:11" x14ac:dyDescent="0.2">
      <c r="A46" s="135" t="s">
        <v>44</v>
      </c>
      <c r="B46" s="135">
        <f>'Data Sheet'!K46</f>
        <v>79.7</v>
      </c>
      <c r="C46" s="135">
        <f>'Data Sheet'!J46</f>
        <v>155.69</v>
      </c>
      <c r="D46" s="135">
        <f>'Data Sheet'!I46</f>
        <v>178.54</v>
      </c>
      <c r="E46" s="135">
        <f>'Data Sheet'!H46</f>
        <v>140.76</v>
      </c>
      <c r="F46" s="135">
        <f>'Data Sheet'!G46</f>
        <v>150.28</v>
      </c>
      <c r="G46" s="135">
        <f>'Data Sheet'!F46</f>
        <v>160.58000000000001</v>
      </c>
      <c r="H46" s="135">
        <f>'Data Sheet'!E46</f>
        <v>146.43</v>
      </c>
      <c r="I46" s="135">
        <f>'Data Sheet'!D46</f>
        <v>86.28</v>
      </c>
      <c r="J46" s="135">
        <f>'Data Sheet'!C46</f>
        <v>73.11</v>
      </c>
      <c r="K46" s="135">
        <f>'Data Sheet'!B46</f>
        <v>34.25</v>
      </c>
    </row>
    <row r="47" spans="1:11" x14ac:dyDescent="0.2">
      <c r="A47" s="135" t="s">
        <v>165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</row>
    <row r="48" spans="1:11" x14ac:dyDescent="0.2">
      <c r="A48" s="135" t="s">
        <v>166</v>
      </c>
      <c r="B48" s="135">
        <f t="shared" ref="B48:K48" si="4">SUM(B44:B47)</f>
        <v>111.15</v>
      </c>
      <c r="C48" s="135">
        <f t="shared" si="4"/>
        <v>246.54</v>
      </c>
      <c r="D48" s="135">
        <f t="shared" si="4"/>
        <v>281.57</v>
      </c>
      <c r="E48" s="135">
        <f t="shared" si="4"/>
        <v>259.33999999999997</v>
      </c>
      <c r="F48" s="135">
        <f t="shared" si="4"/>
        <v>268.33</v>
      </c>
      <c r="G48" s="135">
        <f t="shared" si="4"/>
        <v>283.19</v>
      </c>
      <c r="H48" s="135">
        <f t="shared" si="4"/>
        <v>259.74</v>
      </c>
      <c r="I48" s="135">
        <f t="shared" si="4"/>
        <v>181.51</v>
      </c>
      <c r="J48" s="135">
        <f t="shared" si="4"/>
        <v>159.07</v>
      </c>
      <c r="K48" s="135">
        <f t="shared" si="4"/>
        <v>122.42</v>
      </c>
    </row>
    <row r="49" spans="1:11" x14ac:dyDescent="0.2">
      <c r="A49" s="135" t="s">
        <v>167</v>
      </c>
      <c r="B49" s="135">
        <f>SUM(B39+B40+42+43)</f>
        <v>233.76</v>
      </c>
      <c r="C49" s="135">
        <f t="shared" ref="C49:K49" si="5">SUM(C39+C40+42+43)</f>
        <v>196.05</v>
      </c>
      <c r="D49" s="135">
        <f t="shared" si="5"/>
        <v>204.6</v>
      </c>
      <c r="E49" s="135">
        <f t="shared" si="5"/>
        <v>198.89999999999998</v>
      </c>
      <c r="F49" s="135">
        <f t="shared" si="5"/>
        <v>207.74</v>
      </c>
      <c r="G49" s="135">
        <f t="shared" si="5"/>
        <v>227.01</v>
      </c>
      <c r="H49" s="135">
        <f t="shared" si="5"/>
        <v>226.69</v>
      </c>
      <c r="I49" s="135">
        <f t="shared" si="5"/>
        <v>202.38</v>
      </c>
      <c r="J49" s="135">
        <f t="shared" si="5"/>
        <v>140.43</v>
      </c>
      <c r="K49" s="135">
        <f t="shared" si="5"/>
        <v>122.52000000000001</v>
      </c>
    </row>
    <row r="50" spans="1:11" ht="15" x14ac:dyDescent="0.25">
      <c r="A50" s="135" t="s">
        <v>168</v>
      </c>
      <c r="B50" s="144">
        <f>'Data Sheet'!K47</f>
        <v>190.42</v>
      </c>
      <c r="C50" s="144">
        <f>'Data Sheet'!J47</f>
        <v>246.83</v>
      </c>
      <c r="D50" s="144">
        <f>'Data Sheet'!I47</f>
        <v>281.82</v>
      </c>
      <c r="E50" s="144">
        <f>'Data Sheet'!H47</f>
        <v>259.60000000000002</v>
      </c>
      <c r="F50" s="144">
        <f>'Data Sheet'!G47</f>
        <v>268.33</v>
      </c>
      <c r="G50" s="144">
        <f>'Data Sheet'!F47</f>
        <v>283.24</v>
      </c>
      <c r="H50" s="144">
        <f>'Data Sheet'!E47</f>
        <v>259.72000000000003</v>
      </c>
      <c r="I50" s="144">
        <f>'Data Sheet'!D47</f>
        <v>181.51</v>
      </c>
      <c r="J50" s="144">
        <f>'Data Sheet'!C47</f>
        <v>159.12</v>
      </c>
      <c r="K50" s="144">
        <f>'Data Sheet'!B47</f>
        <v>122.42</v>
      </c>
    </row>
    <row r="51" spans="1:11" ht="12.75" customHeight="1" x14ac:dyDescent="0.2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1" x14ac:dyDescent="0.2">
      <c r="A52" s="142" t="s">
        <v>169</v>
      </c>
      <c r="B52" s="135">
        <f>'Cash Flow'!K4</f>
        <v>70.69</v>
      </c>
      <c r="C52" s="135">
        <f>'Cash Flow'!J4</f>
        <v>24.09</v>
      </c>
      <c r="D52" s="135">
        <f>'Cash Flow'!I4</f>
        <v>-1.0900000000000001</v>
      </c>
      <c r="E52" s="135">
        <f>'Cash Flow'!H4</f>
        <v>24.01</v>
      </c>
      <c r="F52" s="135">
        <f>'Cash Flow'!G4</f>
        <v>28.34</v>
      </c>
      <c r="G52" s="135">
        <f>'Cash Flow'!F4</f>
        <v>28.72</v>
      </c>
      <c r="H52" s="135">
        <f>'Cash Flow'!E4</f>
        <v>-8.27</v>
      </c>
      <c r="I52" s="135">
        <f>'Cash Flow'!D4</f>
        <v>20.04</v>
      </c>
      <c r="J52" s="135">
        <f>'Cash Flow'!C4</f>
        <v>19.77</v>
      </c>
      <c r="K52" s="135">
        <f>'Cash Flow'!B4</f>
        <v>17.989999999999998</v>
      </c>
    </row>
    <row r="53" spans="1:11" x14ac:dyDescent="0.2">
      <c r="A53" s="142" t="s">
        <v>170</v>
      </c>
      <c r="B53" s="139">
        <f t="shared" ref="B53:K53" si="6">B52-B23</f>
        <v>120.77999999999999</v>
      </c>
      <c r="C53" s="139">
        <f t="shared" si="6"/>
        <v>22.070000000000007</v>
      </c>
      <c r="D53" s="139">
        <f t="shared" si="6"/>
        <v>0.36999999999999367</v>
      </c>
      <c r="E53" s="139">
        <f t="shared" si="6"/>
        <v>10.030000000000005</v>
      </c>
      <c r="F53" s="139">
        <f t="shared" si="6"/>
        <v>19.899999999999999</v>
      </c>
      <c r="G53" s="139">
        <f t="shared" si="6"/>
        <v>7.9799999999999969</v>
      </c>
      <c r="H53" s="139">
        <f t="shared" si="6"/>
        <v>-37.459999999999994</v>
      </c>
      <c r="I53" s="139">
        <f t="shared" si="6"/>
        <v>1.9999999999996021E-2</v>
      </c>
      <c r="J53" s="139">
        <f t="shared" si="6"/>
        <v>7.680000000000005</v>
      </c>
      <c r="K53" s="139">
        <f t="shared" si="6"/>
        <v>17.989999999999998</v>
      </c>
    </row>
    <row r="54" spans="1:11" x14ac:dyDescent="0.2">
      <c r="A54" s="142" t="s">
        <v>122</v>
      </c>
      <c r="B54" s="143">
        <f>B33/B32</f>
        <v>0.17525434853954711</v>
      </c>
      <c r="C54" s="143">
        <f t="shared" ref="C54:K54" si="7">C33/C32</f>
        <v>0</v>
      </c>
      <c r="D54" s="143">
        <f t="shared" si="7"/>
        <v>-0.47139588100686497</v>
      </c>
      <c r="E54" s="143">
        <f t="shared" si="7"/>
        <v>0.91907514450867056</v>
      </c>
      <c r="F54" s="143">
        <f t="shared" si="7"/>
        <v>0.21455938697318011</v>
      </c>
      <c r="G54" s="143">
        <f t="shared" si="7"/>
        <v>-7.1352502662406822E-2</v>
      </c>
      <c r="H54" s="143">
        <f t="shared" si="7"/>
        <v>8.1158238172920061E-2</v>
      </c>
      <c r="I54" s="143">
        <f t="shared" si="7"/>
        <v>-8.7958115183246074E-2</v>
      </c>
      <c r="J54" s="143">
        <f t="shared" si="7"/>
        <v>4.7989623865110249E-2</v>
      </c>
      <c r="K54" s="143">
        <f t="shared" si="7"/>
        <v>0.26846499678869618</v>
      </c>
    </row>
    <row r="55" spans="1:11" x14ac:dyDescent="0.2">
      <c r="A55" s="142" t="s">
        <v>224</v>
      </c>
      <c r="B55" s="139">
        <f t="shared" ref="B55:K55" si="8">B30*(1-B54)</f>
        <v>59.563130948473905</v>
      </c>
      <c r="C55" s="139">
        <f t="shared" si="8"/>
        <v>11.4</v>
      </c>
      <c r="D55" s="139">
        <f t="shared" si="8"/>
        <v>40.036681922196799</v>
      </c>
      <c r="E55" s="139">
        <f t="shared" si="8"/>
        <v>1.2033526011560687</v>
      </c>
      <c r="F55" s="139">
        <f t="shared" si="8"/>
        <v>12.472796934865901</v>
      </c>
      <c r="G55" s="139">
        <f t="shared" si="8"/>
        <v>27.823024494142707</v>
      </c>
      <c r="H55" s="139">
        <f t="shared" si="8"/>
        <v>51.629718597063615</v>
      </c>
      <c r="I55" s="139">
        <f t="shared" si="8"/>
        <v>39.025057591623032</v>
      </c>
      <c r="J55" s="139">
        <f t="shared" si="8"/>
        <v>28.560311284046691</v>
      </c>
      <c r="K55" s="139">
        <f t="shared" si="8"/>
        <v>16.891143224149005</v>
      </c>
    </row>
    <row r="56" spans="1:11" ht="12.75" customHeight="1" x14ac:dyDescent="0.2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</row>
    <row r="57" spans="1:11" x14ac:dyDescent="0.2">
      <c r="A57" s="109" t="s">
        <v>171</v>
      </c>
      <c r="B57" s="110">
        <f t="shared" ref="B57:K57" si="9">B36+B35</f>
        <v>213.83</v>
      </c>
      <c r="C57" s="110">
        <f t="shared" si="9"/>
        <v>131.08000000000001</v>
      </c>
      <c r="D57" s="110">
        <f t="shared" si="9"/>
        <v>188.54</v>
      </c>
      <c r="E57" s="110">
        <f t="shared" si="9"/>
        <v>297.98</v>
      </c>
      <c r="F57" s="110">
        <f t="shared" si="9"/>
        <v>207</v>
      </c>
      <c r="G57" s="110">
        <f t="shared" si="9"/>
        <v>289.81</v>
      </c>
      <c r="H57" s="110">
        <f t="shared" si="9"/>
        <v>447.97</v>
      </c>
      <c r="I57" s="110">
        <f t="shared" si="9"/>
        <v>311.25</v>
      </c>
      <c r="J57" s="110">
        <f t="shared" si="9"/>
        <v>182.57</v>
      </c>
      <c r="K57" s="110">
        <f t="shared" si="9"/>
        <v>74.959999999999994</v>
      </c>
    </row>
    <row r="58" spans="1:11" x14ac:dyDescent="0.2">
      <c r="A58" s="110" t="s">
        <v>172</v>
      </c>
      <c r="B58" s="110">
        <f t="shared" ref="B58:K58" si="10">B34-B35</f>
        <v>52.949999999999996</v>
      </c>
      <c r="C58" s="110">
        <f t="shared" si="10"/>
        <v>-8.5500000000000007</v>
      </c>
      <c r="D58" s="110">
        <f t="shared" si="10"/>
        <v>5.71</v>
      </c>
      <c r="E58" s="110">
        <f t="shared" si="10"/>
        <v>-8.84</v>
      </c>
      <c r="F58" s="110">
        <f t="shared" si="10"/>
        <v>-19.27</v>
      </c>
      <c r="G58" s="110">
        <f t="shared" si="10"/>
        <v>0.69999999999999984</v>
      </c>
      <c r="H58" s="110">
        <f t="shared" si="10"/>
        <v>38.700000000000003</v>
      </c>
      <c r="I58" s="110">
        <f t="shared" si="10"/>
        <v>24.64</v>
      </c>
      <c r="J58" s="110">
        <f t="shared" si="10"/>
        <v>19.89</v>
      </c>
      <c r="K58" s="110">
        <f t="shared" si="10"/>
        <v>9.31</v>
      </c>
    </row>
    <row r="59" spans="1:11" ht="12.75" customHeight="1" x14ac:dyDescent="0.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</row>
    <row r="60" spans="1:11" x14ac:dyDescent="0.2">
      <c r="A60" s="110" t="s">
        <v>173</v>
      </c>
      <c r="B60" s="108">
        <f t="shared" ref="B60:K60" si="11">B36/B41</f>
        <v>1.187281527292283</v>
      </c>
      <c r="C60" s="108">
        <f t="shared" si="11"/>
        <v>1.1803692030616841</v>
      </c>
      <c r="D60" s="108">
        <f t="shared" si="11"/>
        <v>1.5764214046822742</v>
      </c>
      <c r="E60" s="108">
        <f t="shared" si="11"/>
        <v>2.6161545215100968</v>
      </c>
      <c r="F60" s="108">
        <f t="shared" si="11"/>
        <v>1.6864917712237251</v>
      </c>
      <c r="G60" s="108">
        <f t="shared" si="11"/>
        <v>2.0342229420463349</v>
      </c>
      <c r="H60" s="108">
        <f t="shared" si="11"/>
        <v>3.0959841908391561</v>
      </c>
      <c r="I60" s="108">
        <f t="shared" si="11"/>
        <v>2.5934571477253368</v>
      </c>
      <c r="J60" s="108">
        <f t="shared" si="11"/>
        <v>3.2215406819411871</v>
      </c>
      <c r="K60" s="108">
        <f t="shared" si="11"/>
        <v>1.9173773987206821</v>
      </c>
    </row>
    <row r="61" spans="1:11" x14ac:dyDescent="0.2">
      <c r="A61" s="110" t="s">
        <v>174</v>
      </c>
      <c r="B61" s="108">
        <f t="shared" ref="B61:K61" si="12">B36/B52</f>
        <v>2.4985146413919934</v>
      </c>
      <c r="C61" s="108">
        <f t="shared" si="12"/>
        <v>5.4412619344126201</v>
      </c>
      <c r="D61" s="108">
        <f t="shared" si="12"/>
        <v>-172.97247706422016</v>
      </c>
      <c r="E61" s="108">
        <f t="shared" si="12"/>
        <v>12.410662224073302</v>
      </c>
      <c r="F61" s="108">
        <f t="shared" si="12"/>
        <v>7.3041637261820744</v>
      </c>
      <c r="G61" s="108">
        <f t="shared" si="12"/>
        <v>10.05849582172702</v>
      </c>
      <c r="H61" s="108">
        <f t="shared" si="12"/>
        <v>-53.043530834340999</v>
      </c>
      <c r="I61" s="108">
        <f t="shared" si="12"/>
        <v>15.190618762475051</v>
      </c>
      <c r="J61" s="108">
        <f t="shared" si="12"/>
        <v>9.0323722812341938</v>
      </c>
      <c r="K61" s="108">
        <f t="shared" si="12"/>
        <v>3.9988882712618121</v>
      </c>
    </row>
    <row r="62" spans="1:11" x14ac:dyDescent="0.2">
      <c r="A62" s="110" t="s">
        <v>175</v>
      </c>
      <c r="B62" s="108">
        <f t="shared" ref="B62:K62" si="13">B36/B25</f>
        <v>0.47621872303710094</v>
      </c>
      <c r="C62" s="108">
        <f t="shared" si="13"/>
        <v>0.30000228869612983</v>
      </c>
      <c r="D62" s="108">
        <f t="shared" si="13"/>
        <v>0.41584507818875582</v>
      </c>
      <c r="E62" s="108">
        <f t="shared" si="13"/>
        <v>0.71162801805459364</v>
      </c>
      <c r="F62" s="108">
        <f t="shared" si="13"/>
        <v>0.46786004882017901</v>
      </c>
      <c r="G62" s="108">
        <f t="shared" si="13"/>
        <v>0.75205664896386548</v>
      </c>
      <c r="H62" s="108">
        <f t="shared" si="13"/>
        <v>1.229973363241273</v>
      </c>
      <c r="I62" s="108">
        <f t="shared" si="13"/>
        <v>1.0957060072706333</v>
      </c>
      <c r="J62" s="108">
        <f t="shared" si="13"/>
        <v>0.76731694740460632</v>
      </c>
      <c r="K62" s="108">
        <f t="shared" si="13"/>
        <v>0.37286202964652221</v>
      </c>
    </row>
    <row r="63" spans="1:11" x14ac:dyDescent="0.2">
      <c r="A63" s="110" t="s">
        <v>68</v>
      </c>
      <c r="B63" s="108">
        <f t="shared" ref="B63:K63" si="14">(B36+B42+B43-B8)/B28</f>
        <v>2.5158837237826566</v>
      </c>
      <c r="C63" s="108">
        <f t="shared" si="14"/>
        <v>9.91015625</v>
      </c>
      <c r="D63" s="108">
        <f t="shared" si="14"/>
        <v>8.1743341404358372</v>
      </c>
      <c r="E63" s="108">
        <f t="shared" si="14"/>
        <v>15.201977401129943</v>
      </c>
      <c r="F63" s="108">
        <f t="shared" si="14"/>
        <v>11.753116343490305</v>
      </c>
      <c r="G63" s="108">
        <f t="shared" si="14"/>
        <v>11.145415664260893</v>
      </c>
      <c r="H63" s="108">
        <f t="shared" si="14"/>
        <v>8.0763744427934618</v>
      </c>
      <c r="I63" s="108">
        <f t="shared" si="14"/>
        <v>7.6231231231231229</v>
      </c>
      <c r="J63" s="108">
        <f t="shared" si="14"/>
        <v>5.8544018058690757</v>
      </c>
      <c r="K63" s="108">
        <f t="shared" si="14"/>
        <v>3.5023734177215191</v>
      </c>
    </row>
    <row r="64" spans="1:11" x14ac:dyDescent="0.2">
      <c r="A64" s="110" t="s">
        <v>176</v>
      </c>
      <c r="B64" s="111">
        <f t="shared" ref="B64:K64" si="15">B35/B36</f>
        <v>0.210678292379119</v>
      </c>
      <c r="C64" s="111">
        <f t="shared" si="15"/>
        <v>0</v>
      </c>
      <c r="D64" s="111">
        <f t="shared" si="15"/>
        <v>0</v>
      </c>
      <c r="E64" s="111">
        <f t="shared" si="15"/>
        <v>0</v>
      </c>
      <c r="F64" s="111">
        <f t="shared" si="15"/>
        <v>0</v>
      </c>
      <c r="G64" s="111">
        <f t="shared" si="15"/>
        <v>3.2193298255330936E-3</v>
      </c>
      <c r="H64" s="111">
        <f t="shared" si="15"/>
        <v>2.1200446805115465E-2</v>
      </c>
      <c r="I64" s="111">
        <f t="shared" si="15"/>
        <v>2.2436108008672229E-2</v>
      </c>
      <c r="J64" s="111">
        <f t="shared" si="15"/>
        <v>2.2400179201433612E-2</v>
      </c>
      <c r="K64" s="111">
        <f t="shared" si="15"/>
        <v>4.197942730052822E-2</v>
      </c>
    </row>
    <row r="65" spans="1:12" x14ac:dyDescent="0.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94" t="s">
        <v>177</v>
      </c>
    </row>
    <row r="66" spans="1:12" ht="12.75" customHeight="1" x14ac:dyDescent="0.2">
      <c r="A66" s="135" t="s">
        <v>178</v>
      </c>
      <c r="B66" s="139">
        <f>B46/B50</f>
        <v>0.41854847179918081</v>
      </c>
      <c r="C66" s="139">
        <f t="shared" ref="C66:K66" si="16">C46/C50</f>
        <v>0.63075801158692213</v>
      </c>
      <c r="D66" s="139">
        <f t="shared" si="16"/>
        <v>0.63352494500035483</v>
      </c>
      <c r="E66" s="139">
        <f t="shared" si="16"/>
        <v>0.54221879815100149</v>
      </c>
      <c r="F66" s="139">
        <f t="shared" si="16"/>
        <v>0.5600566466664183</v>
      </c>
      <c r="G66" s="139">
        <f t="shared" si="16"/>
        <v>0.56693969778279907</v>
      </c>
      <c r="H66" s="139">
        <f t="shared" si="16"/>
        <v>0.56379947635915595</v>
      </c>
      <c r="I66" s="139">
        <f t="shared" si="16"/>
        <v>0.4753457109801113</v>
      </c>
      <c r="J66" s="139">
        <f t="shared" si="16"/>
        <v>0.45946455505279032</v>
      </c>
      <c r="K66" s="139">
        <f t="shared" si="16"/>
        <v>0.27977454664270546</v>
      </c>
      <c r="L66" s="135">
        <v>1.2</v>
      </c>
    </row>
    <row r="67" spans="1:12" ht="12.75" customHeight="1" x14ac:dyDescent="0.2">
      <c r="A67" s="135" t="s">
        <v>179</v>
      </c>
      <c r="B67" s="139">
        <f>B58/B50</f>
        <v>0.27806953051150091</v>
      </c>
      <c r="C67" s="139">
        <f t="shared" ref="C67:K67" si="17">C58/C50</f>
        <v>-3.4639225377790385E-2</v>
      </c>
      <c r="D67" s="139">
        <f t="shared" si="17"/>
        <v>2.0261159605421901E-2</v>
      </c>
      <c r="E67" s="139">
        <f t="shared" si="17"/>
        <v>-3.4052388289676425E-2</v>
      </c>
      <c r="F67" s="139">
        <f t="shared" si="17"/>
        <v>-7.1814556702567742E-2</v>
      </c>
      <c r="G67" s="139">
        <f t="shared" si="17"/>
        <v>2.4714023443016516E-3</v>
      </c>
      <c r="H67" s="139">
        <f t="shared" si="17"/>
        <v>0.14900662251655628</v>
      </c>
      <c r="I67" s="139">
        <f t="shared" si="17"/>
        <v>0.13575009641342076</v>
      </c>
      <c r="J67" s="139">
        <f t="shared" si="17"/>
        <v>0.125</v>
      </c>
      <c r="K67" s="139">
        <f t="shared" si="17"/>
        <v>7.6049665087404017E-2</v>
      </c>
      <c r="L67" s="135">
        <v>1.4</v>
      </c>
    </row>
    <row r="68" spans="1:12" ht="12.75" customHeight="1" x14ac:dyDescent="0.2">
      <c r="A68" s="135" t="s">
        <v>180</v>
      </c>
      <c r="B68" s="139">
        <f t="shared" ref="B68:K68" si="18">B30/B50</f>
        <v>0.37926688373070055</v>
      </c>
      <c r="C68" s="139">
        <f t="shared" si="18"/>
        <v>4.618563383705384E-2</v>
      </c>
      <c r="D68" s="139">
        <f t="shared" si="18"/>
        <v>9.6550989993612946E-2</v>
      </c>
      <c r="E68" s="139">
        <f t="shared" si="18"/>
        <v>5.7280431432973795E-2</v>
      </c>
      <c r="F68" s="139">
        <f t="shared" si="18"/>
        <v>5.9180859389557638E-2</v>
      </c>
      <c r="G68" s="139">
        <f t="shared" si="18"/>
        <v>9.1689026973591298E-2</v>
      </c>
      <c r="H68" s="139">
        <f t="shared" si="18"/>
        <v>0.2163483751732635</v>
      </c>
      <c r="I68" s="139">
        <f t="shared" si="18"/>
        <v>0.19761996584210237</v>
      </c>
      <c r="J68" s="139">
        <f t="shared" si="18"/>
        <v>0.18853695324283559</v>
      </c>
      <c r="K68" s="139">
        <f t="shared" si="18"/>
        <v>0.18861297173664435</v>
      </c>
      <c r="L68" s="135">
        <v>3.3</v>
      </c>
    </row>
    <row r="69" spans="1:12" ht="12.75" customHeight="1" x14ac:dyDescent="0.2">
      <c r="A69" s="135" t="s">
        <v>181</v>
      </c>
      <c r="B69" s="139">
        <f>B36/B50</f>
        <v>0.92752862094317834</v>
      </c>
      <c r="C69" s="139">
        <f t="shared" ref="C69:K69" si="19">C36/C50</f>
        <v>0.53105376169833496</v>
      </c>
      <c r="D69" s="139">
        <f t="shared" si="19"/>
        <v>0.66900858704137389</v>
      </c>
      <c r="E69" s="139">
        <f t="shared" si="19"/>
        <v>1.1478428351309706</v>
      </c>
      <c r="F69" s="139">
        <f t="shared" si="19"/>
        <v>0.77143815451123621</v>
      </c>
      <c r="G69" s="139">
        <f t="shared" si="19"/>
        <v>1.0199124417455161</v>
      </c>
      <c r="H69" s="139">
        <f t="shared" si="19"/>
        <v>1.6890112428769444</v>
      </c>
      <c r="I69" s="139">
        <f t="shared" si="19"/>
        <v>1.6771527739518486</v>
      </c>
      <c r="J69" s="139">
        <f t="shared" si="19"/>
        <v>1.1222347913524384</v>
      </c>
      <c r="K69" s="139">
        <f t="shared" si="19"/>
        <v>0.587649076948211</v>
      </c>
      <c r="L69" s="135">
        <v>0.6</v>
      </c>
    </row>
    <row r="70" spans="1:12" ht="12.75" customHeight="1" x14ac:dyDescent="0.2">
      <c r="A70" s="135" t="s">
        <v>182</v>
      </c>
      <c r="B70" s="139">
        <f t="shared" ref="B70:K70" si="20">B25/B50</f>
        <v>1.9476945698981201</v>
      </c>
      <c r="C70" s="139">
        <f t="shared" si="20"/>
        <v>1.7701657010898189</v>
      </c>
      <c r="D70" s="139">
        <f t="shared" si="20"/>
        <v>1.6087928464977646</v>
      </c>
      <c r="E70" s="139">
        <f t="shared" si="20"/>
        <v>1.6129815100154083</v>
      </c>
      <c r="F70" s="139">
        <f t="shared" si="20"/>
        <v>1.6488652032944509</v>
      </c>
      <c r="G70" s="139">
        <f t="shared" si="20"/>
        <v>1.3561643835616437</v>
      </c>
      <c r="H70" s="139">
        <f t="shared" si="20"/>
        <v>1.373209610349607</v>
      </c>
      <c r="I70" s="139">
        <f t="shared" si="20"/>
        <v>1.5306594677979175</v>
      </c>
      <c r="J70" s="139">
        <f t="shared" si="20"/>
        <v>1.4625439919557566</v>
      </c>
      <c r="K70" s="139">
        <f t="shared" si="20"/>
        <v>1.5760496650874041</v>
      </c>
      <c r="L70" s="135">
        <v>1</v>
      </c>
    </row>
    <row r="71" spans="1:12" ht="12.75" customHeight="1" x14ac:dyDescent="0.2">
      <c r="A71" s="135" t="s">
        <v>121</v>
      </c>
      <c r="B71" s="139">
        <f>$L$66*B66+$L$67*B67+$L$68*B68+$L$69*B69+$L$70*B70</f>
        <v>4.6473479676504565</v>
      </c>
      <c r="C71" s="139">
        <f t="shared" ref="C71:K71" si="21">$L$66*C66+$L$67*C67+$L$68*C68+$L$69*C69+$L$70*C70</f>
        <v>2.9496252481464973</v>
      </c>
      <c r="D71" s="139">
        <f t="shared" si="21"/>
        <v>3.1174118231495278</v>
      </c>
      <c r="E71" s="139">
        <f t="shared" si="21"/>
        <v>3.0937018489984589</v>
      </c>
      <c r="F71" s="139">
        <f t="shared" si="21"/>
        <v>2.8785525286028397</v>
      </c>
      <c r="G71" s="139">
        <f t="shared" si="21"/>
        <v>2.9544732382431862</v>
      </c>
      <c r="H71" s="139">
        <f t="shared" si="21"/>
        <v>3.9857346373017086</v>
      </c>
      <c r="I71" s="139">
        <f t="shared" si="21"/>
        <v>3.9495620076028874</v>
      </c>
      <c r="J71" s="139">
        <f t="shared" si="21"/>
        <v>3.4844142785319248</v>
      </c>
      <c r="K71" s="139">
        <f t="shared" si="21"/>
        <v>2.9932609050808692</v>
      </c>
      <c r="L71" s="135"/>
    </row>
    <row r="72" spans="1:12" x14ac:dyDescent="0.2">
      <c r="A72" s="94" t="s">
        <v>183</v>
      </c>
    </row>
    <row r="73" spans="1:12" x14ac:dyDescent="0.2">
      <c r="A73" s="94" t="s">
        <v>184</v>
      </c>
    </row>
    <row r="74" spans="1:12" x14ac:dyDescent="0.2">
      <c r="A74" s="94" t="s">
        <v>185</v>
      </c>
    </row>
  </sheetData>
  <sheetProtection selectLockedCells="1" selectUnlockedCells="1"/>
  <mergeCells count="9">
    <mergeCell ref="A65:K65"/>
    <mergeCell ref="A59:K59"/>
    <mergeCell ref="A3:J3"/>
    <mergeCell ref="A12:K12"/>
    <mergeCell ref="A13:J13"/>
    <mergeCell ref="A38:K38"/>
    <mergeCell ref="A51:K51"/>
    <mergeCell ref="A56:K56"/>
    <mergeCell ref="C37:K37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pane xSplit="1" ySplit="1" topLeftCell="B51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2.75" x14ac:dyDescent="0.2"/>
  <cols>
    <col min="1" max="1" width="27.7109375" style="152" bestFit="1" customWidth="1"/>
    <col min="2" max="11" width="13.5703125" style="152" bestFit="1" customWidth="1"/>
    <col min="12" max="16384" width="9.140625" style="152"/>
  </cols>
  <sheetData>
    <row r="1" spans="1:11" ht="15" x14ac:dyDescent="0.25">
      <c r="A1" s="151" t="s">
        <v>240</v>
      </c>
      <c r="E1" s="177" t="s">
        <v>186</v>
      </c>
      <c r="F1" s="177"/>
      <c r="G1" s="177"/>
      <c r="H1" s="177"/>
      <c r="I1" s="177"/>
      <c r="J1" s="177"/>
      <c r="K1" s="177"/>
    </row>
    <row r="2" spans="1:11" ht="15" x14ac:dyDescent="0.25">
      <c r="A2" s="151"/>
    </row>
    <row r="3" spans="1:11" ht="15" x14ac:dyDescent="0.25">
      <c r="A3" s="151" t="s">
        <v>187</v>
      </c>
    </row>
    <row r="4" spans="1:11" s="155" customFormat="1" ht="15" x14ac:dyDescent="0.25">
      <c r="A4" s="153" t="s">
        <v>188</v>
      </c>
      <c r="B4" s="154">
        <v>38442</v>
      </c>
      <c r="C4" s="154">
        <v>38807</v>
      </c>
      <c r="D4" s="154">
        <v>39172</v>
      </c>
      <c r="E4" s="154">
        <v>39538</v>
      </c>
      <c r="F4" s="154">
        <v>39903</v>
      </c>
      <c r="G4" s="154">
        <v>40268</v>
      </c>
      <c r="H4" s="154">
        <v>40633</v>
      </c>
      <c r="I4" s="154">
        <v>40999</v>
      </c>
      <c r="J4" s="154">
        <v>41364</v>
      </c>
      <c r="K4" s="154">
        <v>41729</v>
      </c>
    </row>
    <row r="5" spans="1:11" x14ac:dyDescent="0.2">
      <c r="A5" s="156" t="s">
        <v>189</v>
      </c>
    </row>
    <row r="6" spans="1:11" ht="15" x14ac:dyDescent="0.25">
      <c r="A6" s="157" t="s">
        <v>5</v>
      </c>
      <c r="B6" s="152">
        <v>192.94</v>
      </c>
      <c r="C6" s="152">
        <v>232.72</v>
      </c>
      <c r="D6" s="152">
        <v>277.83</v>
      </c>
      <c r="E6" s="152">
        <v>356.65</v>
      </c>
      <c r="F6" s="152">
        <v>384.12</v>
      </c>
      <c r="G6" s="152">
        <v>442.44</v>
      </c>
      <c r="H6" s="152">
        <v>418.73</v>
      </c>
      <c r="I6" s="152">
        <v>453.39</v>
      </c>
      <c r="J6" s="152">
        <v>436.93</v>
      </c>
      <c r="K6" s="152">
        <v>370.88</v>
      </c>
    </row>
    <row r="7" spans="1:11" ht="15" x14ac:dyDescent="0.25">
      <c r="A7" s="157" t="s">
        <v>7</v>
      </c>
      <c r="B7" s="152">
        <v>37.869999999999997</v>
      </c>
      <c r="C7" s="152">
        <v>43.84</v>
      </c>
      <c r="D7" s="152">
        <v>46.19</v>
      </c>
      <c r="E7" s="152">
        <v>67.22</v>
      </c>
      <c r="F7" s="152">
        <v>36.06</v>
      </c>
      <c r="G7" s="152">
        <v>28.55</v>
      </c>
      <c r="H7" s="152">
        <v>26.7</v>
      </c>
      <c r="I7" s="152">
        <v>40.64</v>
      </c>
      <c r="J7" s="152">
        <v>21.22</v>
      </c>
      <c r="K7" s="152">
        <v>63.66</v>
      </c>
    </row>
    <row r="8" spans="1:11" x14ac:dyDescent="0.2">
      <c r="A8" s="156" t="s">
        <v>8</v>
      </c>
      <c r="B8" s="152">
        <v>0.05</v>
      </c>
      <c r="C8" s="152">
        <v>0.46</v>
      </c>
      <c r="D8" s="152">
        <v>0.43</v>
      </c>
      <c r="E8" s="152">
        <v>0.08</v>
      </c>
      <c r="F8" s="152">
        <v>1.35</v>
      </c>
      <c r="G8" s="152">
        <v>0.33</v>
      </c>
      <c r="H8" s="152">
        <v>1.62</v>
      </c>
      <c r="I8" s="152">
        <v>0.66</v>
      </c>
      <c r="J8" s="152">
        <v>4.38</v>
      </c>
      <c r="K8" s="152">
        <v>17.87</v>
      </c>
    </row>
    <row r="9" spans="1:11" x14ac:dyDescent="0.2">
      <c r="A9" s="156" t="s">
        <v>9</v>
      </c>
      <c r="B9" s="152">
        <v>37.92</v>
      </c>
      <c r="C9" s="152">
        <v>44.3</v>
      </c>
      <c r="D9" s="152">
        <v>46.62</v>
      </c>
      <c r="E9" s="152">
        <v>67.3</v>
      </c>
      <c r="F9" s="152">
        <v>37.409999999999997</v>
      </c>
      <c r="G9" s="152">
        <v>28.88</v>
      </c>
      <c r="H9" s="152">
        <v>28.32</v>
      </c>
      <c r="I9" s="152">
        <v>41.3</v>
      </c>
      <c r="J9" s="152">
        <v>25.6</v>
      </c>
      <c r="K9" s="152">
        <v>81.53</v>
      </c>
    </row>
    <row r="10" spans="1:11" x14ac:dyDescent="0.2">
      <c r="A10" s="156" t="s">
        <v>10</v>
      </c>
      <c r="B10" s="152">
        <v>14.83</v>
      </c>
      <c r="C10" s="152">
        <v>14.3</v>
      </c>
      <c r="D10" s="152">
        <v>10.75</v>
      </c>
      <c r="E10" s="152">
        <v>11.11</v>
      </c>
      <c r="F10" s="152">
        <v>11.44</v>
      </c>
      <c r="G10" s="152">
        <v>13</v>
      </c>
      <c r="H10" s="152">
        <v>13.45</v>
      </c>
      <c r="I10" s="152">
        <v>14.09</v>
      </c>
      <c r="J10" s="152">
        <v>14.2</v>
      </c>
      <c r="K10" s="152">
        <v>9.31</v>
      </c>
    </row>
    <row r="11" spans="1:11" x14ac:dyDescent="0.2">
      <c r="A11" s="156" t="s">
        <v>11</v>
      </c>
      <c r="B11" s="152">
        <v>23.09</v>
      </c>
      <c r="C11" s="152">
        <v>30</v>
      </c>
      <c r="D11" s="152">
        <v>35.869999999999997</v>
      </c>
      <c r="E11" s="152">
        <v>56.19</v>
      </c>
      <c r="F11" s="152">
        <v>25.97</v>
      </c>
      <c r="G11" s="152">
        <v>15.88</v>
      </c>
      <c r="H11" s="152">
        <v>14.87</v>
      </c>
      <c r="I11" s="152">
        <v>27.21</v>
      </c>
      <c r="J11" s="152">
        <v>11.4</v>
      </c>
      <c r="K11" s="152">
        <v>72.22</v>
      </c>
    </row>
    <row r="12" spans="1:11" x14ac:dyDescent="0.2">
      <c r="A12" s="156" t="s">
        <v>12</v>
      </c>
      <c r="B12" s="152">
        <v>7.51</v>
      </c>
      <c r="C12" s="152">
        <v>6.88</v>
      </c>
      <c r="D12" s="152">
        <v>7.23</v>
      </c>
      <c r="E12" s="152">
        <v>7.15</v>
      </c>
      <c r="F12" s="152">
        <v>16.59</v>
      </c>
      <c r="G12" s="152">
        <v>18.489999999999998</v>
      </c>
      <c r="H12" s="152">
        <v>16.600000000000001</v>
      </c>
      <c r="I12" s="152">
        <v>22.85</v>
      </c>
      <c r="J12" s="152">
        <v>19.96</v>
      </c>
      <c r="K12" s="152">
        <v>11.29</v>
      </c>
    </row>
    <row r="13" spans="1:11" x14ac:dyDescent="0.2">
      <c r="A13" s="156" t="s">
        <v>13</v>
      </c>
      <c r="B13" s="152">
        <v>15.57</v>
      </c>
      <c r="C13" s="152">
        <v>23.13</v>
      </c>
      <c r="D13" s="152">
        <v>28.65</v>
      </c>
      <c r="E13" s="152">
        <v>49.04</v>
      </c>
      <c r="F13" s="152">
        <v>9.39</v>
      </c>
      <c r="G13" s="152">
        <v>-2.61</v>
      </c>
      <c r="H13" s="152">
        <v>-1.73</v>
      </c>
      <c r="I13" s="152">
        <v>4.37</v>
      </c>
      <c r="J13" s="152">
        <v>-8.5500000000000007</v>
      </c>
      <c r="K13" s="152">
        <v>60.94</v>
      </c>
    </row>
    <row r="14" spans="1:11" x14ac:dyDescent="0.2">
      <c r="A14" s="156" t="s">
        <v>14</v>
      </c>
      <c r="B14" s="152">
        <v>4.18</v>
      </c>
      <c r="C14" s="152">
        <v>1.1100000000000001</v>
      </c>
      <c r="D14" s="152">
        <v>-2.52</v>
      </c>
      <c r="E14" s="152">
        <v>3.98</v>
      </c>
      <c r="F14" s="152">
        <v>-0.67</v>
      </c>
      <c r="G14" s="152">
        <v>-0.56000000000000005</v>
      </c>
      <c r="H14" s="152">
        <v>-1.59</v>
      </c>
      <c r="I14" s="152">
        <v>-2.06</v>
      </c>
      <c r="J14" s="152">
        <v>0</v>
      </c>
      <c r="K14" s="152">
        <v>10.68</v>
      </c>
    </row>
    <row r="15" spans="1:11" ht="15" x14ac:dyDescent="0.25">
      <c r="A15" s="157" t="s">
        <v>15</v>
      </c>
      <c r="B15" s="152">
        <v>12.33</v>
      </c>
      <c r="C15" s="152">
        <v>23.89</v>
      </c>
      <c r="D15" s="152">
        <v>31.47</v>
      </c>
      <c r="E15" s="152">
        <v>48</v>
      </c>
      <c r="F15" s="152">
        <v>1.63</v>
      </c>
      <c r="G15" s="152">
        <v>-19.27</v>
      </c>
      <c r="H15" s="152">
        <v>-8.84</v>
      </c>
      <c r="I15" s="152">
        <v>5.71</v>
      </c>
      <c r="J15" s="152">
        <v>-8.5500000000000007</v>
      </c>
      <c r="K15" s="152">
        <v>90.16</v>
      </c>
    </row>
    <row r="16" spans="1:11" x14ac:dyDescent="0.2">
      <c r="A16" s="156" t="s">
        <v>20</v>
      </c>
      <c r="B16" s="152">
        <f>IF(B15,B72/B15*100,0)</f>
        <v>24.493106244931063</v>
      </c>
      <c r="C16" s="152">
        <f t="shared" ref="C16:K16" si="0">IF(C15,C72/C15*100,0)</f>
        <v>16.743407283382165</v>
      </c>
      <c r="D16" s="152">
        <f t="shared" si="0"/>
        <v>21.703209405783287</v>
      </c>
      <c r="E16" s="152">
        <f t="shared" si="0"/>
        <v>19.375</v>
      </c>
      <c r="F16" s="152">
        <f t="shared" si="0"/>
        <v>57.055214723926383</v>
      </c>
      <c r="G16" s="152">
        <f t="shared" si="0"/>
        <v>0</v>
      </c>
      <c r="H16" s="152">
        <f t="shared" si="0"/>
        <v>0</v>
      </c>
      <c r="I16" s="152">
        <f t="shared" si="0"/>
        <v>0</v>
      </c>
      <c r="J16" s="152">
        <f t="shared" si="0"/>
        <v>0</v>
      </c>
      <c r="K16" s="152">
        <f t="shared" si="0"/>
        <v>41.271073646850049</v>
      </c>
    </row>
    <row r="17" spans="1:11" x14ac:dyDescent="0.2">
      <c r="A17" s="156" t="s">
        <v>159</v>
      </c>
      <c r="B17" s="152">
        <v>71.94</v>
      </c>
      <c r="C17" s="152">
        <v>178.57</v>
      </c>
      <c r="D17" s="152">
        <v>304.42</v>
      </c>
      <c r="E17" s="152">
        <v>438.67</v>
      </c>
      <c r="F17" s="152">
        <v>288.88</v>
      </c>
      <c r="G17" s="152">
        <v>207</v>
      </c>
      <c r="H17" s="152">
        <v>297.98</v>
      </c>
      <c r="I17" s="152">
        <v>188.54</v>
      </c>
      <c r="J17" s="152">
        <v>131.08000000000001</v>
      </c>
      <c r="K17" s="152">
        <v>176.62</v>
      </c>
    </row>
    <row r="18" spans="1:11" ht="15" x14ac:dyDescent="0.25">
      <c r="A18" s="157"/>
    </row>
    <row r="19" spans="1:11" ht="15" x14ac:dyDescent="0.25">
      <c r="A19" s="158"/>
    </row>
    <row r="20" spans="1:11" ht="15" x14ac:dyDescent="0.25">
      <c r="A20" s="151" t="s">
        <v>190</v>
      </c>
    </row>
    <row r="21" spans="1:11" s="155" customFormat="1" ht="15" x14ac:dyDescent="0.25">
      <c r="A21" s="153" t="s">
        <v>188</v>
      </c>
      <c r="B21" s="154">
        <v>41182</v>
      </c>
      <c r="C21" s="154">
        <v>41274</v>
      </c>
      <c r="D21" s="154">
        <v>41364</v>
      </c>
      <c r="E21" s="154">
        <v>41455</v>
      </c>
      <c r="F21" s="154">
        <v>41547</v>
      </c>
      <c r="G21" s="154">
        <v>41639</v>
      </c>
      <c r="H21" s="154">
        <v>41729</v>
      </c>
      <c r="I21" s="154">
        <v>41820</v>
      </c>
      <c r="J21" s="154">
        <v>41912</v>
      </c>
      <c r="K21" s="154">
        <v>42004</v>
      </c>
    </row>
    <row r="22" spans="1:11" x14ac:dyDescent="0.2">
      <c r="A22" s="156" t="s">
        <v>189</v>
      </c>
    </row>
    <row r="23" spans="1:11" ht="15" x14ac:dyDescent="0.25">
      <c r="A23" s="157" t="s">
        <v>5</v>
      </c>
      <c r="B23" s="152">
        <v>102.62</v>
      </c>
      <c r="C23" s="152">
        <v>114.58</v>
      </c>
      <c r="D23" s="152">
        <v>125.77</v>
      </c>
      <c r="E23" s="152">
        <v>124.48</v>
      </c>
      <c r="F23" s="152">
        <v>105.26</v>
      </c>
      <c r="G23" s="152">
        <v>74.989999999999995</v>
      </c>
      <c r="H23" s="152">
        <v>66.73</v>
      </c>
      <c r="I23" s="152">
        <v>56.11</v>
      </c>
      <c r="J23" s="152">
        <v>63.63</v>
      </c>
      <c r="K23" s="152">
        <v>63.77</v>
      </c>
    </row>
    <row r="24" spans="1:11" x14ac:dyDescent="0.2">
      <c r="A24" s="156" t="s">
        <v>6</v>
      </c>
      <c r="B24" s="152">
        <v>0</v>
      </c>
      <c r="C24" s="152">
        <v>0</v>
      </c>
      <c r="D24" s="152">
        <v>0</v>
      </c>
      <c r="E24" s="152">
        <v>0</v>
      </c>
      <c r="F24" s="152">
        <v>0</v>
      </c>
      <c r="G24" s="152">
        <v>0</v>
      </c>
      <c r="H24" s="152">
        <v>0</v>
      </c>
      <c r="I24" s="152">
        <v>0</v>
      </c>
      <c r="J24" s="152">
        <v>0</v>
      </c>
      <c r="K24" s="152">
        <v>0</v>
      </c>
    </row>
    <row r="25" spans="1:11" ht="15" x14ac:dyDescent="0.25">
      <c r="A25" s="157" t="s">
        <v>7</v>
      </c>
      <c r="B25" s="152">
        <v>-7.01</v>
      </c>
      <c r="C25" s="152">
        <v>4.8099999999999996</v>
      </c>
      <c r="D25" s="152">
        <v>24.17</v>
      </c>
      <c r="E25" s="152">
        <v>25.71</v>
      </c>
      <c r="F25" s="152">
        <v>21.32</v>
      </c>
      <c r="G25" s="152">
        <v>16.14</v>
      </c>
      <c r="H25" s="152">
        <v>17.079999999999998</v>
      </c>
      <c r="I25" s="152">
        <v>9.89</v>
      </c>
      <c r="J25" s="152">
        <v>13.96</v>
      </c>
      <c r="K25" s="152">
        <v>14.68</v>
      </c>
    </row>
    <row r="26" spans="1:11" x14ac:dyDescent="0.2">
      <c r="A26" s="156" t="s">
        <v>8</v>
      </c>
      <c r="B26" s="152">
        <v>0.2</v>
      </c>
      <c r="C26" s="152">
        <v>1.56</v>
      </c>
      <c r="D26" s="152">
        <v>0.6</v>
      </c>
      <c r="E26" s="152">
        <v>0.23</v>
      </c>
      <c r="F26" s="152">
        <v>0.63</v>
      </c>
      <c r="G26" s="152">
        <v>0.79</v>
      </c>
      <c r="H26" s="152">
        <v>-0.36</v>
      </c>
      <c r="I26" s="152">
        <v>0.33</v>
      </c>
      <c r="J26" s="152">
        <v>0.02</v>
      </c>
      <c r="K26" s="152">
        <v>0.01</v>
      </c>
    </row>
    <row r="27" spans="1:11" x14ac:dyDescent="0.2">
      <c r="A27" s="156" t="s">
        <v>9</v>
      </c>
      <c r="B27" s="152">
        <v>-6.81</v>
      </c>
      <c r="C27" s="152">
        <v>6.37</v>
      </c>
      <c r="D27" s="152">
        <v>24.77</v>
      </c>
      <c r="E27" s="152">
        <v>25.94</v>
      </c>
      <c r="F27" s="152">
        <v>21.95</v>
      </c>
      <c r="G27" s="152">
        <v>16.93</v>
      </c>
      <c r="H27" s="152">
        <v>16.72</v>
      </c>
      <c r="I27" s="152">
        <v>10.220000000000001</v>
      </c>
      <c r="J27" s="152">
        <v>13.98</v>
      </c>
      <c r="K27" s="152">
        <v>14.69</v>
      </c>
    </row>
    <row r="28" spans="1:11" x14ac:dyDescent="0.2">
      <c r="A28" s="156" t="s">
        <v>10</v>
      </c>
      <c r="B28" s="152">
        <v>3.29</v>
      </c>
      <c r="C28" s="152">
        <v>2.95</v>
      </c>
      <c r="D28" s="152">
        <v>4.57</v>
      </c>
      <c r="E28" s="152">
        <v>2.59</v>
      </c>
      <c r="F28" s="152">
        <v>2.09</v>
      </c>
      <c r="G28" s="152">
        <v>1.22</v>
      </c>
      <c r="H28" s="152">
        <v>3.4</v>
      </c>
      <c r="I28" s="152">
        <v>1.43</v>
      </c>
      <c r="J28" s="152">
        <v>1.99</v>
      </c>
      <c r="K28" s="152">
        <v>1.22</v>
      </c>
    </row>
    <row r="29" spans="1:11" x14ac:dyDescent="0.2">
      <c r="A29" s="156" t="s">
        <v>11</v>
      </c>
      <c r="B29" s="152">
        <v>-10.1</v>
      </c>
      <c r="C29" s="152">
        <v>3.42</v>
      </c>
      <c r="D29" s="152">
        <v>20.2</v>
      </c>
      <c r="E29" s="152">
        <v>23.35</v>
      </c>
      <c r="F29" s="152">
        <v>19.86</v>
      </c>
      <c r="G29" s="152">
        <v>15.71</v>
      </c>
      <c r="H29" s="152">
        <v>13.32</v>
      </c>
      <c r="I29" s="152">
        <v>8.7899999999999991</v>
      </c>
      <c r="J29" s="152">
        <v>11.99</v>
      </c>
      <c r="K29" s="152">
        <v>13.47</v>
      </c>
    </row>
    <row r="30" spans="1:11" x14ac:dyDescent="0.2">
      <c r="A30" s="156" t="s">
        <v>12</v>
      </c>
      <c r="B30" s="152">
        <v>5.05</v>
      </c>
      <c r="C30" s="152">
        <v>4.88</v>
      </c>
      <c r="D30" s="152">
        <v>4.99</v>
      </c>
      <c r="E30" s="152">
        <v>4.84</v>
      </c>
      <c r="F30" s="152">
        <v>3.83</v>
      </c>
      <c r="G30" s="152">
        <v>1.75</v>
      </c>
      <c r="H30" s="152">
        <v>0.88</v>
      </c>
      <c r="I30" s="152">
        <v>0.71</v>
      </c>
      <c r="J30" s="152">
        <v>1.1599999999999999</v>
      </c>
      <c r="K30" s="152">
        <v>1.22</v>
      </c>
    </row>
    <row r="31" spans="1:11" x14ac:dyDescent="0.2">
      <c r="A31" s="156" t="s">
        <v>13</v>
      </c>
      <c r="B31" s="152">
        <v>-15.15</v>
      </c>
      <c r="C31" s="152">
        <v>-1.46</v>
      </c>
      <c r="D31" s="152">
        <v>15.21</v>
      </c>
      <c r="E31" s="152">
        <v>18.510000000000002</v>
      </c>
      <c r="F31" s="152">
        <v>16.03</v>
      </c>
      <c r="G31" s="152">
        <v>13.96</v>
      </c>
      <c r="H31" s="152">
        <v>12.44</v>
      </c>
      <c r="I31" s="152">
        <v>8.08</v>
      </c>
      <c r="J31" s="152">
        <v>10.83</v>
      </c>
      <c r="K31" s="152">
        <v>12.25</v>
      </c>
    </row>
    <row r="32" spans="1:11" x14ac:dyDescent="0.2">
      <c r="A32" s="156" t="s">
        <v>14</v>
      </c>
      <c r="B32" s="152">
        <v>0</v>
      </c>
      <c r="C32" s="152">
        <v>0</v>
      </c>
      <c r="D32" s="152">
        <v>0</v>
      </c>
      <c r="E32" s="152">
        <v>0</v>
      </c>
      <c r="F32" s="152">
        <v>12.81</v>
      </c>
      <c r="G32" s="152">
        <v>-1.57</v>
      </c>
      <c r="H32" s="152">
        <v>-0.56999999999999995</v>
      </c>
      <c r="I32" s="152">
        <v>1.55</v>
      </c>
      <c r="J32" s="152">
        <v>2.86</v>
      </c>
      <c r="K32" s="152">
        <v>3.43</v>
      </c>
    </row>
    <row r="33" spans="1:11" ht="15" x14ac:dyDescent="0.25">
      <c r="A33" s="157" t="s">
        <v>15</v>
      </c>
      <c r="B33" s="152">
        <v>-15.15</v>
      </c>
      <c r="C33" s="152">
        <v>-1.46</v>
      </c>
      <c r="D33" s="152">
        <v>15.22</v>
      </c>
      <c r="E33" s="152">
        <v>18.510000000000002</v>
      </c>
      <c r="F33" s="152">
        <v>43.25</v>
      </c>
      <c r="G33" s="152">
        <v>15.52</v>
      </c>
      <c r="H33" s="152">
        <v>12.89</v>
      </c>
      <c r="I33" s="152">
        <v>6.52</v>
      </c>
      <c r="J33" s="152">
        <v>7.97</v>
      </c>
      <c r="K33" s="152">
        <v>8.81</v>
      </c>
    </row>
    <row r="34" spans="1:11" ht="15" x14ac:dyDescent="0.25">
      <c r="A34" s="157"/>
    </row>
    <row r="35" spans="1:11" ht="15" x14ac:dyDescent="0.25">
      <c r="A35" s="157"/>
    </row>
    <row r="36" spans="1:11" ht="15" x14ac:dyDescent="0.25">
      <c r="A36" s="157" t="s">
        <v>191</v>
      </c>
    </row>
    <row r="37" spans="1:11" s="155" customFormat="1" ht="15" x14ac:dyDescent="0.25">
      <c r="A37" s="153" t="s">
        <v>188</v>
      </c>
      <c r="B37" s="154">
        <v>38442</v>
      </c>
      <c r="C37" s="154">
        <v>38807</v>
      </c>
      <c r="D37" s="154">
        <v>39172</v>
      </c>
      <c r="E37" s="154">
        <v>39538</v>
      </c>
      <c r="F37" s="154">
        <v>39903</v>
      </c>
      <c r="G37" s="154">
        <v>40268</v>
      </c>
      <c r="H37" s="154">
        <v>40633</v>
      </c>
      <c r="I37" s="154">
        <v>40999</v>
      </c>
      <c r="J37" s="154">
        <v>41364</v>
      </c>
      <c r="K37" s="154">
        <v>41729</v>
      </c>
    </row>
    <row r="38" spans="1:11" x14ac:dyDescent="0.2">
      <c r="A38" s="156" t="s">
        <v>36</v>
      </c>
      <c r="B38" s="152">
        <v>23.85</v>
      </c>
      <c r="C38" s="152">
        <v>23.85</v>
      </c>
      <c r="D38" s="152">
        <v>28.02</v>
      </c>
      <c r="E38" s="152">
        <v>28.02</v>
      </c>
      <c r="F38" s="152">
        <v>28.02</v>
      </c>
      <c r="G38" s="152">
        <v>28.02</v>
      </c>
      <c r="H38" s="152">
        <v>28.02</v>
      </c>
      <c r="I38" s="152">
        <v>28.02</v>
      </c>
      <c r="J38" s="152">
        <v>28.02</v>
      </c>
      <c r="K38" s="152">
        <v>28.02</v>
      </c>
    </row>
    <row r="39" spans="1:11" x14ac:dyDescent="0.2">
      <c r="A39" s="156" t="s">
        <v>37</v>
      </c>
      <c r="B39" s="152">
        <v>13.67</v>
      </c>
      <c r="C39" s="152">
        <v>31.58</v>
      </c>
      <c r="D39" s="152">
        <v>89.36</v>
      </c>
      <c r="E39" s="152">
        <v>113.67</v>
      </c>
      <c r="F39" s="152">
        <v>113.99</v>
      </c>
      <c r="G39" s="152">
        <v>94.72</v>
      </c>
      <c r="H39" s="152">
        <v>85.88</v>
      </c>
      <c r="I39" s="152">
        <v>91.58</v>
      </c>
      <c r="J39" s="152">
        <v>83.03</v>
      </c>
      <c r="K39" s="152">
        <v>120.74</v>
      </c>
    </row>
    <row r="40" spans="1:11" x14ac:dyDescent="0.2">
      <c r="A40" s="156" t="s">
        <v>38</v>
      </c>
      <c r="B40" s="152">
        <v>60.87</v>
      </c>
      <c r="C40" s="152">
        <v>55.78</v>
      </c>
      <c r="D40" s="152">
        <v>50.97</v>
      </c>
      <c r="E40" s="152">
        <v>104.87</v>
      </c>
      <c r="F40" s="152">
        <v>128.07</v>
      </c>
      <c r="G40" s="152">
        <v>132.43</v>
      </c>
      <c r="H40" s="152">
        <v>132.54</v>
      </c>
      <c r="I40" s="152">
        <v>149.06</v>
      </c>
      <c r="J40" s="152">
        <v>122.62</v>
      </c>
      <c r="K40" s="152">
        <v>28.5</v>
      </c>
    </row>
    <row r="41" spans="1:11" x14ac:dyDescent="0.2">
      <c r="A41" s="156" t="s">
        <v>39</v>
      </c>
      <c r="B41" s="152">
        <v>0</v>
      </c>
      <c r="C41" s="152">
        <v>25</v>
      </c>
      <c r="D41" s="152">
        <v>0</v>
      </c>
      <c r="E41" s="152">
        <v>0</v>
      </c>
      <c r="F41" s="152">
        <v>0</v>
      </c>
      <c r="G41" s="152">
        <v>0</v>
      </c>
      <c r="H41" s="152">
        <v>0</v>
      </c>
      <c r="I41" s="152">
        <v>0</v>
      </c>
      <c r="J41" s="152">
        <v>0</v>
      </c>
      <c r="K41" s="152">
        <v>0</v>
      </c>
    </row>
    <row r="42" spans="1:11" ht="15" x14ac:dyDescent="0.25">
      <c r="A42" s="157" t="s">
        <v>40</v>
      </c>
      <c r="B42" s="152">
        <v>122.42</v>
      </c>
      <c r="C42" s="152">
        <v>159.12</v>
      </c>
      <c r="D42" s="152">
        <v>181.51</v>
      </c>
      <c r="E42" s="152">
        <v>259.72000000000003</v>
      </c>
      <c r="F42" s="152">
        <v>283.24</v>
      </c>
      <c r="G42" s="152">
        <v>268.33</v>
      </c>
      <c r="H42" s="152">
        <v>259.60000000000002</v>
      </c>
      <c r="I42" s="152">
        <v>281.82</v>
      </c>
      <c r="J42" s="152">
        <v>246.83</v>
      </c>
      <c r="K42" s="152">
        <v>190.42</v>
      </c>
    </row>
    <row r="43" spans="1:11" x14ac:dyDescent="0.2">
      <c r="A43" s="156" t="s">
        <v>41</v>
      </c>
      <c r="B43" s="152">
        <v>84.7</v>
      </c>
      <c r="C43" s="152">
        <v>82.3</v>
      </c>
      <c r="D43" s="152">
        <v>76</v>
      </c>
      <c r="E43" s="152">
        <v>95.96</v>
      </c>
      <c r="F43" s="152">
        <v>114.27</v>
      </c>
      <c r="G43" s="152">
        <v>105.88</v>
      </c>
      <c r="H43" s="152">
        <v>110.21</v>
      </c>
      <c r="I43" s="152">
        <v>102.64</v>
      </c>
      <c r="J43" s="152">
        <v>90.85</v>
      </c>
      <c r="K43" s="152">
        <v>31.39</v>
      </c>
    </row>
    <row r="44" spans="1:11" x14ac:dyDescent="0.2">
      <c r="A44" s="156" t="s">
        <v>42</v>
      </c>
      <c r="B44" s="152">
        <v>3.47</v>
      </c>
      <c r="C44" s="152">
        <v>3.66</v>
      </c>
      <c r="D44" s="152">
        <v>19.23</v>
      </c>
      <c r="E44" s="152">
        <v>17.350000000000001</v>
      </c>
      <c r="F44" s="152">
        <v>8.34</v>
      </c>
      <c r="G44" s="152">
        <v>12.17</v>
      </c>
      <c r="H44" s="152">
        <v>8.3699999999999992</v>
      </c>
      <c r="I44" s="152">
        <v>0.39</v>
      </c>
      <c r="J44" s="152">
        <v>0</v>
      </c>
      <c r="K44" s="152">
        <v>0.06</v>
      </c>
    </row>
    <row r="45" spans="1:11" x14ac:dyDescent="0.2">
      <c r="A45" s="156" t="s">
        <v>43</v>
      </c>
      <c r="B45" s="152">
        <v>0</v>
      </c>
      <c r="C45" s="152">
        <v>0.05</v>
      </c>
      <c r="D45" s="152">
        <v>0</v>
      </c>
      <c r="E45" s="152">
        <v>0</v>
      </c>
      <c r="F45" s="152">
        <v>0.05</v>
      </c>
      <c r="G45" s="152">
        <v>0</v>
      </c>
      <c r="H45" s="152">
        <v>0.25</v>
      </c>
      <c r="I45" s="152">
        <v>0.25</v>
      </c>
      <c r="J45" s="152">
        <v>0.28999999999999998</v>
      </c>
      <c r="K45" s="152">
        <v>79.27</v>
      </c>
    </row>
    <row r="46" spans="1:11" x14ac:dyDescent="0.2">
      <c r="A46" s="156" t="s">
        <v>44</v>
      </c>
      <c r="B46" s="152">
        <v>34.25</v>
      </c>
      <c r="C46" s="152">
        <v>73.11</v>
      </c>
      <c r="D46" s="152">
        <v>86.28</v>
      </c>
      <c r="E46" s="152">
        <v>146.43</v>
      </c>
      <c r="F46" s="152">
        <v>160.58000000000001</v>
      </c>
      <c r="G46" s="152">
        <v>150.28</v>
      </c>
      <c r="H46" s="152">
        <v>140.76</v>
      </c>
      <c r="I46" s="152">
        <v>178.54</v>
      </c>
      <c r="J46" s="152">
        <v>155.69</v>
      </c>
      <c r="K46" s="152">
        <v>79.7</v>
      </c>
    </row>
    <row r="47" spans="1:11" ht="15" x14ac:dyDescent="0.25">
      <c r="A47" s="157" t="s">
        <v>40</v>
      </c>
      <c r="B47" s="152">
        <v>122.42</v>
      </c>
      <c r="C47" s="152">
        <v>159.12</v>
      </c>
      <c r="D47" s="152">
        <v>181.51</v>
      </c>
      <c r="E47" s="152">
        <v>259.72000000000003</v>
      </c>
      <c r="F47" s="152">
        <v>283.24</v>
      </c>
      <c r="G47" s="152">
        <v>268.33</v>
      </c>
      <c r="H47" s="152">
        <v>259.60000000000002</v>
      </c>
      <c r="I47" s="152">
        <v>281.82</v>
      </c>
      <c r="J47" s="152">
        <v>246.83</v>
      </c>
      <c r="K47" s="152">
        <v>190.42</v>
      </c>
    </row>
    <row r="48" spans="1:11" x14ac:dyDescent="0.2">
      <c r="A48" s="156" t="s">
        <v>192</v>
      </c>
      <c r="B48" s="152">
        <v>238.49</v>
      </c>
      <c r="C48" s="152">
        <v>238.49</v>
      </c>
      <c r="D48" s="152">
        <v>280.19</v>
      </c>
      <c r="E48" s="152">
        <v>280.19</v>
      </c>
      <c r="F48" s="152">
        <v>280.19</v>
      </c>
      <c r="G48" s="152">
        <v>280.19</v>
      </c>
      <c r="H48" s="152">
        <v>280.19</v>
      </c>
      <c r="I48" s="152">
        <v>280.19</v>
      </c>
      <c r="J48" s="152">
        <v>280.19</v>
      </c>
      <c r="K48" s="152">
        <v>280.19</v>
      </c>
    </row>
    <row r="51" spans="1:11" ht="15" x14ac:dyDescent="0.25">
      <c r="A51" s="151" t="s">
        <v>193</v>
      </c>
    </row>
    <row r="52" spans="1:11" s="155" customFormat="1" ht="15" x14ac:dyDescent="0.25">
      <c r="A52" s="153" t="s">
        <v>188</v>
      </c>
      <c r="B52" s="154">
        <v>38442</v>
      </c>
      <c r="C52" s="154">
        <v>38807</v>
      </c>
      <c r="D52" s="154">
        <v>39172</v>
      </c>
      <c r="E52" s="154">
        <v>39538</v>
      </c>
      <c r="F52" s="154">
        <v>39903</v>
      </c>
      <c r="G52" s="154">
        <v>40268</v>
      </c>
      <c r="H52" s="154">
        <v>40633</v>
      </c>
      <c r="I52" s="154">
        <v>40999</v>
      </c>
      <c r="J52" s="154">
        <v>41364</v>
      </c>
      <c r="K52" s="154">
        <v>41729</v>
      </c>
    </row>
    <row r="53" spans="1:11" s="151" customFormat="1" ht="15" x14ac:dyDescent="0.25">
      <c r="A53" s="151" t="s">
        <v>53</v>
      </c>
      <c r="B53" s="151">
        <v>17.989999999999998</v>
      </c>
      <c r="C53" s="151">
        <v>19.77</v>
      </c>
      <c r="D53" s="151">
        <v>20.04</v>
      </c>
      <c r="E53" s="151">
        <v>-8.27</v>
      </c>
      <c r="F53" s="151">
        <v>28.72</v>
      </c>
      <c r="G53" s="151">
        <v>28.34</v>
      </c>
      <c r="H53" s="151">
        <v>24.01</v>
      </c>
      <c r="I53" s="151">
        <v>-1.0900000000000001</v>
      </c>
      <c r="J53" s="151">
        <v>24.09</v>
      </c>
      <c r="K53" s="151">
        <v>70.69</v>
      </c>
    </row>
    <row r="54" spans="1:11" s="180" customFormat="1" ht="15" x14ac:dyDescent="0.25">
      <c r="A54" s="179" t="s">
        <v>54</v>
      </c>
      <c r="B54" s="180">
        <v>-13.11</v>
      </c>
      <c r="C54" s="180">
        <v>-14.85</v>
      </c>
      <c r="D54" s="180">
        <v>-19.71</v>
      </c>
      <c r="E54" s="180">
        <v>-29.52</v>
      </c>
      <c r="F54" s="180">
        <v>-19.47</v>
      </c>
      <c r="G54" s="180">
        <v>-10.39</v>
      </c>
      <c r="H54" s="180">
        <v>-13.47</v>
      </c>
      <c r="I54" s="180">
        <v>-2.46</v>
      </c>
      <c r="J54" s="180">
        <v>13.45</v>
      </c>
      <c r="K54" s="180">
        <v>0.69</v>
      </c>
    </row>
    <row r="55" spans="1:11" s="180" customFormat="1" ht="15" x14ac:dyDescent="0.25">
      <c r="A55" s="179" t="s">
        <v>55</v>
      </c>
      <c r="B55" s="180">
        <v>-5.6</v>
      </c>
      <c r="C55" s="180">
        <v>6.85</v>
      </c>
      <c r="D55" s="180">
        <v>-10.68</v>
      </c>
      <c r="E55" s="180">
        <v>37.69</v>
      </c>
      <c r="F55" s="180">
        <v>-4.6100000000000003</v>
      </c>
      <c r="G55" s="180">
        <v>-11.41</v>
      </c>
      <c r="H55" s="180">
        <v>-14.84</v>
      </c>
      <c r="I55" s="180">
        <v>3.85</v>
      </c>
      <c r="J55" s="180">
        <v>-40.85</v>
      </c>
      <c r="K55" s="180">
        <v>-57.75</v>
      </c>
    </row>
    <row r="56" spans="1:11" s="151" customFormat="1" ht="15" x14ac:dyDescent="0.25">
      <c r="A56" s="157" t="s">
        <v>56</v>
      </c>
      <c r="B56" s="151">
        <v>-0.71</v>
      </c>
      <c r="C56" s="151">
        <v>11.77</v>
      </c>
      <c r="D56" s="151">
        <v>-10.36</v>
      </c>
      <c r="E56" s="151">
        <v>-0.11</v>
      </c>
      <c r="F56" s="151">
        <v>4.6500000000000004</v>
      </c>
      <c r="G56" s="151">
        <v>6.54</v>
      </c>
      <c r="H56" s="151">
        <v>-4.3</v>
      </c>
      <c r="I56" s="151">
        <v>0.3</v>
      </c>
      <c r="J56" s="151">
        <v>-3.31</v>
      </c>
      <c r="K56" s="151">
        <v>13.63</v>
      </c>
    </row>
    <row r="57" spans="1:11" s="180" customFormat="1" ht="15" x14ac:dyDescent="0.25">
      <c r="A57" s="179" t="s">
        <v>57</v>
      </c>
      <c r="B57" s="180">
        <v>1.26</v>
      </c>
      <c r="C57" s="180">
        <v>13.04</v>
      </c>
      <c r="D57" s="180">
        <v>2.68</v>
      </c>
      <c r="E57" s="180">
        <v>2.57</v>
      </c>
      <c r="F57" s="180">
        <v>7.21</v>
      </c>
      <c r="G57" s="180">
        <v>13.76</v>
      </c>
      <c r="H57" s="180">
        <v>9.4600000000000009</v>
      </c>
      <c r="I57" s="180">
        <v>9.76</v>
      </c>
      <c r="J57" s="180">
        <v>4.91</v>
      </c>
      <c r="K57" s="180">
        <v>18.5</v>
      </c>
    </row>
    <row r="58" spans="1:11" ht="15" x14ac:dyDescent="0.25">
      <c r="A58" s="157"/>
    </row>
    <row r="59" spans="1:11" ht="15" x14ac:dyDescent="0.25">
      <c r="A59" s="157"/>
    </row>
    <row r="60" spans="1:11" ht="15" x14ac:dyDescent="0.25">
      <c r="A60" s="157" t="s">
        <v>194</v>
      </c>
    </row>
    <row r="61" spans="1:11" x14ac:dyDescent="0.2">
      <c r="A61" s="156" t="s">
        <v>195</v>
      </c>
      <c r="B61" s="152">
        <v>2.8</v>
      </c>
    </row>
    <row r="62" spans="1:11" x14ac:dyDescent="0.2">
      <c r="A62" s="156" t="s">
        <v>196</v>
      </c>
      <c r="B62" s="152">
        <v>10</v>
      </c>
    </row>
    <row r="63" spans="1:11" x14ac:dyDescent="0.2">
      <c r="A63" s="156" t="s">
        <v>197</v>
      </c>
      <c r="B63" s="152">
        <v>116.1</v>
      </c>
    </row>
    <row r="64" spans="1:11" x14ac:dyDescent="0.2">
      <c r="A64" s="156" t="s">
        <v>198</v>
      </c>
      <c r="B64" s="152">
        <v>26.29</v>
      </c>
    </row>
    <row r="65" spans="1:11" s="155" customFormat="1" ht="15" x14ac:dyDescent="0.25">
      <c r="A65" s="153" t="s">
        <v>188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</row>
    <row r="66" spans="1:11" x14ac:dyDescent="0.2">
      <c r="A66" s="156" t="s">
        <v>45</v>
      </c>
      <c r="B66" s="152">
        <v>0</v>
      </c>
      <c r="C66" s="152">
        <v>0</v>
      </c>
      <c r="D66" s="152">
        <v>0</v>
      </c>
      <c r="E66" s="152">
        <v>0</v>
      </c>
      <c r="F66" s="152">
        <v>0</v>
      </c>
      <c r="G66" s="152">
        <v>98.06</v>
      </c>
      <c r="H66" s="152">
        <v>106.25</v>
      </c>
      <c r="I66" s="152">
        <v>123.14</v>
      </c>
      <c r="J66" s="152">
        <v>163.22</v>
      </c>
      <c r="K66" s="152">
        <v>70.19</v>
      </c>
    </row>
    <row r="67" spans="1:11" x14ac:dyDescent="0.2">
      <c r="A67" s="156" t="s">
        <v>46</v>
      </c>
      <c r="B67" s="152">
        <v>0</v>
      </c>
      <c r="C67" s="152">
        <v>0</v>
      </c>
      <c r="D67" s="152">
        <v>0</v>
      </c>
      <c r="E67" s="152">
        <v>0</v>
      </c>
      <c r="F67" s="152">
        <v>0</v>
      </c>
      <c r="G67" s="152">
        <v>88.34</v>
      </c>
      <c r="H67" s="152">
        <v>79.06</v>
      </c>
      <c r="I67" s="152">
        <v>99.83</v>
      </c>
      <c r="J67" s="152">
        <v>99.74</v>
      </c>
      <c r="K67" s="152">
        <v>51.84</v>
      </c>
    </row>
    <row r="68" spans="1:11" x14ac:dyDescent="0.2">
      <c r="A68" s="156"/>
    </row>
    <row r="69" spans="1:11" x14ac:dyDescent="0.2">
      <c r="A69" s="152" t="s">
        <v>199</v>
      </c>
      <c r="B69" s="152">
        <f>IF(B15&gt;0,B17/B15,0)</f>
        <v>5.8345498783454985</v>
      </c>
      <c r="C69" s="152">
        <f t="shared" ref="C69:K69" si="1">IF(C15&gt;0,C17/C15,0)</f>
        <v>7.474675596483884</v>
      </c>
      <c r="D69" s="152">
        <f t="shared" si="1"/>
        <v>9.6733396885923106</v>
      </c>
      <c r="E69" s="152">
        <f t="shared" si="1"/>
        <v>9.1389583333333331</v>
      </c>
      <c r="F69" s="152">
        <f t="shared" si="1"/>
        <v>177.22699386503069</v>
      </c>
      <c r="G69" s="152">
        <f t="shared" si="1"/>
        <v>0</v>
      </c>
      <c r="H69" s="152">
        <f t="shared" si="1"/>
        <v>0</v>
      </c>
      <c r="I69" s="152">
        <f t="shared" si="1"/>
        <v>33.019264448336251</v>
      </c>
      <c r="J69" s="152">
        <f t="shared" si="1"/>
        <v>0</v>
      </c>
      <c r="K69" s="152">
        <f t="shared" si="1"/>
        <v>1.9589618456078084</v>
      </c>
    </row>
    <row r="71" spans="1:11" x14ac:dyDescent="0.2">
      <c r="A71" s="152" t="s">
        <v>200</v>
      </c>
      <c r="B71" s="152">
        <v>0</v>
      </c>
      <c r="C71" s="152">
        <v>0</v>
      </c>
      <c r="D71" s="152">
        <v>0</v>
      </c>
      <c r="E71" s="152">
        <v>0</v>
      </c>
      <c r="F71" s="152">
        <v>0</v>
      </c>
      <c r="G71" s="152">
        <v>11.63</v>
      </c>
      <c r="H71" s="152">
        <v>6.66</v>
      </c>
      <c r="I71" s="152">
        <v>8.14</v>
      </c>
      <c r="J71" s="152">
        <v>6.97</v>
      </c>
      <c r="K71" s="152">
        <v>19.61</v>
      </c>
    </row>
    <row r="72" spans="1:11" x14ac:dyDescent="0.2">
      <c r="A72" s="152" t="s">
        <v>201</v>
      </c>
      <c r="B72" s="152">
        <v>3.02</v>
      </c>
      <c r="C72" s="152">
        <v>4</v>
      </c>
      <c r="D72" s="152">
        <v>6.83</v>
      </c>
      <c r="E72" s="152">
        <v>9.3000000000000007</v>
      </c>
      <c r="F72" s="152">
        <v>0.93</v>
      </c>
      <c r="G72" s="152">
        <v>0</v>
      </c>
      <c r="H72" s="152">
        <v>0</v>
      </c>
      <c r="I72" s="152">
        <v>0</v>
      </c>
      <c r="J72" s="152">
        <v>0</v>
      </c>
      <c r="K72" s="152">
        <v>37.21</v>
      </c>
    </row>
  </sheetData>
  <sheetProtection selectLockedCells="1" selectUnlockedCells="1"/>
  <mergeCells count="1">
    <mergeCell ref="E1:K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2"/>
  <sheetViews>
    <sheetView topLeftCell="A4" workbookViewId="0">
      <selection activeCell="P6" sqref="P6"/>
    </sheetView>
  </sheetViews>
  <sheetFormatPr defaultColWidth="8.7109375" defaultRowHeight="12.75" x14ac:dyDescent="0.2"/>
  <cols>
    <col min="1" max="1" width="30.42578125" customWidth="1"/>
    <col min="2" max="4" width="10.140625" customWidth="1"/>
    <col min="5" max="5" width="12.140625" customWidth="1"/>
    <col min="6" max="8" width="10.7109375" customWidth="1"/>
    <col min="9" max="9" width="10.140625" customWidth="1"/>
    <col min="10" max="10" width="11.140625" customWidth="1"/>
    <col min="11" max="11" width="10.7109375" customWidth="1"/>
    <col min="12" max="12" width="11.7109375" customWidth="1"/>
  </cols>
  <sheetData>
    <row r="1" spans="1:18" s="43" customFormat="1" ht="15" x14ac:dyDescent="0.25">
      <c r="A1" s="70" t="str">
        <f>'Data Sheet'!A1</f>
        <v>PHOENIX LAMPS LIMITED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8" s="43" customFormat="1" ht="15" x14ac:dyDescent="0.25">
      <c r="A2" s="7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8" ht="15" x14ac:dyDescent="0.25">
      <c r="A3" s="101" t="s">
        <v>202</v>
      </c>
      <c r="B3" s="102">
        <f>'Data Sheet'!K$4</f>
        <v>41729</v>
      </c>
      <c r="C3" s="102">
        <f>'Data Sheet'!J$4</f>
        <v>41364</v>
      </c>
      <c r="D3" s="102">
        <f>'Data Sheet'!I$4</f>
        <v>40999</v>
      </c>
      <c r="E3" s="102">
        <f>'Data Sheet'!H$4</f>
        <v>40633</v>
      </c>
      <c r="F3" s="102">
        <f>'Data Sheet'!G$4</f>
        <v>40268</v>
      </c>
      <c r="G3" s="102">
        <f>'Data Sheet'!F$4</f>
        <v>39903</v>
      </c>
      <c r="H3" s="102">
        <f>'Data Sheet'!E$4</f>
        <v>39538</v>
      </c>
      <c r="I3" s="102">
        <f>'Data Sheet'!D$4</f>
        <v>39172</v>
      </c>
      <c r="J3" s="102">
        <f>'Data Sheet'!C$4</f>
        <v>38807</v>
      </c>
      <c r="K3" s="102">
        <f>'Data Sheet'!B$4</f>
        <v>38442</v>
      </c>
      <c r="L3" s="102" t="s">
        <v>203</v>
      </c>
      <c r="M3" s="94"/>
      <c r="N3" s="94"/>
      <c r="O3" s="94"/>
      <c r="P3" s="94"/>
      <c r="Q3" s="94"/>
      <c r="R3" s="94"/>
    </row>
    <row r="4" spans="1:18" x14ac:dyDescent="0.2">
      <c r="A4" s="110" t="s">
        <v>145</v>
      </c>
      <c r="B4" s="108">
        <f>'Other Input Data'!B15</f>
        <v>0</v>
      </c>
      <c r="C4" s="108">
        <f>'Other Input Data'!C15</f>
        <v>0</v>
      </c>
      <c r="D4" s="108">
        <f>'Other Input Data'!D15</f>
        <v>0</v>
      </c>
      <c r="E4" s="108">
        <f>'Other Input Data'!E15</f>
        <v>0</v>
      </c>
      <c r="F4" s="108">
        <f>'Other Input Data'!F15</f>
        <v>0</v>
      </c>
      <c r="G4" s="108">
        <f>'Other Input Data'!G15</f>
        <v>0</v>
      </c>
      <c r="H4" s="108">
        <f>'Other Input Data'!H15</f>
        <v>0</v>
      </c>
      <c r="I4" s="108">
        <f>'Other Input Data'!I15</f>
        <v>0</v>
      </c>
      <c r="J4" s="108">
        <f>'Other Input Data'!J15</f>
        <v>0</v>
      </c>
      <c r="K4" s="108">
        <f>'Other Input Data'!K15</f>
        <v>0</v>
      </c>
      <c r="L4" s="112" t="e">
        <f t="shared" ref="L4:L11" si="0">(B4/J4)^(1/8)-1</f>
        <v>#DIV/0!</v>
      </c>
      <c r="M4" s="94"/>
      <c r="N4" s="94"/>
      <c r="O4" s="94"/>
      <c r="P4" s="94"/>
      <c r="Q4" s="94"/>
      <c r="R4" s="94"/>
    </row>
    <row r="5" spans="1:18" x14ac:dyDescent="0.2">
      <c r="A5" s="110" t="s">
        <v>146</v>
      </c>
      <c r="B5" s="108">
        <f>'Other Input Data'!B16</f>
        <v>0</v>
      </c>
      <c r="C5" s="108">
        <f>'Other Input Data'!C16</f>
        <v>0</v>
      </c>
      <c r="D5" s="108">
        <f>'Other Input Data'!D16</f>
        <v>0</v>
      </c>
      <c r="E5" s="108">
        <f>'Other Input Data'!E16</f>
        <v>0</v>
      </c>
      <c r="F5" s="108">
        <f>'Other Input Data'!F16</f>
        <v>0</v>
      </c>
      <c r="G5" s="108">
        <f>'Other Input Data'!G16</f>
        <v>0</v>
      </c>
      <c r="H5" s="108">
        <f>'Other Input Data'!H16</f>
        <v>0</v>
      </c>
      <c r="I5" s="108">
        <f>'Other Input Data'!I16</f>
        <v>0</v>
      </c>
      <c r="J5" s="108">
        <f>'Other Input Data'!J16</f>
        <v>0</v>
      </c>
      <c r="K5" s="108">
        <f>'Other Input Data'!K16</f>
        <v>0</v>
      </c>
      <c r="L5" s="112" t="e">
        <f t="shared" si="0"/>
        <v>#DIV/0!</v>
      </c>
      <c r="M5" s="94"/>
      <c r="N5" s="94"/>
      <c r="O5" s="94"/>
      <c r="P5" s="94"/>
      <c r="Q5" s="94"/>
      <c r="R5" s="94"/>
    </row>
    <row r="6" spans="1:18" x14ac:dyDescent="0.2">
      <c r="A6" s="110" t="s">
        <v>147</v>
      </c>
      <c r="B6" s="108">
        <f>'Other Input Data'!B17</f>
        <v>0</v>
      </c>
      <c r="C6" s="108">
        <f>'Other Input Data'!C17</f>
        <v>0</v>
      </c>
      <c r="D6" s="108">
        <f>'Other Input Data'!D17</f>
        <v>0</v>
      </c>
      <c r="E6" s="108">
        <f>'Other Input Data'!E17</f>
        <v>0</v>
      </c>
      <c r="F6" s="108">
        <f>'Other Input Data'!F17</f>
        <v>0</v>
      </c>
      <c r="G6" s="108">
        <f>'Other Input Data'!G17</f>
        <v>0</v>
      </c>
      <c r="H6" s="108">
        <f>'Other Input Data'!H17</f>
        <v>0</v>
      </c>
      <c r="I6" s="108">
        <f>'Other Input Data'!I17</f>
        <v>0</v>
      </c>
      <c r="J6" s="108">
        <f>'Other Input Data'!J17</f>
        <v>0</v>
      </c>
      <c r="K6" s="108">
        <f>'Other Input Data'!K17</f>
        <v>0</v>
      </c>
      <c r="L6" s="112" t="e">
        <f t="shared" si="0"/>
        <v>#DIV/0!</v>
      </c>
      <c r="M6" s="94"/>
      <c r="N6" s="94"/>
      <c r="O6" s="94"/>
      <c r="P6" s="94"/>
      <c r="Q6" s="94"/>
      <c r="R6" s="94"/>
    </row>
    <row r="7" spans="1:18" x14ac:dyDescent="0.2">
      <c r="A7" s="110" t="s">
        <v>148</v>
      </c>
      <c r="B7" s="108">
        <f>'Other Input Data'!B18</f>
        <v>0</v>
      </c>
      <c r="C7" s="108">
        <f>'Other Input Data'!C18</f>
        <v>0</v>
      </c>
      <c r="D7" s="108">
        <f>'Other Input Data'!D18</f>
        <v>0</v>
      </c>
      <c r="E7" s="108">
        <f>'Other Input Data'!E18</f>
        <v>0</v>
      </c>
      <c r="F7" s="108">
        <f>'Other Input Data'!F18</f>
        <v>0</v>
      </c>
      <c r="G7" s="108">
        <f>'Other Input Data'!G18</f>
        <v>0</v>
      </c>
      <c r="H7" s="108">
        <f>'Other Input Data'!H18</f>
        <v>0</v>
      </c>
      <c r="I7" s="108">
        <f>'Other Input Data'!I18</f>
        <v>0</v>
      </c>
      <c r="J7" s="108">
        <f>'Other Input Data'!J18</f>
        <v>0</v>
      </c>
      <c r="K7" s="108">
        <f>'Other Input Data'!K18</f>
        <v>0</v>
      </c>
      <c r="L7" s="112" t="e">
        <f t="shared" si="0"/>
        <v>#DIV/0!</v>
      </c>
      <c r="M7" s="94"/>
      <c r="N7" s="94"/>
      <c r="O7" s="94"/>
      <c r="P7" s="94"/>
      <c r="Q7" s="94"/>
      <c r="R7" s="94"/>
    </row>
    <row r="8" spans="1:18" x14ac:dyDescent="0.2">
      <c r="A8" s="110" t="s">
        <v>149</v>
      </c>
      <c r="B8" s="108">
        <f>'Other Input Data'!B19</f>
        <v>0</v>
      </c>
      <c r="C8" s="108">
        <f>'Other Input Data'!C19</f>
        <v>0</v>
      </c>
      <c r="D8" s="108">
        <f>'Other Input Data'!D19</f>
        <v>0</v>
      </c>
      <c r="E8" s="108">
        <f>'Other Input Data'!E19</f>
        <v>0</v>
      </c>
      <c r="F8" s="108">
        <f>'Other Input Data'!F19</f>
        <v>0</v>
      </c>
      <c r="G8" s="108">
        <f>'Other Input Data'!G19</f>
        <v>0</v>
      </c>
      <c r="H8" s="108">
        <f>'Other Input Data'!H19</f>
        <v>0</v>
      </c>
      <c r="I8" s="108">
        <f>'Other Input Data'!I19</f>
        <v>0</v>
      </c>
      <c r="J8" s="108">
        <f>'Other Input Data'!J19</f>
        <v>0</v>
      </c>
      <c r="K8" s="108">
        <f>'Other Input Data'!K19</f>
        <v>0</v>
      </c>
      <c r="L8" s="112" t="e">
        <f t="shared" si="0"/>
        <v>#DIV/0!</v>
      </c>
      <c r="M8" s="94"/>
      <c r="N8" s="94"/>
      <c r="O8" s="94"/>
      <c r="P8" s="94"/>
      <c r="Q8" s="94"/>
      <c r="R8" s="94"/>
    </row>
    <row r="9" spans="1:18" x14ac:dyDescent="0.2">
      <c r="A9" s="110" t="s">
        <v>204</v>
      </c>
      <c r="B9" s="108">
        <f>'Other Input Data'!B20</f>
        <v>0</v>
      </c>
      <c r="C9" s="108">
        <f>'Other Input Data'!C20</f>
        <v>0</v>
      </c>
      <c r="D9" s="108">
        <f>'Other Input Data'!D20</f>
        <v>0</v>
      </c>
      <c r="E9" s="108">
        <f>'Other Input Data'!E20</f>
        <v>0</v>
      </c>
      <c r="F9" s="108">
        <f>'Other Input Data'!F20</f>
        <v>0</v>
      </c>
      <c r="G9" s="108">
        <f>'Other Input Data'!G20</f>
        <v>0</v>
      </c>
      <c r="H9" s="108">
        <f>'Other Input Data'!H20</f>
        <v>0</v>
      </c>
      <c r="I9" s="108">
        <f>'Other Input Data'!I20</f>
        <v>0</v>
      </c>
      <c r="J9" s="108">
        <f>'Other Input Data'!J20</f>
        <v>0</v>
      </c>
      <c r="K9" s="108">
        <f>'Other Input Data'!K20</f>
        <v>0</v>
      </c>
      <c r="L9" s="112" t="e">
        <f t="shared" si="0"/>
        <v>#DIV/0!</v>
      </c>
      <c r="M9" s="94"/>
      <c r="N9" s="94"/>
      <c r="O9" s="94"/>
      <c r="P9" s="94"/>
      <c r="Q9" s="94"/>
      <c r="R9" s="94"/>
    </row>
    <row r="10" spans="1:18" x14ac:dyDescent="0.2">
      <c r="A10" s="110" t="s">
        <v>151</v>
      </c>
      <c r="B10" s="108">
        <f>'Other Input Data'!B21</f>
        <v>0</v>
      </c>
      <c r="C10" s="108">
        <f>'Other Input Data'!C21</f>
        <v>0</v>
      </c>
      <c r="D10" s="108">
        <f>'Other Input Data'!D21</f>
        <v>0</v>
      </c>
      <c r="E10" s="108">
        <f>'Other Input Data'!E21</f>
        <v>0</v>
      </c>
      <c r="F10" s="108">
        <f>'Other Input Data'!F21</f>
        <v>0</v>
      </c>
      <c r="G10" s="108">
        <f>'Other Input Data'!G21</f>
        <v>0</v>
      </c>
      <c r="H10" s="108">
        <f>'Other Input Data'!H21</f>
        <v>0</v>
      </c>
      <c r="I10" s="108">
        <f>'Other Input Data'!I21</f>
        <v>0</v>
      </c>
      <c r="J10" s="108">
        <f>'Other Input Data'!J21</f>
        <v>0</v>
      </c>
      <c r="K10" s="108">
        <f>'Other Input Data'!K21</f>
        <v>0</v>
      </c>
      <c r="L10" s="112" t="e">
        <f t="shared" si="0"/>
        <v>#DIV/0!</v>
      </c>
      <c r="M10" s="94"/>
      <c r="N10" s="94"/>
      <c r="O10" s="94"/>
      <c r="P10" s="94"/>
      <c r="Q10" s="94"/>
      <c r="R10" s="94"/>
    </row>
    <row r="11" spans="1:18" x14ac:dyDescent="0.2">
      <c r="A11" s="110" t="s">
        <v>205</v>
      </c>
      <c r="B11" s="108">
        <f t="shared" ref="B11:J11" si="1">SUM(B5:B10)</f>
        <v>0</v>
      </c>
      <c r="C11" s="108">
        <f t="shared" si="1"/>
        <v>0</v>
      </c>
      <c r="D11" s="108">
        <f t="shared" si="1"/>
        <v>0</v>
      </c>
      <c r="E11" s="108">
        <f t="shared" si="1"/>
        <v>0</v>
      </c>
      <c r="F11" s="108">
        <f t="shared" si="1"/>
        <v>0</v>
      </c>
      <c r="G11" s="108">
        <f t="shared" si="1"/>
        <v>0</v>
      </c>
      <c r="H11" s="108">
        <f t="shared" si="1"/>
        <v>0</v>
      </c>
      <c r="I11" s="108">
        <f t="shared" si="1"/>
        <v>0</v>
      </c>
      <c r="J11" s="108">
        <f t="shared" si="1"/>
        <v>0</v>
      </c>
      <c r="K11" s="108"/>
      <c r="L11" s="112" t="e">
        <f t="shared" si="0"/>
        <v>#DIV/0!</v>
      </c>
      <c r="M11" s="94"/>
      <c r="N11" s="94"/>
      <c r="O11" s="94"/>
      <c r="P11" s="94"/>
      <c r="Q11" s="94"/>
      <c r="R11" s="94"/>
    </row>
    <row r="12" spans="1:18" ht="12.75" customHeight="1" x14ac:dyDescent="0.2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94"/>
      <c r="N12" s="94"/>
      <c r="O12" s="94"/>
      <c r="P12" s="94"/>
      <c r="Q12" s="94"/>
      <c r="R12" s="94"/>
    </row>
    <row r="13" spans="1:18" x14ac:dyDescent="0.2">
      <c r="A13" s="110" t="s">
        <v>5</v>
      </c>
      <c r="B13" s="110">
        <f>'Other Input Data'!B25</f>
        <v>370.88</v>
      </c>
      <c r="C13" s="110">
        <f>'Other Input Data'!C25</f>
        <v>436.93</v>
      </c>
      <c r="D13" s="110">
        <f>'Other Input Data'!D25</f>
        <v>453.39</v>
      </c>
      <c r="E13" s="110">
        <f>'Other Input Data'!E25</f>
        <v>418.73</v>
      </c>
      <c r="F13" s="110">
        <f>'Other Input Data'!F25</f>
        <v>442.44</v>
      </c>
      <c r="G13" s="110">
        <f>'Other Input Data'!G25</f>
        <v>384.12</v>
      </c>
      <c r="H13" s="110">
        <f>'Other Input Data'!H25</f>
        <v>356.65</v>
      </c>
      <c r="I13" s="110">
        <f>'Other Input Data'!I25</f>
        <v>277.83</v>
      </c>
      <c r="J13" s="110">
        <f>'Other Input Data'!J25</f>
        <v>232.72</v>
      </c>
      <c r="K13" s="110">
        <f>'Other Input Data'!K25</f>
        <v>192.94</v>
      </c>
      <c r="L13" s="112">
        <f>(B13/J13)^(1/8)-1</f>
        <v>5.9985594826756472E-2</v>
      </c>
      <c r="M13" s="94"/>
      <c r="N13" s="94"/>
      <c r="O13" s="94"/>
      <c r="P13" s="94"/>
      <c r="Q13" s="94"/>
      <c r="R13" s="94"/>
    </row>
    <row r="14" spans="1:18" x14ac:dyDescent="0.2">
      <c r="A14" s="110" t="s">
        <v>206</v>
      </c>
      <c r="B14" s="113">
        <f>'Other Input Data'!B15</f>
        <v>0</v>
      </c>
      <c r="C14" s="113">
        <f>'Other Input Data'!C15</f>
        <v>0</v>
      </c>
      <c r="D14" s="113">
        <f>'Other Input Data'!D15</f>
        <v>0</v>
      </c>
      <c r="E14" s="113">
        <f>'Other Input Data'!E15</f>
        <v>0</v>
      </c>
      <c r="F14" s="113">
        <f>'Other Input Data'!F15</f>
        <v>0</v>
      </c>
      <c r="G14" s="113">
        <f>'Other Input Data'!G15</f>
        <v>0</v>
      </c>
      <c r="H14" s="113">
        <f>'Other Input Data'!H15</f>
        <v>0</v>
      </c>
      <c r="I14" s="113">
        <f>'Other Input Data'!I15</f>
        <v>0</v>
      </c>
      <c r="J14" s="114">
        <f>'Other Input Data'!J15</f>
        <v>0</v>
      </c>
      <c r="K14" s="114">
        <f>'Other Input Data'!K15</f>
        <v>0</v>
      </c>
      <c r="L14" s="112" t="e">
        <f>(B14/J14)^(1/8)-1</f>
        <v>#DIV/0!</v>
      </c>
      <c r="M14" s="94"/>
      <c r="N14" s="94"/>
      <c r="O14" s="94"/>
      <c r="P14" s="94"/>
      <c r="Q14" s="94"/>
      <c r="R14" s="94"/>
    </row>
    <row r="15" spans="1:18" x14ac:dyDescent="0.2">
      <c r="A15" s="110" t="s">
        <v>154</v>
      </c>
      <c r="B15" s="113">
        <f t="shared" ref="B15:K15" si="2">B13-B14</f>
        <v>370.88</v>
      </c>
      <c r="C15" s="113">
        <f t="shared" si="2"/>
        <v>436.93</v>
      </c>
      <c r="D15" s="113">
        <f t="shared" si="2"/>
        <v>453.39</v>
      </c>
      <c r="E15" s="113">
        <f t="shared" si="2"/>
        <v>418.73</v>
      </c>
      <c r="F15" s="113">
        <f t="shared" si="2"/>
        <v>442.44</v>
      </c>
      <c r="G15" s="113">
        <f t="shared" si="2"/>
        <v>384.12</v>
      </c>
      <c r="H15" s="113">
        <f t="shared" si="2"/>
        <v>356.65</v>
      </c>
      <c r="I15" s="113">
        <f t="shared" si="2"/>
        <v>277.83</v>
      </c>
      <c r="J15" s="113">
        <f t="shared" si="2"/>
        <v>232.72</v>
      </c>
      <c r="K15" s="113">
        <f t="shared" si="2"/>
        <v>192.94</v>
      </c>
      <c r="L15" s="112">
        <f>(B15/J15)^(1/8)-1</f>
        <v>5.9985594826756472E-2</v>
      </c>
      <c r="M15" s="94"/>
      <c r="N15" s="94"/>
      <c r="O15" s="94"/>
      <c r="P15" s="94"/>
      <c r="Q15" s="94"/>
      <c r="R15" s="94"/>
    </row>
    <row r="16" spans="1:18" x14ac:dyDescent="0.2">
      <c r="A16" s="110" t="s">
        <v>207</v>
      </c>
      <c r="B16" s="111">
        <f t="shared" ref="B16:K16" si="3">B15/B13</f>
        <v>1</v>
      </c>
      <c r="C16" s="111">
        <f t="shared" si="3"/>
        <v>1</v>
      </c>
      <c r="D16" s="111">
        <f t="shared" si="3"/>
        <v>1</v>
      </c>
      <c r="E16" s="111">
        <f t="shared" si="3"/>
        <v>1</v>
      </c>
      <c r="F16" s="111">
        <f t="shared" si="3"/>
        <v>1</v>
      </c>
      <c r="G16" s="111">
        <f t="shared" si="3"/>
        <v>1</v>
      </c>
      <c r="H16" s="111">
        <f t="shared" si="3"/>
        <v>1</v>
      </c>
      <c r="I16" s="111">
        <f t="shared" si="3"/>
        <v>1</v>
      </c>
      <c r="J16" s="111">
        <f t="shared" si="3"/>
        <v>1</v>
      </c>
      <c r="K16" s="111">
        <f t="shared" si="3"/>
        <v>1</v>
      </c>
      <c r="L16" s="110"/>
      <c r="M16" s="115"/>
      <c r="N16" s="94"/>
      <c r="O16" s="94"/>
      <c r="P16" s="94"/>
      <c r="Q16" s="94"/>
      <c r="R16" s="94"/>
    </row>
    <row r="17" spans="1:18" x14ac:dyDescent="0.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spans="1:18" ht="15" x14ac:dyDescent="0.25">
      <c r="A18" s="101" t="s">
        <v>208</v>
      </c>
      <c r="B18" s="102">
        <f>'Data Sheet'!K$4</f>
        <v>41729</v>
      </c>
      <c r="C18" s="102">
        <f>'Data Sheet'!J$4</f>
        <v>41364</v>
      </c>
      <c r="D18" s="102">
        <f>'Data Sheet'!I$4</f>
        <v>40999</v>
      </c>
      <c r="E18" s="102">
        <f>'Data Sheet'!H$4</f>
        <v>40633</v>
      </c>
      <c r="F18" s="102">
        <f>'Data Sheet'!G$4</f>
        <v>40268</v>
      </c>
      <c r="G18" s="102">
        <f>'Data Sheet'!F$4</f>
        <v>39903</v>
      </c>
      <c r="H18" s="102">
        <f>'Data Sheet'!E$4</f>
        <v>39538</v>
      </c>
      <c r="I18" s="102">
        <f>'Data Sheet'!D$4</f>
        <v>39172</v>
      </c>
      <c r="J18" s="102">
        <f>'Data Sheet'!C$4</f>
        <v>38807</v>
      </c>
      <c r="K18" s="102">
        <f>'Data Sheet'!B$4</f>
        <v>38442</v>
      </c>
      <c r="L18" s="102" t="s">
        <v>209</v>
      </c>
      <c r="M18" s="102" t="s">
        <v>210</v>
      </c>
      <c r="N18" s="94"/>
      <c r="O18" s="94"/>
      <c r="P18" s="94"/>
      <c r="Q18" s="94"/>
      <c r="R18" s="94"/>
    </row>
    <row r="19" spans="1:18" x14ac:dyDescent="0.2">
      <c r="A19" s="110" t="s">
        <v>145</v>
      </c>
      <c r="B19" s="111">
        <f t="shared" ref="B19:J19" si="4">B4/B$13</f>
        <v>0</v>
      </c>
      <c r="C19" s="111">
        <f t="shared" si="4"/>
        <v>0</v>
      </c>
      <c r="D19" s="111">
        <f t="shared" si="4"/>
        <v>0</v>
      </c>
      <c r="E19" s="111">
        <f t="shared" si="4"/>
        <v>0</v>
      </c>
      <c r="F19" s="111">
        <f t="shared" si="4"/>
        <v>0</v>
      </c>
      <c r="G19" s="111">
        <f t="shared" si="4"/>
        <v>0</v>
      </c>
      <c r="H19" s="111">
        <f t="shared" si="4"/>
        <v>0</v>
      </c>
      <c r="I19" s="111">
        <f t="shared" si="4"/>
        <v>0</v>
      </c>
      <c r="J19" s="111">
        <f t="shared" si="4"/>
        <v>0</v>
      </c>
      <c r="K19" s="111"/>
      <c r="L19" s="116"/>
      <c r="M19" s="116"/>
      <c r="N19" s="94"/>
      <c r="O19" s="94"/>
      <c r="P19" s="94"/>
      <c r="Q19" s="94"/>
      <c r="R19" s="94"/>
    </row>
    <row r="20" spans="1:18" x14ac:dyDescent="0.2">
      <c r="A20" s="110" t="s">
        <v>146</v>
      </c>
      <c r="B20" s="111">
        <f t="shared" ref="B20:J20" si="5">B5/B$13</f>
        <v>0</v>
      </c>
      <c r="C20" s="111">
        <f t="shared" si="5"/>
        <v>0</v>
      </c>
      <c r="D20" s="111">
        <f t="shared" si="5"/>
        <v>0</v>
      </c>
      <c r="E20" s="111">
        <f t="shared" si="5"/>
        <v>0</v>
      </c>
      <c r="F20" s="111">
        <f t="shared" si="5"/>
        <v>0</v>
      </c>
      <c r="G20" s="111">
        <f t="shared" si="5"/>
        <v>0</v>
      </c>
      <c r="H20" s="111">
        <f t="shared" si="5"/>
        <v>0</v>
      </c>
      <c r="I20" s="111">
        <f t="shared" si="5"/>
        <v>0</v>
      </c>
      <c r="J20" s="111">
        <f t="shared" si="5"/>
        <v>0</v>
      </c>
      <c r="K20" s="111"/>
      <c r="L20" s="111">
        <f t="shared" ref="L20:L26" si="6">MAX(A20:J20)-MIN(A20:J20)</f>
        <v>0</v>
      </c>
      <c r="M20" s="111" t="e">
        <f t="shared" ref="M20:M26" si="7">NA()</f>
        <v>#N/A</v>
      </c>
      <c r="N20" s="94"/>
      <c r="O20" s="94"/>
      <c r="P20" s="94"/>
      <c r="Q20" s="94"/>
      <c r="R20" s="94"/>
    </row>
    <row r="21" spans="1:18" x14ac:dyDescent="0.2">
      <c r="A21" s="110" t="s">
        <v>211</v>
      </c>
      <c r="B21" s="111">
        <f t="shared" ref="B21:J21" si="8">B6/B$13</f>
        <v>0</v>
      </c>
      <c r="C21" s="111">
        <f t="shared" si="8"/>
        <v>0</v>
      </c>
      <c r="D21" s="111">
        <f t="shared" si="8"/>
        <v>0</v>
      </c>
      <c r="E21" s="111">
        <f t="shared" si="8"/>
        <v>0</v>
      </c>
      <c r="F21" s="111">
        <f t="shared" si="8"/>
        <v>0</v>
      </c>
      <c r="G21" s="111">
        <f t="shared" si="8"/>
        <v>0</v>
      </c>
      <c r="H21" s="111">
        <f t="shared" si="8"/>
        <v>0</v>
      </c>
      <c r="I21" s="111">
        <f t="shared" si="8"/>
        <v>0</v>
      </c>
      <c r="J21" s="111">
        <f t="shared" si="8"/>
        <v>0</v>
      </c>
      <c r="K21" s="111"/>
      <c r="L21" s="112">
        <f t="shared" si="6"/>
        <v>0</v>
      </c>
      <c r="M21" s="112" t="e">
        <f t="shared" si="7"/>
        <v>#N/A</v>
      </c>
      <c r="N21" s="94"/>
      <c r="O21" s="94"/>
      <c r="P21" s="94"/>
      <c r="Q21" s="94"/>
      <c r="R21" s="94"/>
    </row>
    <row r="22" spans="1:18" x14ac:dyDescent="0.2">
      <c r="A22" s="110" t="s">
        <v>148</v>
      </c>
      <c r="B22" s="112">
        <f t="shared" ref="B22:J22" si="9">B7/B$13</f>
        <v>0</v>
      </c>
      <c r="C22" s="112">
        <f t="shared" si="9"/>
        <v>0</v>
      </c>
      <c r="D22" s="112">
        <f t="shared" si="9"/>
        <v>0</v>
      </c>
      <c r="E22" s="112">
        <f t="shared" si="9"/>
        <v>0</v>
      </c>
      <c r="F22" s="111">
        <f t="shared" si="9"/>
        <v>0</v>
      </c>
      <c r="G22" s="111">
        <f t="shared" si="9"/>
        <v>0</v>
      </c>
      <c r="H22" s="111">
        <f t="shared" si="9"/>
        <v>0</v>
      </c>
      <c r="I22" s="111">
        <f t="shared" si="9"/>
        <v>0</v>
      </c>
      <c r="J22" s="111">
        <f t="shared" si="9"/>
        <v>0</v>
      </c>
      <c r="K22" s="111"/>
      <c r="L22" s="111">
        <f t="shared" si="6"/>
        <v>0</v>
      </c>
      <c r="M22" s="111" t="e">
        <f t="shared" si="7"/>
        <v>#N/A</v>
      </c>
      <c r="N22" s="94"/>
      <c r="O22" s="94"/>
      <c r="P22" s="94"/>
      <c r="Q22" s="94"/>
      <c r="R22" s="94"/>
    </row>
    <row r="23" spans="1:18" x14ac:dyDescent="0.2">
      <c r="A23" s="110" t="s">
        <v>149</v>
      </c>
      <c r="B23" s="111">
        <f t="shared" ref="B23:J23" si="10">B8/B$13</f>
        <v>0</v>
      </c>
      <c r="C23" s="111">
        <f t="shared" si="10"/>
        <v>0</v>
      </c>
      <c r="D23" s="111">
        <f t="shared" si="10"/>
        <v>0</v>
      </c>
      <c r="E23" s="111">
        <f t="shared" si="10"/>
        <v>0</v>
      </c>
      <c r="F23" s="111">
        <f t="shared" si="10"/>
        <v>0</v>
      </c>
      <c r="G23" s="111">
        <f t="shared" si="10"/>
        <v>0</v>
      </c>
      <c r="H23" s="111">
        <f t="shared" si="10"/>
        <v>0</v>
      </c>
      <c r="I23" s="111">
        <f t="shared" si="10"/>
        <v>0</v>
      </c>
      <c r="J23" s="111">
        <f t="shared" si="10"/>
        <v>0</v>
      </c>
      <c r="K23" s="111"/>
      <c r="L23" s="112">
        <f t="shared" si="6"/>
        <v>0</v>
      </c>
      <c r="M23" s="112" t="e">
        <f t="shared" si="7"/>
        <v>#N/A</v>
      </c>
      <c r="N23" s="94"/>
      <c r="O23" s="94"/>
      <c r="P23" s="94"/>
      <c r="Q23" s="94"/>
      <c r="R23" s="94"/>
    </row>
    <row r="24" spans="1:18" x14ac:dyDescent="0.2">
      <c r="A24" s="110" t="s">
        <v>212</v>
      </c>
      <c r="B24" s="111">
        <f t="shared" ref="B24:J24" si="11">B9/B$13</f>
        <v>0</v>
      </c>
      <c r="C24" s="111">
        <f t="shared" si="11"/>
        <v>0</v>
      </c>
      <c r="D24" s="111">
        <f t="shared" si="11"/>
        <v>0</v>
      </c>
      <c r="E24" s="111">
        <f t="shared" si="11"/>
        <v>0</v>
      </c>
      <c r="F24" s="111">
        <f t="shared" si="11"/>
        <v>0</v>
      </c>
      <c r="G24" s="111">
        <f t="shared" si="11"/>
        <v>0</v>
      </c>
      <c r="H24" s="111">
        <f t="shared" si="11"/>
        <v>0</v>
      </c>
      <c r="I24" s="111">
        <f t="shared" si="11"/>
        <v>0</v>
      </c>
      <c r="J24" s="111">
        <f t="shared" si="11"/>
        <v>0</v>
      </c>
      <c r="K24" s="111"/>
      <c r="L24" s="111">
        <f t="shared" si="6"/>
        <v>0</v>
      </c>
      <c r="M24" s="111" t="e">
        <f t="shared" si="7"/>
        <v>#N/A</v>
      </c>
      <c r="N24" s="94"/>
      <c r="O24" s="94"/>
      <c r="P24" s="94"/>
      <c r="Q24" s="94"/>
      <c r="R24" s="94"/>
    </row>
    <row r="25" spans="1:18" x14ac:dyDescent="0.2">
      <c r="A25" s="110" t="s">
        <v>213</v>
      </c>
      <c r="B25" s="111">
        <f t="shared" ref="B25:J25" si="12">B10/B$13</f>
        <v>0</v>
      </c>
      <c r="C25" s="111">
        <f t="shared" si="12"/>
        <v>0</v>
      </c>
      <c r="D25" s="111">
        <f t="shared" si="12"/>
        <v>0</v>
      </c>
      <c r="E25" s="111">
        <f t="shared" si="12"/>
        <v>0</v>
      </c>
      <c r="F25" s="111">
        <f t="shared" si="12"/>
        <v>0</v>
      </c>
      <c r="G25" s="111">
        <f t="shared" si="12"/>
        <v>0</v>
      </c>
      <c r="H25" s="111">
        <f t="shared" si="12"/>
        <v>0</v>
      </c>
      <c r="I25" s="111">
        <f t="shared" si="12"/>
        <v>0</v>
      </c>
      <c r="J25" s="111">
        <f t="shared" si="12"/>
        <v>0</v>
      </c>
      <c r="K25" s="111"/>
      <c r="L25" s="111">
        <f t="shared" si="6"/>
        <v>0</v>
      </c>
      <c r="M25" s="111" t="e">
        <f t="shared" si="7"/>
        <v>#N/A</v>
      </c>
      <c r="N25" s="94"/>
      <c r="O25" s="94"/>
      <c r="P25" s="94"/>
      <c r="Q25" s="94"/>
      <c r="R25" s="94"/>
    </row>
    <row r="26" spans="1:18" x14ac:dyDescent="0.2">
      <c r="A26" s="110" t="s">
        <v>40</v>
      </c>
      <c r="B26" s="111">
        <f t="shared" ref="B26:J26" si="13">B11/B$13</f>
        <v>0</v>
      </c>
      <c r="C26" s="111">
        <f t="shared" si="13"/>
        <v>0</v>
      </c>
      <c r="D26" s="111">
        <f t="shared" si="13"/>
        <v>0</v>
      </c>
      <c r="E26" s="111">
        <f t="shared" si="13"/>
        <v>0</v>
      </c>
      <c r="F26" s="111">
        <f t="shared" si="13"/>
        <v>0</v>
      </c>
      <c r="G26" s="111">
        <f t="shared" si="13"/>
        <v>0</v>
      </c>
      <c r="H26" s="111">
        <f t="shared" si="13"/>
        <v>0</v>
      </c>
      <c r="I26" s="111">
        <f t="shared" si="13"/>
        <v>0</v>
      </c>
      <c r="J26" s="111">
        <f t="shared" si="13"/>
        <v>0</v>
      </c>
      <c r="K26" s="111"/>
      <c r="L26" s="111">
        <f t="shared" si="6"/>
        <v>0</v>
      </c>
      <c r="M26" s="111" t="e">
        <f t="shared" si="7"/>
        <v>#N/A</v>
      </c>
      <c r="N26" s="94"/>
      <c r="O26" s="94"/>
      <c r="P26" s="94"/>
      <c r="Q26" s="94"/>
      <c r="R26" s="94"/>
    </row>
    <row r="27" spans="1:18" x14ac:dyDescent="0.2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</row>
    <row r="28" spans="1:18" ht="15" x14ac:dyDescent="0.25">
      <c r="A28" s="101" t="s">
        <v>214</v>
      </c>
      <c r="B28" s="102">
        <f>'Data Sheet'!K$4</f>
        <v>41729</v>
      </c>
      <c r="C28" s="102">
        <f>'Data Sheet'!J$4</f>
        <v>41364</v>
      </c>
      <c r="D28" s="102">
        <f>'Data Sheet'!I$4</f>
        <v>40999</v>
      </c>
      <c r="E28" s="102">
        <f>'Data Sheet'!H$4</f>
        <v>40633</v>
      </c>
      <c r="F28" s="102">
        <f>'Data Sheet'!G$4</f>
        <v>40268</v>
      </c>
      <c r="G28" s="102">
        <f>'Data Sheet'!F$4</f>
        <v>39903</v>
      </c>
      <c r="H28" s="102">
        <f>'Data Sheet'!E$4</f>
        <v>39538</v>
      </c>
      <c r="I28" s="102">
        <f>'Data Sheet'!D$4</f>
        <v>39172</v>
      </c>
      <c r="J28" s="102">
        <f>'Data Sheet'!C$4</f>
        <v>38807</v>
      </c>
      <c r="K28" s="102">
        <f>'Data Sheet'!B$4</f>
        <v>38442</v>
      </c>
      <c r="L28" s="102" t="s">
        <v>209</v>
      </c>
      <c r="M28" s="102" t="s">
        <v>210</v>
      </c>
      <c r="N28" s="94"/>
      <c r="O28" s="94"/>
      <c r="P28" s="94"/>
      <c r="Q28" s="94"/>
      <c r="R28" s="94"/>
    </row>
    <row r="29" spans="1:18" x14ac:dyDescent="0.2">
      <c r="A29" s="110" t="s">
        <v>215</v>
      </c>
      <c r="B29" s="111">
        <f t="shared" ref="B29:K29" si="14">(B5+B6+B7)/B$15</f>
        <v>0</v>
      </c>
      <c r="C29" s="111">
        <f t="shared" si="14"/>
        <v>0</v>
      </c>
      <c r="D29" s="111">
        <f t="shared" si="14"/>
        <v>0</v>
      </c>
      <c r="E29" s="111">
        <f t="shared" si="14"/>
        <v>0</v>
      </c>
      <c r="F29" s="111">
        <f t="shared" si="14"/>
        <v>0</v>
      </c>
      <c r="G29" s="111">
        <f t="shared" si="14"/>
        <v>0</v>
      </c>
      <c r="H29" s="111">
        <f t="shared" si="14"/>
        <v>0</v>
      </c>
      <c r="I29" s="111">
        <f t="shared" si="14"/>
        <v>0</v>
      </c>
      <c r="J29" s="111">
        <f t="shared" si="14"/>
        <v>0</v>
      </c>
      <c r="K29" s="111">
        <f t="shared" si="14"/>
        <v>0</v>
      </c>
      <c r="L29" s="111">
        <f>MAX(A29:J29)-MIN(A29:J29)</f>
        <v>0</v>
      </c>
      <c r="M29" s="111" t="e">
        <f>NA()</f>
        <v>#N/A</v>
      </c>
      <c r="N29" s="94"/>
      <c r="O29" s="94"/>
      <c r="P29" s="94"/>
      <c r="Q29" s="94"/>
      <c r="R29" s="94"/>
    </row>
    <row r="30" spans="1:18" x14ac:dyDescent="0.2">
      <c r="A30" s="110" t="s">
        <v>149</v>
      </c>
      <c r="B30" s="111">
        <f t="shared" ref="B30:J30" si="15">B8/B$15</f>
        <v>0</v>
      </c>
      <c r="C30" s="111">
        <f t="shared" si="15"/>
        <v>0</v>
      </c>
      <c r="D30" s="111">
        <f t="shared" si="15"/>
        <v>0</v>
      </c>
      <c r="E30" s="111">
        <f t="shared" si="15"/>
        <v>0</v>
      </c>
      <c r="F30" s="111">
        <f t="shared" si="15"/>
        <v>0</v>
      </c>
      <c r="G30" s="111">
        <f t="shared" si="15"/>
        <v>0</v>
      </c>
      <c r="H30" s="111">
        <f t="shared" si="15"/>
        <v>0</v>
      </c>
      <c r="I30" s="111">
        <f t="shared" si="15"/>
        <v>0</v>
      </c>
      <c r="J30" s="111">
        <f t="shared" si="15"/>
        <v>0</v>
      </c>
      <c r="K30" s="110"/>
      <c r="L30" s="111">
        <f>MAX(A30:J30)-MIN(A30:J30)</f>
        <v>0</v>
      </c>
      <c r="M30" s="111" t="e">
        <f>NA()</f>
        <v>#N/A</v>
      </c>
      <c r="N30" s="94"/>
      <c r="O30" s="94"/>
      <c r="P30" s="94"/>
      <c r="Q30" s="94"/>
      <c r="R30" s="94"/>
    </row>
    <row r="31" spans="1:18" x14ac:dyDescent="0.2">
      <c r="A31" s="110" t="s">
        <v>10</v>
      </c>
      <c r="B31" s="111">
        <f>'Other Input Data'!B29/B$15</f>
        <v>2.5102459016393443E-2</v>
      </c>
      <c r="C31" s="111">
        <f>'Other Input Data'!C29/C$15</f>
        <v>3.2499485043370788E-2</v>
      </c>
      <c r="D31" s="111">
        <f>'Other Input Data'!D29/D$15</f>
        <v>3.1076997728225149E-2</v>
      </c>
      <c r="E31" s="111">
        <f>'Other Input Data'!E29/E$15</f>
        <v>3.2120937119384803E-2</v>
      </c>
      <c r="F31" s="111">
        <f>'Other Input Data'!F29/F$15</f>
        <v>2.9382515143296265E-2</v>
      </c>
      <c r="G31" s="111">
        <f>'Other Input Data'!G29/G$15</f>
        <v>2.9782359679266894E-2</v>
      </c>
      <c r="H31" s="111">
        <f>'Other Input Data'!H29/H$15</f>
        <v>3.1150988363942242E-2</v>
      </c>
      <c r="I31" s="111">
        <f>'Other Input Data'!I29/I$15</f>
        <v>3.8692725767555704E-2</v>
      </c>
      <c r="J31" s="111">
        <f>'Other Input Data'!J29/J$15</f>
        <v>6.1447232726022691E-2</v>
      </c>
      <c r="K31" s="111">
        <f>'Other Input Data'!K29/K$15</f>
        <v>7.6863273556546083E-2</v>
      </c>
      <c r="L31" s="111">
        <f>MAX(A31:J31)-MIN(A31:J31)</f>
        <v>3.6344773709629248E-2</v>
      </c>
      <c r="M31" s="111" t="e">
        <f>NA()</f>
        <v>#N/A</v>
      </c>
      <c r="N31" s="94"/>
      <c r="O31" s="94"/>
      <c r="P31" s="94"/>
      <c r="Q31" s="94"/>
      <c r="R31" s="94"/>
    </row>
    <row r="32" spans="1:18" x14ac:dyDescent="0.2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7"/>
      <c r="M32" s="117"/>
      <c r="N32" s="94"/>
      <c r="O32" s="94"/>
      <c r="P32" s="94"/>
      <c r="Q32" s="94"/>
      <c r="R32" s="94"/>
    </row>
    <row r="33" spans="1:18" x14ac:dyDescent="0.2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7"/>
      <c r="M33" s="117"/>
      <c r="N33" s="94"/>
      <c r="O33" s="94"/>
      <c r="P33" s="94"/>
      <c r="Q33" s="94"/>
      <c r="R33" s="94"/>
    </row>
    <row r="34" spans="1:18" x14ac:dyDescent="0.2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7"/>
      <c r="M34" s="117"/>
      <c r="N34" s="94"/>
      <c r="O34" s="94"/>
      <c r="P34" s="94"/>
      <c r="Q34" s="94"/>
      <c r="R34" s="94"/>
    </row>
    <row r="35" spans="1:18" x14ac:dyDescent="0.2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7"/>
      <c r="M35" s="117"/>
      <c r="N35" s="94"/>
      <c r="O35" s="94"/>
      <c r="P35" s="94"/>
      <c r="Q35" s="94"/>
      <c r="R35" s="94"/>
    </row>
    <row r="36" spans="1:18" x14ac:dyDescent="0.2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7"/>
      <c r="M36" s="117"/>
      <c r="N36" s="94"/>
      <c r="O36" s="94"/>
      <c r="P36" s="94"/>
      <c r="Q36" s="94"/>
      <c r="R36" s="94"/>
    </row>
    <row r="37" spans="1:18" x14ac:dyDescent="0.2">
      <c r="A37" s="117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94"/>
      <c r="M37" s="94"/>
      <c r="N37" s="94"/>
      <c r="O37" s="94"/>
      <c r="P37" s="94"/>
      <c r="Q37" s="94"/>
      <c r="R37" s="94"/>
    </row>
    <row r="38" spans="1:18" ht="15" x14ac:dyDescent="0.25">
      <c r="A38" s="119" t="s">
        <v>216</v>
      </c>
      <c r="B38" s="96">
        <f>'Data Sheet'!K$4</f>
        <v>41729</v>
      </c>
      <c r="C38" s="96">
        <f>'Data Sheet'!J$4</f>
        <v>41364</v>
      </c>
      <c r="D38" s="96">
        <f>'Data Sheet'!I$4</f>
        <v>40999</v>
      </c>
      <c r="E38" s="96">
        <f>'Data Sheet'!H$4</f>
        <v>40633</v>
      </c>
      <c r="F38" s="96">
        <f>'Data Sheet'!G$4</f>
        <v>40268</v>
      </c>
      <c r="G38" s="96">
        <f>'Data Sheet'!F$4</f>
        <v>39903</v>
      </c>
      <c r="H38" s="96">
        <f>'Data Sheet'!E$4</f>
        <v>39538</v>
      </c>
      <c r="I38" s="96">
        <f>'Data Sheet'!D$4</f>
        <v>39172</v>
      </c>
      <c r="J38" s="96">
        <f>'Data Sheet'!C$4</f>
        <v>38807</v>
      </c>
      <c r="K38" s="96">
        <f>'Data Sheet'!B$4</f>
        <v>38442</v>
      </c>
      <c r="L38" s="96" t="s">
        <v>52</v>
      </c>
      <c r="M38" s="94"/>
      <c r="N38" s="94"/>
      <c r="O38" s="94"/>
      <c r="P38" s="94"/>
      <c r="Q38" s="94"/>
      <c r="R38" s="94"/>
    </row>
    <row r="39" spans="1:18" x14ac:dyDescent="0.2">
      <c r="A39" s="94" t="s">
        <v>146</v>
      </c>
      <c r="B39" s="115" t="e">
        <f t="shared" ref="B39:I45" si="16">(B5-C5)/C5</f>
        <v>#DIV/0!</v>
      </c>
      <c r="C39" s="115" t="e">
        <f t="shared" si="16"/>
        <v>#DIV/0!</v>
      </c>
      <c r="D39" s="115" t="e">
        <f t="shared" si="16"/>
        <v>#DIV/0!</v>
      </c>
      <c r="E39" s="115" t="e">
        <f t="shared" si="16"/>
        <v>#DIV/0!</v>
      </c>
      <c r="F39" s="115" t="e">
        <f t="shared" si="16"/>
        <v>#DIV/0!</v>
      </c>
      <c r="G39" s="115" t="e">
        <f t="shared" si="16"/>
        <v>#DIV/0!</v>
      </c>
      <c r="H39" s="115" t="e">
        <f t="shared" si="16"/>
        <v>#DIV/0!</v>
      </c>
      <c r="I39" s="115" t="e">
        <f t="shared" si="16"/>
        <v>#DIV/0!</v>
      </c>
      <c r="J39" s="94"/>
      <c r="K39" s="94"/>
      <c r="L39" s="107" t="e">
        <f t="shared" ref="L39:L45" si="17">AVERAGE(B39:I39)</f>
        <v>#DIV/0!</v>
      </c>
      <c r="M39" s="94"/>
      <c r="N39" s="94"/>
      <c r="O39" s="94"/>
      <c r="P39" s="94"/>
      <c r="Q39" s="94"/>
      <c r="R39" s="94"/>
    </row>
    <row r="40" spans="1:18" x14ac:dyDescent="0.2">
      <c r="A40" s="94" t="s">
        <v>147</v>
      </c>
      <c r="B40" s="115" t="e">
        <f t="shared" si="16"/>
        <v>#DIV/0!</v>
      </c>
      <c r="C40" s="115" t="e">
        <f t="shared" si="16"/>
        <v>#DIV/0!</v>
      </c>
      <c r="D40" s="115" t="e">
        <f t="shared" si="16"/>
        <v>#DIV/0!</v>
      </c>
      <c r="E40" s="115" t="e">
        <f t="shared" si="16"/>
        <v>#DIV/0!</v>
      </c>
      <c r="F40" s="115" t="e">
        <f t="shared" si="16"/>
        <v>#DIV/0!</v>
      </c>
      <c r="G40" s="115" t="e">
        <f t="shared" si="16"/>
        <v>#DIV/0!</v>
      </c>
      <c r="H40" s="115" t="e">
        <f t="shared" si="16"/>
        <v>#DIV/0!</v>
      </c>
      <c r="I40" s="115" t="e">
        <f t="shared" si="16"/>
        <v>#DIV/0!</v>
      </c>
      <c r="J40" s="94"/>
      <c r="K40" s="94"/>
      <c r="L40" s="107" t="e">
        <f t="shared" si="17"/>
        <v>#DIV/0!</v>
      </c>
      <c r="M40" s="94"/>
      <c r="N40" s="94"/>
      <c r="O40" s="94"/>
      <c r="P40" s="94"/>
      <c r="Q40" s="94"/>
      <c r="R40" s="94"/>
    </row>
    <row r="41" spans="1:18" x14ac:dyDescent="0.2">
      <c r="A41" s="94" t="s">
        <v>148</v>
      </c>
      <c r="B41" s="115" t="e">
        <f t="shared" si="16"/>
        <v>#DIV/0!</v>
      </c>
      <c r="C41" s="115" t="e">
        <f t="shared" si="16"/>
        <v>#DIV/0!</v>
      </c>
      <c r="D41" s="115" t="e">
        <f t="shared" si="16"/>
        <v>#DIV/0!</v>
      </c>
      <c r="E41" s="115" t="e">
        <f t="shared" si="16"/>
        <v>#DIV/0!</v>
      </c>
      <c r="F41" s="115" t="e">
        <f t="shared" si="16"/>
        <v>#DIV/0!</v>
      </c>
      <c r="G41" s="115" t="e">
        <f t="shared" si="16"/>
        <v>#DIV/0!</v>
      </c>
      <c r="H41" s="115" t="e">
        <f t="shared" si="16"/>
        <v>#DIV/0!</v>
      </c>
      <c r="I41" s="115" t="e">
        <f t="shared" si="16"/>
        <v>#DIV/0!</v>
      </c>
      <c r="J41" s="94"/>
      <c r="K41" s="94"/>
      <c r="L41" s="107" t="e">
        <f t="shared" si="17"/>
        <v>#DIV/0!</v>
      </c>
      <c r="M41" s="94"/>
      <c r="N41" s="94"/>
      <c r="O41" s="94"/>
      <c r="P41" s="94"/>
      <c r="Q41" s="94"/>
      <c r="R41" s="94"/>
    </row>
    <row r="42" spans="1:18" x14ac:dyDescent="0.2">
      <c r="A42" s="94" t="s">
        <v>149</v>
      </c>
      <c r="B42" s="115" t="e">
        <f t="shared" si="16"/>
        <v>#DIV/0!</v>
      </c>
      <c r="C42" s="115" t="e">
        <f t="shared" si="16"/>
        <v>#DIV/0!</v>
      </c>
      <c r="D42" s="115" t="e">
        <f t="shared" si="16"/>
        <v>#DIV/0!</v>
      </c>
      <c r="E42" s="115" t="e">
        <f t="shared" si="16"/>
        <v>#DIV/0!</v>
      </c>
      <c r="F42" s="115" t="e">
        <f t="shared" si="16"/>
        <v>#DIV/0!</v>
      </c>
      <c r="G42" s="115" t="e">
        <f t="shared" si="16"/>
        <v>#DIV/0!</v>
      </c>
      <c r="H42" s="115" t="e">
        <f t="shared" si="16"/>
        <v>#DIV/0!</v>
      </c>
      <c r="I42" s="115" t="e">
        <f t="shared" si="16"/>
        <v>#DIV/0!</v>
      </c>
      <c r="J42" s="94"/>
      <c r="K42" s="94"/>
      <c r="L42" s="107" t="e">
        <f t="shared" si="17"/>
        <v>#DIV/0!</v>
      </c>
      <c r="M42" s="94"/>
      <c r="N42" s="94"/>
      <c r="O42" s="94"/>
      <c r="P42" s="94"/>
      <c r="Q42" s="94"/>
      <c r="R42" s="94"/>
    </row>
    <row r="43" spans="1:18" x14ac:dyDescent="0.2">
      <c r="A43" s="94" t="s">
        <v>204</v>
      </c>
      <c r="B43" s="115" t="e">
        <f t="shared" si="16"/>
        <v>#DIV/0!</v>
      </c>
      <c r="C43" s="115" t="e">
        <f t="shared" si="16"/>
        <v>#DIV/0!</v>
      </c>
      <c r="D43" s="115" t="e">
        <f t="shared" si="16"/>
        <v>#DIV/0!</v>
      </c>
      <c r="E43" s="115" t="e">
        <f t="shared" si="16"/>
        <v>#DIV/0!</v>
      </c>
      <c r="F43" s="115" t="e">
        <f t="shared" si="16"/>
        <v>#DIV/0!</v>
      </c>
      <c r="G43" s="115" t="e">
        <f t="shared" si="16"/>
        <v>#DIV/0!</v>
      </c>
      <c r="H43" s="115" t="e">
        <f t="shared" si="16"/>
        <v>#DIV/0!</v>
      </c>
      <c r="I43" s="115" t="e">
        <f t="shared" si="16"/>
        <v>#DIV/0!</v>
      </c>
      <c r="J43" s="94"/>
      <c r="K43" s="94"/>
      <c r="L43" s="107" t="e">
        <f t="shared" si="17"/>
        <v>#DIV/0!</v>
      </c>
      <c r="M43" s="94"/>
      <c r="N43" s="94"/>
      <c r="O43" s="94"/>
      <c r="P43" s="94"/>
      <c r="Q43" s="94"/>
      <c r="R43" s="94"/>
    </row>
    <row r="44" spans="1:18" x14ac:dyDescent="0.2">
      <c r="A44" s="94" t="s">
        <v>151</v>
      </c>
      <c r="B44" s="115" t="e">
        <f t="shared" si="16"/>
        <v>#DIV/0!</v>
      </c>
      <c r="C44" s="115" t="e">
        <f t="shared" si="16"/>
        <v>#DIV/0!</v>
      </c>
      <c r="D44" s="115" t="e">
        <f t="shared" si="16"/>
        <v>#DIV/0!</v>
      </c>
      <c r="E44" s="115" t="e">
        <f t="shared" si="16"/>
        <v>#DIV/0!</v>
      </c>
      <c r="F44" s="115" t="e">
        <f t="shared" si="16"/>
        <v>#DIV/0!</v>
      </c>
      <c r="G44" s="115" t="e">
        <f t="shared" si="16"/>
        <v>#DIV/0!</v>
      </c>
      <c r="H44" s="115" t="e">
        <f t="shared" si="16"/>
        <v>#DIV/0!</v>
      </c>
      <c r="I44" s="115" t="e">
        <f t="shared" si="16"/>
        <v>#DIV/0!</v>
      </c>
      <c r="J44" s="94"/>
      <c r="K44" s="94"/>
      <c r="L44" s="107" t="e">
        <f t="shared" si="17"/>
        <v>#DIV/0!</v>
      </c>
      <c r="M44" s="94"/>
      <c r="N44" s="94"/>
      <c r="O44" s="94"/>
      <c r="P44" s="94"/>
      <c r="Q44" s="94"/>
      <c r="R44" s="94"/>
    </row>
    <row r="45" spans="1:18" x14ac:dyDescent="0.2">
      <c r="A45" s="94" t="s">
        <v>40</v>
      </c>
      <c r="B45" s="115" t="e">
        <f t="shared" si="16"/>
        <v>#DIV/0!</v>
      </c>
      <c r="C45" s="115" t="e">
        <f t="shared" si="16"/>
        <v>#DIV/0!</v>
      </c>
      <c r="D45" s="115" t="e">
        <f t="shared" si="16"/>
        <v>#DIV/0!</v>
      </c>
      <c r="E45" s="115" t="e">
        <f t="shared" si="16"/>
        <v>#DIV/0!</v>
      </c>
      <c r="F45" s="115" t="e">
        <f t="shared" si="16"/>
        <v>#DIV/0!</v>
      </c>
      <c r="G45" s="115" t="e">
        <f t="shared" si="16"/>
        <v>#DIV/0!</v>
      </c>
      <c r="H45" s="115" t="e">
        <f t="shared" si="16"/>
        <v>#DIV/0!</v>
      </c>
      <c r="I45" s="115" t="e">
        <f t="shared" si="16"/>
        <v>#DIV/0!</v>
      </c>
      <c r="J45" s="94"/>
      <c r="K45" s="94"/>
      <c r="L45" s="107" t="e">
        <f t="shared" si="17"/>
        <v>#DIV/0!</v>
      </c>
      <c r="M45" s="94"/>
      <c r="N45" s="94"/>
      <c r="O45" s="94"/>
      <c r="P45" s="94"/>
      <c r="Q45" s="94"/>
      <c r="R45" s="94"/>
    </row>
    <row r="46" spans="1:18" x14ac:dyDescent="0.2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</row>
    <row r="47" spans="1:18" x14ac:dyDescent="0.2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</row>
    <row r="48" spans="1:18" x14ac:dyDescent="0.2">
      <c r="A48" s="120" t="s">
        <v>217</v>
      </c>
      <c r="B48" s="120"/>
      <c r="C48" s="120" t="s">
        <v>203</v>
      </c>
      <c r="D48" s="120" t="s">
        <v>218</v>
      </c>
      <c r="E48" s="120" t="s">
        <v>219</v>
      </c>
      <c r="F48" s="120"/>
      <c r="G48" s="120"/>
      <c r="H48" s="120">
        <v>2002</v>
      </c>
      <c r="I48" s="120" t="s">
        <v>220</v>
      </c>
      <c r="J48" s="120" t="s">
        <v>221</v>
      </c>
      <c r="K48" s="120"/>
      <c r="L48" s="94"/>
      <c r="M48" s="94"/>
      <c r="N48" s="94"/>
      <c r="O48" s="94"/>
      <c r="P48" s="94"/>
      <c r="Q48" s="94"/>
      <c r="R48" s="94"/>
    </row>
    <row r="49" spans="1:18" x14ac:dyDescent="0.2">
      <c r="A49" s="121" t="str">
        <f t="shared" ref="A49:B55" si="18">A5</f>
        <v>Employee cost</v>
      </c>
      <c r="B49" s="122">
        <f t="shared" si="18"/>
        <v>0</v>
      </c>
      <c r="C49" s="115" t="e">
        <f t="shared" ref="C49:C55" si="19">L5</f>
        <v>#DIV/0!</v>
      </c>
      <c r="D49" s="115" t="e">
        <f t="shared" ref="D49:D54" si="20">B49/$B$55</f>
        <v>#DIV/0!</v>
      </c>
      <c r="E49" s="115" t="e">
        <f t="shared" ref="E49:E54" si="21">D49*C49</f>
        <v>#DIV/0!</v>
      </c>
      <c r="F49" s="94"/>
      <c r="G49" s="123" t="s">
        <v>154</v>
      </c>
      <c r="H49" s="124">
        <f>J15</f>
        <v>232.72</v>
      </c>
      <c r="I49" s="115">
        <f>L15</f>
        <v>5.9985594826756472E-2</v>
      </c>
      <c r="J49" s="94">
        <f>H49*(1+I49)^(9)</f>
        <v>393.12745740934713</v>
      </c>
      <c r="K49" s="94"/>
      <c r="L49" s="94"/>
      <c r="M49" s="94"/>
      <c r="N49" s="94"/>
      <c r="O49" s="94"/>
      <c r="P49" s="94"/>
      <c r="Q49" s="94"/>
      <c r="R49" s="94"/>
    </row>
    <row r="50" spans="1:18" x14ac:dyDescent="0.2">
      <c r="A50" s="121" t="str">
        <f t="shared" si="18"/>
        <v>Advertising and sales promotion</v>
      </c>
      <c r="B50" s="122">
        <f t="shared" si="18"/>
        <v>0</v>
      </c>
      <c r="C50" s="115" t="e">
        <f t="shared" si="19"/>
        <v>#DIV/0!</v>
      </c>
      <c r="D50" s="115" t="e">
        <f t="shared" si="20"/>
        <v>#DIV/0!</v>
      </c>
      <c r="E50" s="115" t="e">
        <f t="shared" si="21"/>
        <v>#DIV/0!</v>
      </c>
      <c r="F50" s="94"/>
      <c r="G50" s="94" t="s">
        <v>222</v>
      </c>
      <c r="H50" s="122">
        <f>J11</f>
        <v>0</v>
      </c>
      <c r="I50" s="115" t="e">
        <f>E55</f>
        <v>#DIV/0!</v>
      </c>
      <c r="J50" s="94" t="e">
        <f>H50*(1+I50)^(9)</f>
        <v>#DIV/0!</v>
      </c>
      <c r="K50" s="94"/>
      <c r="L50" s="94"/>
      <c r="M50" s="94"/>
      <c r="N50" s="94"/>
      <c r="O50" s="94"/>
      <c r="P50" s="94"/>
      <c r="Q50" s="94"/>
      <c r="R50" s="94"/>
    </row>
    <row r="51" spans="1:18" x14ac:dyDescent="0.2">
      <c r="A51" s="121" t="str">
        <f t="shared" si="18"/>
        <v>Freight, transport and distribution</v>
      </c>
      <c r="B51" s="122">
        <f t="shared" si="18"/>
        <v>0</v>
      </c>
      <c r="C51" s="115" t="e">
        <f t="shared" si="19"/>
        <v>#DIV/0!</v>
      </c>
      <c r="D51" s="115" t="e">
        <f t="shared" si="20"/>
        <v>#DIV/0!</v>
      </c>
      <c r="E51" s="115" t="e">
        <f t="shared" si="21"/>
        <v>#DIV/0!</v>
      </c>
      <c r="F51" s="94"/>
      <c r="G51" s="94" t="s">
        <v>223</v>
      </c>
      <c r="H51" s="124">
        <f>H49-H50</f>
        <v>232.72</v>
      </c>
      <c r="I51" s="115" t="e">
        <f>(J51/H51)^(1/9)-1</f>
        <v>#DIV/0!</v>
      </c>
      <c r="J51" s="124" t="e">
        <f>J49-J50</f>
        <v>#DIV/0!</v>
      </c>
      <c r="K51" s="124"/>
      <c r="L51" s="94"/>
      <c r="M51" s="94"/>
      <c r="N51" s="94"/>
      <c r="O51" s="94"/>
      <c r="P51" s="94"/>
      <c r="Q51" s="94"/>
      <c r="R51" s="94"/>
    </row>
    <row r="52" spans="1:18" x14ac:dyDescent="0.2">
      <c r="A52" s="121" t="str">
        <f t="shared" si="18"/>
        <v>Royalty</v>
      </c>
      <c r="B52" s="122">
        <f t="shared" si="18"/>
        <v>0</v>
      </c>
      <c r="C52" s="115" t="e">
        <f t="shared" si="19"/>
        <v>#DIV/0!</v>
      </c>
      <c r="D52" s="115" t="e">
        <f t="shared" si="20"/>
        <v>#DIV/0!</v>
      </c>
      <c r="E52" s="115" t="e">
        <f t="shared" si="21"/>
        <v>#DIV/0!</v>
      </c>
      <c r="F52" s="94"/>
      <c r="L52" s="94"/>
      <c r="M52" s="94"/>
      <c r="N52" s="94"/>
      <c r="O52" s="94"/>
      <c r="P52" s="94"/>
      <c r="Q52" s="94"/>
      <c r="R52" s="94"/>
    </row>
    <row r="53" spans="1:18" x14ac:dyDescent="0.2">
      <c r="A53" s="121" t="str">
        <f t="shared" si="18"/>
        <v>power and fuel</v>
      </c>
      <c r="B53" s="122">
        <f t="shared" si="18"/>
        <v>0</v>
      </c>
      <c r="C53" s="115" t="e">
        <f t="shared" si="19"/>
        <v>#DIV/0!</v>
      </c>
      <c r="D53" s="115" t="e">
        <f t="shared" si="20"/>
        <v>#DIV/0!</v>
      </c>
      <c r="E53" s="115" t="e">
        <f t="shared" si="21"/>
        <v>#DIV/0!</v>
      </c>
      <c r="F53" s="94"/>
      <c r="L53" s="94"/>
      <c r="M53" s="94"/>
      <c r="N53" s="94"/>
      <c r="O53" s="94"/>
      <c r="P53" s="94"/>
      <c r="Q53" s="94"/>
      <c r="R53" s="94"/>
    </row>
    <row r="54" spans="1:18" ht="15" x14ac:dyDescent="0.25">
      <c r="A54" s="121" t="str">
        <f t="shared" si="18"/>
        <v>Miscellaneous expenses</v>
      </c>
      <c r="B54" s="122">
        <f t="shared" si="18"/>
        <v>0</v>
      </c>
      <c r="C54" s="115" t="e">
        <f t="shared" si="19"/>
        <v>#DIV/0!</v>
      </c>
      <c r="D54" s="115" t="e">
        <f t="shared" si="20"/>
        <v>#DIV/0!</v>
      </c>
      <c r="E54" s="115" t="e">
        <f t="shared" si="21"/>
        <v>#DIV/0!</v>
      </c>
      <c r="F54" s="94"/>
      <c r="G54" s="94"/>
      <c r="H54" s="125"/>
      <c r="I54" s="115"/>
      <c r="J54" s="125"/>
      <c r="K54" s="125"/>
      <c r="L54" s="94"/>
      <c r="M54" s="94"/>
      <c r="N54" s="94"/>
      <c r="O54" s="94"/>
      <c r="P54" s="94"/>
      <c r="Q54" s="94"/>
      <c r="R54" s="94"/>
    </row>
    <row r="55" spans="1:18" x14ac:dyDescent="0.2">
      <c r="A55" s="121" t="str">
        <f t="shared" si="18"/>
        <v>total</v>
      </c>
      <c r="B55" s="122">
        <f t="shared" si="18"/>
        <v>0</v>
      </c>
      <c r="C55" s="115" t="e">
        <f t="shared" si="19"/>
        <v>#DIV/0!</v>
      </c>
      <c r="D55" s="94"/>
      <c r="E55" s="107" t="e">
        <f>SUM(E49:E54)</f>
        <v>#DIV/0!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</row>
    <row r="56" spans="1:18" x14ac:dyDescent="0.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</row>
    <row r="57" spans="1:18" x14ac:dyDescent="0.2">
      <c r="L57" s="103"/>
      <c r="M57" s="94"/>
      <c r="N57" s="94"/>
      <c r="O57" s="94"/>
      <c r="P57" s="94"/>
      <c r="Q57" s="94"/>
      <c r="R57" s="94"/>
    </row>
    <row r="58" spans="1:18" x14ac:dyDescent="0.2">
      <c r="L58" s="107"/>
      <c r="M58" s="94"/>
      <c r="N58" s="94"/>
      <c r="O58" s="94"/>
      <c r="P58" s="94"/>
      <c r="Q58" s="94"/>
      <c r="R58" s="94"/>
    </row>
    <row r="59" spans="1:18" x14ac:dyDescent="0.2">
      <c r="L59" s="107"/>
      <c r="M59" s="94"/>
      <c r="N59" s="94"/>
      <c r="O59" s="94"/>
      <c r="P59" s="94"/>
      <c r="Q59" s="94"/>
      <c r="R59" s="94"/>
    </row>
    <row r="60" spans="1:18" x14ac:dyDescent="0.2">
      <c r="L60" s="103"/>
      <c r="M60" s="94"/>
      <c r="N60" s="94"/>
      <c r="O60" s="94"/>
      <c r="P60" s="94"/>
      <c r="Q60" s="94"/>
      <c r="R60" s="94"/>
    </row>
    <row r="62" spans="1:18" ht="15" x14ac:dyDescent="0.25">
      <c r="A62" s="126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8"/>
    </row>
  </sheetData>
  <sheetProtection selectLockedCells="1" selectUnlockedCells="1"/>
  <mergeCells count="1">
    <mergeCell ref="A12:L12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Profit &amp; Loss</vt:lpstr>
      <vt:lpstr>Quarters</vt:lpstr>
      <vt:lpstr>Balance Sheet</vt:lpstr>
      <vt:lpstr>Cash Flow</vt:lpstr>
      <vt:lpstr>Customization</vt:lpstr>
      <vt:lpstr>Other Input Data</vt:lpstr>
      <vt:lpstr>Data Sheet</vt:lpstr>
      <vt:lpstr>Cost Analysis</vt:lpstr>
      <vt:lpstr>BS</vt:lpstr>
      <vt:lpstr>PL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Varadharajan R</dc:creator>
  <cp:lastModifiedBy>Varadharajan R</cp:lastModifiedBy>
  <dcterms:created xsi:type="dcterms:W3CDTF">2013-02-24T16:00:09Z</dcterms:created>
  <dcterms:modified xsi:type="dcterms:W3CDTF">2015-05-14T14:47:14Z</dcterms:modified>
</cp:coreProperties>
</file>