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9405" tabRatio="593" firstSheet="3" activeTab="8"/>
  </bookViews>
  <sheets>
    <sheet name="Profit &amp; Loss" sheetId="1" r:id="rId1"/>
    <sheet name="Quarters" sheetId="2" r:id="rId2"/>
    <sheet name="Balance Sheet" sheetId="3" r:id="rId3"/>
    <sheet name="Cash Flow" sheetId="4" r:id="rId4"/>
    <sheet name="Customization" sheetId="5" r:id="rId5"/>
    <sheet name="Other Input Data" sheetId="6" r:id="rId6"/>
    <sheet name="Data Sheet" sheetId="7" r:id="rId7"/>
    <sheet name="Cost Analysis" sheetId="8" r:id="rId8"/>
    <sheet name="My Checks" sheetId="9" r:id="rId9"/>
  </sheets>
  <definedNames>
    <definedName name="BS">'Balance Sheet'!$A$3:$K$17</definedName>
    <definedName name="PL">'Profit &amp; Loss'!$A$3:$N$21</definedName>
  </definedNames>
  <calcPr calcId="124519"/>
</workbook>
</file>

<file path=xl/calcChain.xml><?xml version="1.0" encoding="utf-8"?>
<calcChain xmlns="http://schemas.openxmlformats.org/spreadsheetml/2006/main">
  <c r="C15" i="9"/>
  <c r="D15"/>
  <c r="E15"/>
  <c r="F15"/>
  <c r="C14"/>
  <c r="D14"/>
  <c r="E14"/>
  <c r="F14"/>
  <c r="C13"/>
  <c r="D13"/>
  <c r="E13"/>
  <c r="F13"/>
  <c r="B15"/>
  <c r="B13"/>
  <c r="B14"/>
  <c r="K4"/>
  <c r="L4"/>
  <c r="J4"/>
  <c r="L3"/>
  <c r="L2"/>
  <c r="G11" i="6" l="1"/>
  <c r="H11"/>
  <c r="I11"/>
  <c r="J11"/>
  <c r="K11"/>
  <c r="C11"/>
  <c r="D11"/>
  <c r="E11"/>
  <c r="F11"/>
  <c r="B11"/>
  <c r="D28" i="9"/>
  <c r="D23"/>
  <c r="C28"/>
  <c r="D29" s="1"/>
  <c r="B28"/>
  <c r="C23"/>
  <c r="B23"/>
  <c r="B4"/>
  <c r="B5" s="1"/>
  <c r="C4"/>
  <c r="C5" s="1"/>
  <c r="D4"/>
  <c r="D5" s="1"/>
  <c r="E4"/>
  <c r="E5" s="1"/>
  <c r="F4"/>
  <c r="F5" s="1"/>
  <c r="C9" i="4"/>
  <c r="D9"/>
  <c r="E9"/>
  <c r="F9"/>
  <c r="G9"/>
  <c r="H9"/>
  <c r="I9"/>
  <c r="J9"/>
  <c r="K9"/>
  <c r="B9"/>
  <c r="B14" i="1"/>
  <c r="G8" i="4"/>
  <c r="K27" i="5"/>
  <c r="K28" s="1"/>
  <c r="J27"/>
  <c r="J28" s="1"/>
  <c r="I27"/>
  <c r="I28" s="1"/>
  <c r="H27"/>
  <c r="H28" s="1"/>
  <c r="G27"/>
  <c r="G28" s="1"/>
  <c r="F27"/>
  <c r="F28" s="1"/>
  <c r="E27"/>
  <c r="E28" s="1"/>
  <c r="D27"/>
  <c r="D28" s="1"/>
  <c r="C27"/>
  <c r="C28" s="1"/>
  <c r="B27"/>
  <c r="B28" s="1"/>
  <c r="B39" i="6"/>
  <c r="B40"/>
  <c r="B46"/>
  <c r="K46"/>
  <c r="K50"/>
  <c r="K34"/>
  <c r="K35"/>
  <c r="K30"/>
  <c r="K36"/>
  <c r="K69" s="1"/>
  <c r="K25"/>
  <c r="K13" i="8" s="1"/>
  <c r="J46" i="6"/>
  <c r="J50"/>
  <c r="J34"/>
  <c r="J35"/>
  <c r="J30"/>
  <c r="J36"/>
  <c r="J25"/>
  <c r="J26" i="5" s="1"/>
  <c r="I46" i="6"/>
  <c r="I50"/>
  <c r="I34"/>
  <c r="I35"/>
  <c r="I30"/>
  <c r="I36"/>
  <c r="I25"/>
  <c r="H46"/>
  <c r="H50"/>
  <c r="H34"/>
  <c r="H35"/>
  <c r="H30"/>
  <c r="H36"/>
  <c r="H25"/>
  <c r="G46"/>
  <c r="G50"/>
  <c r="G34"/>
  <c r="G35"/>
  <c r="G30"/>
  <c r="G36"/>
  <c r="G25"/>
  <c r="G13" i="8" s="1"/>
  <c r="F46" i="6"/>
  <c r="F50"/>
  <c r="F34"/>
  <c r="F35"/>
  <c r="F30"/>
  <c r="F36"/>
  <c r="F25"/>
  <c r="E46"/>
  <c r="E50"/>
  <c r="E34"/>
  <c r="E35"/>
  <c r="E30"/>
  <c r="E36"/>
  <c r="E25"/>
  <c r="E13" i="8" s="1"/>
  <c r="D46" i="6"/>
  <c r="D50"/>
  <c r="D66" s="1"/>
  <c r="D34"/>
  <c r="D35"/>
  <c r="D30"/>
  <c r="D36"/>
  <c r="D25"/>
  <c r="C46"/>
  <c r="C50"/>
  <c r="C34"/>
  <c r="C35"/>
  <c r="C30"/>
  <c r="C36"/>
  <c r="C25"/>
  <c r="C13" i="8" s="1"/>
  <c r="B37" i="6"/>
  <c r="B42"/>
  <c r="B43"/>
  <c r="B28"/>
  <c r="B36"/>
  <c r="C42"/>
  <c r="C43"/>
  <c r="C28"/>
  <c r="C34" i="5" s="1"/>
  <c r="D42" i="6"/>
  <c r="D43"/>
  <c r="D28"/>
  <c r="E42"/>
  <c r="E43"/>
  <c r="E28"/>
  <c r="E34" i="5" s="1"/>
  <c r="F42" i="6"/>
  <c r="F43"/>
  <c r="F28"/>
  <c r="G42"/>
  <c r="G43"/>
  <c r="G28"/>
  <c r="G34" i="5" s="1"/>
  <c r="H42" i="6"/>
  <c r="H43"/>
  <c r="H28"/>
  <c r="I42"/>
  <c r="I43"/>
  <c r="I28"/>
  <c r="I34" i="5" s="1"/>
  <c r="J42" i="6"/>
  <c r="J43"/>
  <c r="J28"/>
  <c r="K42"/>
  <c r="K43"/>
  <c r="K28"/>
  <c r="K34" i="5" s="1"/>
  <c r="B34" i="6"/>
  <c r="B50"/>
  <c r="B35"/>
  <c r="B30"/>
  <c r="B25"/>
  <c r="K44"/>
  <c r="K45"/>
  <c r="K33"/>
  <c r="K32"/>
  <c r="J44"/>
  <c r="J45"/>
  <c r="J33"/>
  <c r="J32"/>
  <c r="I44"/>
  <c r="I45"/>
  <c r="I33"/>
  <c r="I32"/>
  <c r="H44"/>
  <c r="H45"/>
  <c r="H33"/>
  <c r="H32"/>
  <c r="G44"/>
  <c r="G45"/>
  <c r="G33"/>
  <c r="G54" s="1"/>
  <c r="G32"/>
  <c r="F44"/>
  <c r="F45"/>
  <c r="F33"/>
  <c r="F54" s="1"/>
  <c r="F32"/>
  <c r="E44"/>
  <c r="E45"/>
  <c r="E33"/>
  <c r="E54" s="1"/>
  <c r="E32"/>
  <c r="D44"/>
  <c r="D45"/>
  <c r="D33"/>
  <c r="D54" s="1"/>
  <c r="D32"/>
  <c r="C44"/>
  <c r="C45"/>
  <c r="C33"/>
  <c r="C54" s="1"/>
  <c r="C32"/>
  <c r="B44"/>
  <c r="B45"/>
  <c r="B33"/>
  <c r="B54" s="1"/>
  <c r="B32"/>
  <c r="H4" i="2"/>
  <c r="I4"/>
  <c r="J4"/>
  <c r="K19" s="1"/>
  <c r="K4"/>
  <c r="D4"/>
  <c r="E4"/>
  <c r="F4"/>
  <c r="G4"/>
  <c r="H14"/>
  <c r="I14"/>
  <c r="J14"/>
  <c r="K14"/>
  <c r="H8"/>
  <c r="I8"/>
  <c r="J8"/>
  <c r="K8"/>
  <c r="D14"/>
  <c r="E14"/>
  <c r="F14"/>
  <c r="G14"/>
  <c r="D8"/>
  <c r="E8"/>
  <c r="F8"/>
  <c r="G8"/>
  <c r="K16" i="7"/>
  <c r="K20" i="1" s="1"/>
  <c r="J16" i="7"/>
  <c r="J20" i="1" s="1"/>
  <c r="I16" i="7"/>
  <c r="I20" i="1" s="1"/>
  <c r="H16" i="7"/>
  <c r="H20" i="1" s="1"/>
  <c r="G16" i="7"/>
  <c r="G20" i="1" s="1"/>
  <c r="F16" i="7"/>
  <c r="F20" i="1" s="1"/>
  <c r="E16" i="7"/>
  <c r="E20" i="1" s="1"/>
  <c r="D16" i="7"/>
  <c r="D20" i="1" s="1"/>
  <c r="C16" i="7"/>
  <c r="C20" i="1" s="1"/>
  <c r="B16" i="7"/>
  <c r="B20" i="1" s="1"/>
  <c r="B7" i="3"/>
  <c r="B8"/>
  <c r="C7"/>
  <c r="C8"/>
  <c r="D7"/>
  <c r="D8"/>
  <c r="E7"/>
  <c r="E8"/>
  <c r="F7"/>
  <c r="F8"/>
  <c r="F34"/>
  <c r="G7"/>
  <c r="G8"/>
  <c r="G34" s="1"/>
  <c r="H7"/>
  <c r="H8"/>
  <c r="H34" s="1"/>
  <c r="I7"/>
  <c r="I8"/>
  <c r="J7"/>
  <c r="J8"/>
  <c r="J34" s="1"/>
  <c r="K7"/>
  <c r="K8"/>
  <c r="B6"/>
  <c r="B33" s="1"/>
  <c r="C6"/>
  <c r="C33" s="1"/>
  <c r="D6"/>
  <c r="D33" s="1"/>
  <c r="E6"/>
  <c r="E33" s="1"/>
  <c r="F6"/>
  <c r="F33" s="1"/>
  <c r="G6"/>
  <c r="H6"/>
  <c r="I6"/>
  <c r="I33" s="1"/>
  <c r="J6"/>
  <c r="K6"/>
  <c r="K33" s="1"/>
  <c r="B12"/>
  <c r="B13"/>
  <c r="C12"/>
  <c r="C13"/>
  <c r="D12"/>
  <c r="D13"/>
  <c r="D29" s="1"/>
  <c r="E12"/>
  <c r="E13"/>
  <c r="F12"/>
  <c r="F13"/>
  <c r="G12"/>
  <c r="G13"/>
  <c r="G30" s="1"/>
  <c r="H12"/>
  <c r="H13"/>
  <c r="H30" s="1"/>
  <c r="I12"/>
  <c r="I13"/>
  <c r="J12"/>
  <c r="J13"/>
  <c r="K12"/>
  <c r="K13"/>
  <c r="K30" s="1"/>
  <c r="B11"/>
  <c r="C11"/>
  <c r="D11"/>
  <c r="E11"/>
  <c r="F11"/>
  <c r="G11"/>
  <c r="H11"/>
  <c r="I11"/>
  <c r="I28" s="1"/>
  <c r="J11"/>
  <c r="K11"/>
  <c r="K28" s="1"/>
  <c r="B10"/>
  <c r="C10"/>
  <c r="C27" s="1"/>
  <c r="D10"/>
  <c r="E10"/>
  <c r="F10"/>
  <c r="G10"/>
  <c r="H10"/>
  <c r="I10"/>
  <c r="J10"/>
  <c r="K10"/>
  <c r="K27" s="1"/>
  <c r="B9"/>
  <c r="C9"/>
  <c r="C26" s="1"/>
  <c r="D9"/>
  <c r="E9"/>
  <c r="F9"/>
  <c r="G9"/>
  <c r="H9"/>
  <c r="I9"/>
  <c r="I26" s="1"/>
  <c r="J9"/>
  <c r="K9"/>
  <c r="K26" s="1"/>
  <c r="A34"/>
  <c r="A33"/>
  <c r="I30"/>
  <c r="E30"/>
  <c r="D30"/>
  <c r="C30"/>
  <c r="A30"/>
  <c r="A29"/>
  <c r="A28"/>
  <c r="A27"/>
  <c r="A26"/>
  <c r="K3"/>
  <c r="K25" s="1"/>
  <c r="J3"/>
  <c r="J25" s="1"/>
  <c r="I3"/>
  <c r="I25" s="1"/>
  <c r="H3"/>
  <c r="H25" s="1"/>
  <c r="G3"/>
  <c r="G25" s="1"/>
  <c r="F3"/>
  <c r="F25" s="1"/>
  <c r="E3"/>
  <c r="E25" s="1"/>
  <c r="D3"/>
  <c r="D25" s="1"/>
  <c r="C3"/>
  <c r="C25" s="1"/>
  <c r="B3"/>
  <c r="B25" s="1"/>
  <c r="K4" i="4"/>
  <c r="B52" i="6" s="1"/>
  <c r="B29"/>
  <c r="C29"/>
  <c r="D29"/>
  <c r="E29"/>
  <c r="F29"/>
  <c r="G29"/>
  <c r="H29"/>
  <c r="I29"/>
  <c r="J29"/>
  <c r="K29"/>
  <c r="A1" i="1"/>
  <c r="A1" i="3" s="1"/>
  <c r="A1" i="4" s="1"/>
  <c r="B4" i="3"/>
  <c r="C4"/>
  <c r="D4"/>
  <c r="E4"/>
  <c r="F4"/>
  <c r="G4"/>
  <c r="H4"/>
  <c r="I4"/>
  <c r="J4"/>
  <c r="K4"/>
  <c r="B5"/>
  <c r="C5"/>
  <c r="D5"/>
  <c r="E5"/>
  <c r="F5"/>
  <c r="G5"/>
  <c r="H5"/>
  <c r="I5"/>
  <c r="J5"/>
  <c r="K5"/>
  <c r="B16"/>
  <c r="C16"/>
  <c r="D16"/>
  <c r="E16"/>
  <c r="F16"/>
  <c r="G16"/>
  <c r="H16"/>
  <c r="I16"/>
  <c r="J16"/>
  <c r="K16"/>
  <c r="B17"/>
  <c r="C17"/>
  <c r="D17"/>
  <c r="E17"/>
  <c r="F17"/>
  <c r="G17"/>
  <c r="H17"/>
  <c r="I17"/>
  <c r="J17"/>
  <c r="K17"/>
  <c r="B4" i="1"/>
  <c r="B19" i="3" s="1"/>
  <c r="C4" i="1"/>
  <c r="C19" i="3" s="1"/>
  <c r="D4" i="1"/>
  <c r="D19" i="3" s="1"/>
  <c r="E4" i="1"/>
  <c r="E19" i="3" s="1"/>
  <c r="F4" i="1"/>
  <c r="F19" i="3" s="1"/>
  <c r="G4" i="1"/>
  <c r="G19" i="3" s="1"/>
  <c r="H4" i="1"/>
  <c r="H19" i="3" s="1"/>
  <c r="I4" i="1"/>
  <c r="I19" i="3" s="1"/>
  <c r="J4" i="1"/>
  <c r="J19" i="3" s="1"/>
  <c r="K4" i="1"/>
  <c r="K19" i="3" s="1"/>
  <c r="B20"/>
  <c r="C20"/>
  <c r="D20"/>
  <c r="E20"/>
  <c r="F20"/>
  <c r="C14" i="1"/>
  <c r="C22" s="1"/>
  <c r="D14"/>
  <c r="E14"/>
  <c r="E22" s="1"/>
  <c r="F14"/>
  <c r="G14"/>
  <c r="G22" s="1"/>
  <c r="H14"/>
  <c r="I14"/>
  <c r="I22" s="1"/>
  <c r="J14"/>
  <c r="J22" s="1"/>
  <c r="K14"/>
  <c r="K22" s="1"/>
  <c r="B10"/>
  <c r="B13"/>
  <c r="C10"/>
  <c r="C13"/>
  <c r="D10"/>
  <c r="D13"/>
  <c r="E10"/>
  <c r="E13"/>
  <c r="F10"/>
  <c r="F13"/>
  <c r="G10"/>
  <c r="G13"/>
  <c r="H10"/>
  <c r="H13"/>
  <c r="I10"/>
  <c r="I13"/>
  <c r="J10"/>
  <c r="J13"/>
  <c r="K10"/>
  <c r="K13"/>
  <c r="B3" i="4"/>
  <c r="C3"/>
  <c r="D3"/>
  <c r="E3"/>
  <c r="F3"/>
  <c r="G3"/>
  <c r="H3"/>
  <c r="I3"/>
  <c r="J3"/>
  <c r="K3"/>
  <c r="B4"/>
  <c r="K52" i="6" s="1"/>
  <c r="K53" s="1"/>
  <c r="C4" i="4"/>
  <c r="D4"/>
  <c r="I52" i="6" s="1"/>
  <c r="I31" i="5" s="1"/>
  <c r="E4" i="4"/>
  <c r="F4"/>
  <c r="G4"/>
  <c r="H4"/>
  <c r="E52" i="6" s="1"/>
  <c r="E61" s="1"/>
  <c r="I4" i="4"/>
  <c r="J4"/>
  <c r="C52" i="6" s="1"/>
  <c r="C31" i="5" s="1"/>
  <c r="B5" i="4"/>
  <c r="C5"/>
  <c r="D5"/>
  <c r="E5"/>
  <c r="F5"/>
  <c r="G5"/>
  <c r="H5"/>
  <c r="I5"/>
  <c r="J5"/>
  <c r="K5"/>
  <c r="B6"/>
  <c r="C6"/>
  <c r="D6"/>
  <c r="E6"/>
  <c r="F6"/>
  <c r="G6"/>
  <c r="H6"/>
  <c r="I6"/>
  <c r="J6"/>
  <c r="K6"/>
  <c r="B7"/>
  <c r="C7"/>
  <c r="D7"/>
  <c r="E7"/>
  <c r="F7"/>
  <c r="G7"/>
  <c r="H7"/>
  <c r="I7"/>
  <c r="J7"/>
  <c r="K7"/>
  <c r="B8"/>
  <c r="C8"/>
  <c r="D8"/>
  <c r="E8"/>
  <c r="F8"/>
  <c r="H8"/>
  <c r="I8"/>
  <c r="J8"/>
  <c r="K8"/>
  <c r="A1" i="8"/>
  <c r="B3"/>
  <c r="C3"/>
  <c r="D3"/>
  <c r="E3"/>
  <c r="F3"/>
  <c r="G3"/>
  <c r="H3"/>
  <c r="I3"/>
  <c r="J3"/>
  <c r="K3"/>
  <c r="B4"/>
  <c r="C4"/>
  <c r="D4"/>
  <c r="E4"/>
  <c r="F4"/>
  <c r="G4"/>
  <c r="H4"/>
  <c r="I4"/>
  <c r="J4"/>
  <c r="K4"/>
  <c r="L4"/>
  <c r="B5"/>
  <c r="B49" s="1"/>
  <c r="C5"/>
  <c r="D5"/>
  <c r="E5"/>
  <c r="F5"/>
  <c r="G5"/>
  <c r="H5"/>
  <c r="I5"/>
  <c r="J5"/>
  <c r="K5"/>
  <c r="L5"/>
  <c r="C49" s="1"/>
  <c r="B6"/>
  <c r="C6"/>
  <c r="D6"/>
  <c r="E6"/>
  <c r="F6"/>
  <c r="G6"/>
  <c r="H6"/>
  <c r="I6"/>
  <c r="J6"/>
  <c r="K6"/>
  <c r="B7"/>
  <c r="C7"/>
  <c r="D7"/>
  <c r="E7"/>
  <c r="F7"/>
  <c r="G7"/>
  <c r="H7"/>
  <c r="I7"/>
  <c r="J7"/>
  <c r="K7"/>
  <c r="B8"/>
  <c r="C8"/>
  <c r="D8"/>
  <c r="E8"/>
  <c r="F8"/>
  <c r="G8"/>
  <c r="H8"/>
  <c r="I8"/>
  <c r="J8"/>
  <c r="K8"/>
  <c r="L8"/>
  <c r="C52" s="1"/>
  <c r="B9"/>
  <c r="B53" s="1"/>
  <c r="C9"/>
  <c r="D9"/>
  <c r="E9"/>
  <c r="F9"/>
  <c r="G9"/>
  <c r="H9"/>
  <c r="I9"/>
  <c r="J9"/>
  <c r="K9"/>
  <c r="L9"/>
  <c r="C53" s="1"/>
  <c r="B10"/>
  <c r="C10"/>
  <c r="D10"/>
  <c r="E10"/>
  <c r="F10"/>
  <c r="G10"/>
  <c r="H10"/>
  <c r="I10"/>
  <c r="J10"/>
  <c r="K10"/>
  <c r="B13"/>
  <c r="I13"/>
  <c r="B14"/>
  <c r="C14"/>
  <c r="D14"/>
  <c r="E14"/>
  <c r="F14"/>
  <c r="G14"/>
  <c r="H14"/>
  <c r="I14"/>
  <c r="J14"/>
  <c r="K14"/>
  <c r="L14"/>
  <c r="B18"/>
  <c r="C18"/>
  <c r="D18"/>
  <c r="E18"/>
  <c r="F18"/>
  <c r="G18"/>
  <c r="H18"/>
  <c r="I18"/>
  <c r="J18"/>
  <c r="K18"/>
  <c r="M20"/>
  <c r="M21"/>
  <c r="M22"/>
  <c r="M23"/>
  <c r="M24"/>
  <c r="M25"/>
  <c r="M26"/>
  <c r="B28"/>
  <c r="C28"/>
  <c r="D28"/>
  <c r="E28"/>
  <c r="F28"/>
  <c r="G28"/>
  <c r="H28"/>
  <c r="I28"/>
  <c r="J28"/>
  <c r="K28"/>
  <c r="M29"/>
  <c r="M30"/>
  <c r="M31"/>
  <c r="B38"/>
  <c r="C38"/>
  <c r="D38"/>
  <c r="E38"/>
  <c r="F38"/>
  <c r="G38"/>
  <c r="H38"/>
  <c r="I38"/>
  <c r="J38"/>
  <c r="K38"/>
  <c r="A49"/>
  <c r="A50"/>
  <c r="A51"/>
  <c r="A52"/>
  <c r="A53"/>
  <c r="A54"/>
  <c r="A55"/>
  <c r="A1" i="5"/>
  <c r="K40" i="6"/>
  <c r="K39"/>
  <c r="B63" i="5"/>
  <c r="K63"/>
  <c r="H40" i="6"/>
  <c r="H39"/>
  <c r="H63" i="5"/>
  <c r="C6" s="1"/>
  <c r="B69" i="7"/>
  <c r="B16" i="1" s="1"/>
  <c r="C69" i="7"/>
  <c r="C16" i="1" s="1"/>
  <c r="D69" i="7"/>
  <c r="D16" i="1" s="1"/>
  <c r="E69" i="7"/>
  <c r="E16" i="1" s="1"/>
  <c r="F69" i="7"/>
  <c r="F16" i="1" s="1"/>
  <c r="G69" i="7"/>
  <c r="G16" i="1" s="1"/>
  <c r="H69" i="7"/>
  <c r="H16" i="1" s="1"/>
  <c r="I69" i="7"/>
  <c r="I16" i="1" s="1"/>
  <c r="J69" i="7"/>
  <c r="J16" i="1" s="1"/>
  <c r="K69" i="7"/>
  <c r="K16" i="1" s="1"/>
  <c r="C40" i="6"/>
  <c r="C39"/>
  <c r="D40"/>
  <c r="D39"/>
  <c r="E40"/>
  <c r="E39"/>
  <c r="F40"/>
  <c r="F39"/>
  <c r="G40"/>
  <c r="G39"/>
  <c r="I40"/>
  <c r="I39"/>
  <c r="J40"/>
  <c r="J39"/>
  <c r="D52"/>
  <c r="F52"/>
  <c r="F31" i="5" s="1"/>
  <c r="G52" i="6"/>
  <c r="G31" i="5" s="1"/>
  <c r="H52" i="6"/>
  <c r="H31" i="5" s="1"/>
  <c r="J52" i="6"/>
  <c r="J31" i="5" s="1"/>
  <c r="B62" i="6"/>
  <c r="G62"/>
  <c r="C64"/>
  <c r="E64"/>
  <c r="G64"/>
  <c r="I64"/>
  <c r="K64"/>
  <c r="H12" i="2"/>
  <c r="I12"/>
  <c r="J12"/>
  <c r="K12"/>
  <c r="F63" i="5"/>
  <c r="D63"/>
  <c r="C63"/>
  <c r="C9" s="1"/>
  <c r="A12"/>
  <c r="B13"/>
  <c r="B26" i="6"/>
  <c r="B27" s="1"/>
  <c r="K26"/>
  <c r="E13" i="5"/>
  <c r="K57" i="6"/>
  <c r="B14" i="5"/>
  <c r="F26" i="6"/>
  <c r="F27" s="1"/>
  <c r="D14" i="5"/>
  <c r="H14"/>
  <c r="F57" i="6"/>
  <c r="B15" i="5"/>
  <c r="D26" i="6"/>
  <c r="D27" s="1"/>
  <c r="D33" i="5" s="1"/>
  <c r="D15"/>
  <c r="I15"/>
  <c r="D57" i="6"/>
  <c r="B16" i="5"/>
  <c r="C26" i="6"/>
  <c r="D16" i="5"/>
  <c r="H16"/>
  <c r="A18"/>
  <c r="B24" i="6"/>
  <c r="B18" i="5" s="1"/>
  <c r="C24" i="6"/>
  <c r="C18" i="5" s="1"/>
  <c r="D24" i="6"/>
  <c r="D18" i="5" s="1"/>
  <c r="E24" i="6"/>
  <c r="E18" i="5" s="1"/>
  <c r="F24" i="6"/>
  <c r="F18" i="5" s="1"/>
  <c r="G24" i="6"/>
  <c r="G18" i="5" s="1"/>
  <c r="H24" i="6"/>
  <c r="H18" i="5" s="1"/>
  <c r="I24" i="6"/>
  <c r="I18" i="5" s="1"/>
  <c r="J24" i="6"/>
  <c r="J18" i="5" s="1"/>
  <c r="K24" i="6"/>
  <c r="K18" i="5" s="1"/>
  <c r="D20"/>
  <c r="F20"/>
  <c r="H20"/>
  <c r="J20"/>
  <c r="B21"/>
  <c r="C21"/>
  <c r="D21"/>
  <c r="E21"/>
  <c r="F21"/>
  <c r="G21"/>
  <c r="H21"/>
  <c r="I21"/>
  <c r="D22"/>
  <c r="F22"/>
  <c r="H22"/>
  <c r="J22"/>
  <c r="B23"/>
  <c r="B31" i="6"/>
  <c r="B24" i="5" s="1"/>
  <c r="C31" i="6"/>
  <c r="D31"/>
  <c r="D24" i="5" s="1"/>
  <c r="E31" i="6"/>
  <c r="F31"/>
  <c r="F24" i="5" s="1"/>
  <c r="G31" i="6"/>
  <c r="H31"/>
  <c r="H24" i="5" s="1"/>
  <c r="I31" i="6"/>
  <c r="J31"/>
  <c r="J24" i="5" s="1"/>
  <c r="K31" i="6"/>
  <c r="B25" i="5"/>
  <c r="D25"/>
  <c r="F25"/>
  <c r="H25"/>
  <c r="J25"/>
  <c r="B29"/>
  <c r="C29"/>
  <c r="D29"/>
  <c r="E29"/>
  <c r="F29"/>
  <c r="G29"/>
  <c r="H29"/>
  <c r="I29"/>
  <c r="J29"/>
  <c r="K29"/>
  <c r="B30"/>
  <c r="C30"/>
  <c r="D30"/>
  <c r="E30"/>
  <c r="F30"/>
  <c r="G30"/>
  <c r="H30"/>
  <c r="I30"/>
  <c r="J30"/>
  <c r="K30"/>
  <c r="E26" i="6"/>
  <c r="G26"/>
  <c r="G27" s="1"/>
  <c r="G33" i="5" s="1"/>
  <c r="H26" i="6"/>
  <c r="H27" s="1"/>
  <c r="H33" i="5" s="1"/>
  <c r="I26" i="6"/>
  <c r="I27" s="1"/>
  <c r="I33" i="5" s="1"/>
  <c r="J26" i="6"/>
  <c r="J27" s="1"/>
  <c r="J33" i="5" s="1"/>
  <c r="B34"/>
  <c r="D34"/>
  <c r="F34"/>
  <c r="H34"/>
  <c r="J34"/>
  <c r="C36"/>
  <c r="D36"/>
  <c r="E36"/>
  <c r="F36"/>
  <c r="G36"/>
  <c r="H36"/>
  <c r="I36"/>
  <c r="J36"/>
  <c r="K36"/>
  <c r="B40"/>
  <c r="E40"/>
  <c r="G40"/>
  <c r="J40"/>
  <c r="B41"/>
  <c r="D41"/>
  <c r="F41"/>
  <c r="H41"/>
  <c r="J41"/>
  <c r="B53"/>
  <c r="D53"/>
  <c r="B54"/>
  <c r="D54"/>
  <c r="F54"/>
  <c r="H54"/>
  <c r="J54"/>
  <c r="C55"/>
  <c r="E55"/>
  <c r="G55"/>
  <c r="I55"/>
  <c r="K56"/>
  <c r="C57"/>
  <c r="G57"/>
  <c r="J57"/>
  <c r="B58"/>
  <c r="C58"/>
  <c r="D58"/>
  <c r="E58"/>
  <c r="F58"/>
  <c r="G58"/>
  <c r="H58"/>
  <c r="I58"/>
  <c r="J58"/>
  <c r="K58"/>
  <c r="E63"/>
  <c r="E64" s="1"/>
  <c r="G63"/>
  <c r="I63"/>
  <c r="J63"/>
  <c r="J64" s="1"/>
  <c r="B64"/>
  <c r="G64"/>
  <c r="A1" i="6"/>
  <c r="A4"/>
  <c r="B4"/>
  <c r="C4"/>
  <c r="D4"/>
  <c r="E4"/>
  <c r="F4"/>
  <c r="G4"/>
  <c r="H4"/>
  <c r="I4"/>
  <c r="J4"/>
  <c r="K4"/>
  <c r="B14"/>
  <c r="C14"/>
  <c r="D14"/>
  <c r="E14"/>
  <c r="F14"/>
  <c r="G14"/>
  <c r="H14"/>
  <c r="I14"/>
  <c r="J14"/>
  <c r="K14"/>
  <c r="A24"/>
  <c r="A26"/>
  <c r="E57"/>
  <c r="G57"/>
  <c r="H57"/>
  <c r="I57"/>
  <c r="J57"/>
  <c r="B3" i="1"/>
  <c r="C3"/>
  <c r="D3"/>
  <c r="E3"/>
  <c r="F3"/>
  <c r="G3"/>
  <c r="H3"/>
  <c r="I3"/>
  <c r="J3"/>
  <c r="K3"/>
  <c r="K24"/>
  <c r="I24"/>
  <c r="J24"/>
  <c r="B6"/>
  <c r="B5" s="1"/>
  <c r="C6"/>
  <c r="C5" s="1"/>
  <c r="D6"/>
  <c r="D5" s="1"/>
  <c r="E6"/>
  <c r="E5" s="1"/>
  <c r="F6"/>
  <c r="F5" s="1"/>
  <c r="G6"/>
  <c r="G5" s="1"/>
  <c r="H6"/>
  <c r="H5" s="1"/>
  <c r="I6"/>
  <c r="I5" s="1"/>
  <c r="J6"/>
  <c r="J5" s="1"/>
  <c r="K6"/>
  <c r="K5" s="1"/>
  <c r="H6" i="2"/>
  <c r="I6"/>
  <c r="I5" s="1"/>
  <c r="J6"/>
  <c r="K6"/>
  <c r="K5" s="1"/>
  <c r="B7" i="1"/>
  <c r="C7"/>
  <c r="D7"/>
  <c r="E7"/>
  <c r="F7"/>
  <c r="G7"/>
  <c r="H7"/>
  <c r="I7"/>
  <c r="J7"/>
  <c r="K7"/>
  <c r="H7" i="2"/>
  <c r="I7"/>
  <c r="J7"/>
  <c r="K7"/>
  <c r="B8" i="1"/>
  <c r="C8"/>
  <c r="D8"/>
  <c r="E8"/>
  <c r="F8"/>
  <c r="G8"/>
  <c r="H8"/>
  <c r="I8"/>
  <c r="J8"/>
  <c r="K8"/>
  <c r="L8"/>
  <c r="B9"/>
  <c r="C9"/>
  <c r="D9"/>
  <c r="E9"/>
  <c r="F9"/>
  <c r="G9"/>
  <c r="H9"/>
  <c r="I9"/>
  <c r="J9"/>
  <c r="K9"/>
  <c r="H9" i="2"/>
  <c r="I9"/>
  <c r="J9"/>
  <c r="K9"/>
  <c r="H10"/>
  <c r="I10"/>
  <c r="J10"/>
  <c r="K10"/>
  <c r="B11" i="1"/>
  <c r="C11"/>
  <c r="D11"/>
  <c r="E11"/>
  <c r="F11"/>
  <c r="G11"/>
  <c r="H11"/>
  <c r="I11"/>
  <c r="J11"/>
  <c r="K11"/>
  <c r="H11" i="2"/>
  <c r="I11"/>
  <c r="J11"/>
  <c r="K11"/>
  <c r="B12" i="1"/>
  <c r="C12"/>
  <c r="D12"/>
  <c r="E12"/>
  <c r="F12"/>
  <c r="G12"/>
  <c r="H12"/>
  <c r="I12"/>
  <c r="J12"/>
  <c r="K12"/>
  <c r="H13" i="2"/>
  <c r="I13"/>
  <c r="J13"/>
  <c r="K13"/>
  <c r="L17" i="1"/>
  <c r="K26"/>
  <c r="H26"/>
  <c r="I26"/>
  <c r="J26"/>
  <c r="B21"/>
  <c r="K35" i="5" s="1"/>
  <c r="H21" i="1"/>
  <c r="E35" i="5" s="1"/>
  <c r="A1" i="2"/>
  <c r="B3"/>
  <c r="C3"/>
  <c r="D3"/>
  <c r="E3"/>
  <c r="F3"/>
  <c r="G3"/>
  <c r="H3"/>
  <c r="I3"/>
  <c r="J3"/>
  <c r="K3"/>
  <c r="B4"/>
  <c r="C4"/>
  <c r="B6"/>
  <c r="C6"/>
  <c r="D6"/>
  <c r="D16" s="1"/>
  <c r="E6"/>
  <c r="E5" s="1"/>
  <c r="F6"/>
  <c r="F5" s="1"/>
  <c r="G6"/>
  <c r="G5" s="1"/>
  <c r="B7"/>
  <c r="C7"/>
  <c r="D7"/>
  <c r="E7"/>
  <c r="F7"/>
  <c r="G7"/>
  <c r="B8"/>
  <c r="C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C16"/>
  <c r="F16"/>
  <c r="C24" i="9" l="1"/>
  <c r="C29"/>
  <c r="D24"/>
  <c r="E57" i="5"/>
  <c r="F66" i="6"/>
  <c r="J66"/>
  <c r="L9" i="4"/>
  <c r="N27" i="1"/>
  <c r="L27"/>
  <c r="I27"/>
  <c r="B5" i="2"/>
  <c r="H27" i="1"/>
  <c r="M27"/>
  <c r="K27"/>
  <c r="J27"/>
  <c r="B22"/>
  <c r="H22"/>
  <c r="F22"/>
  <c r="D22"/>
  <c r="J26" i="3"/>
  <c r="F26"/>
  <c r="D26"/>
  <c r="J27"/>
  <c r="H27"/>
  <c r="D27"/>
  <c r="B27"/>
  <c r="H24" i="1"/>
  <c r="L4" i="4"/>
  <c r="G44" i="8"/>
  <c r="B20"/>
  <c r="G16" i="2"/>
  <c r="E16"/>
  <c r="D5"/>
  <c r="F21" i="1"/>
  <c r="G35" i="5" s="1"/>
  <c r="C5"/>
  <c r="F23" i="3"/>
  <c r="K22"/>
  <c r="I22"/>
  <c r="G22"/>
  <c r="E22"/>
  <c r="C22"/>
  <c r="J28"/>
  <c r="F28"/>
  <c r="D28"/>
  <c r="B28"/>
  <c r="H29"/>
  <c r="L9" i="1"/>
  <c r="M9" s="1"/>
  <c r="L11"/>
  <c r="M11" s="1"/>
  <c r="I53" i="5"/>
  <c r="G53"/>
  <c r="D19"/>
  <c r="G23" i="3"/>
  <c r="C28"/>
  <c r="E29"/>
  <c r="J33"/>
  <c r="B34"/>
  <c r="B16" i="2"/>
  <c r="C5"/>
  <c r="L10" i="8"/>
  <c r="C54" s="1"/>
  <c r="L7"/>
  <c r="C51" s="1"/>
  <c r="L6"/>
  <c r="C50" s="1"/>
  <c r="J20" i="3"/>
  <c r="H66" i="6"/>
  <c r="I57" i="5"/>
  <c r="K57"/>
  <c r="L12" i="1"/>
  <c r="N7" i="5" s="1"/>
  <c r="F23"/>
  <c r="K23" i="3"/>
  <c r="G27"/>
  <c r="I29"/>
  <c r="K34"/>
  <c r="D34"/>
  <c r="G48" i="6"/>
  <c r="G39" i="5" s="1"/>
  <c r="C66" i="6"/>
  <c r="G66"/>
  <c r="L7" i="1"/>
  <c r="D21"/>
  <c r="I35" i="5" s="1"/>
  <c r="K64"/>
  <c r="H53"/>
  <c r="E53"/>
  <c r="C53"/>
  <c r="H26" i="3"/>
  <c r="F27"/>
  <c r="H28"/>
  <c r="B23" i="6"/>
  <c r="C23"/>
  <c r="C56" i="5" s="1"/>
  <c r="D40"/>
  <c r="D23" i="6"/>
  <c r="D56" i="5" s="1"/>
  <c r="E23" i="6"/>
  <c r="E56" i="5" s="1"/>
  <c r="F40"/>
  <c r="F23" i="6"/>
  <c r="F56" i="5" s="1"/>
  <c r="G23" i="6"/>
  <c r="G56" i="5" s="1"/>
  <c r="H23" i="6"/>
  <c r="H56" i="5" s="1"/>
  <c r="I23" i="6"/>
  <c r="I56" i="5" s="1"/>
  <c r="J23" i="6"/>
  <c r="I40" i="5"/>
  <c r="K25"/>
  <c r="K16" i="2"/>
  <c r="J21" i="1"/>
  <c r="C35" i="5" s="1"/>
  <c r="I64"/>
  <c r="F53"/>
  <c r="K31"/>
  <c r="J23" i="3"/>
  <c r="G26"/>
  <c r="G28"/>
  <c r="C34"/>
  <c r="E66" i="6"/>
  <c r="I66"/>
  <c r="B74" i="5"/>
  <c r="B73"/>
  <c r="D64"/>
  <c r="C7"/>
  <c r="F64"/>
  <c r="N6"/>
  <c r="L13" i="1"/>
  <c r="B24" i="8"/>
  <c r="I23"/>
  <c r="B22"/>
  <c r="B26" i="3"/>
  <c r="B23"/>
  <c r="F29"/>
  <c r="F30"/>
  <c r="K20" i="2"/>
  <c r="L14" i="1"/>
  <c r="L4"/>
  <c r="L24" s="1"/>
  <c r="K63" i="6"/>
  <c r="I63"/>
  <c r="G63"/>
  <c r="E63"/>
  <c r="C63"/>
  <c r="I8" i="5"/>
  <c r="C68" i="6"/>
  <c r="C55"/>
  <c r="E68"/>
  <c r="E55"/>
  <c r="G68"/>
  <c r="G55"/>
  <c r="I68"/>
  <c r="I16" i="2"/>
  <c r="L10" i="1"/>
  <c r="J5" i="2"/>
  <c r="H5"/>
  <c r="H64" i="5"/>
  <c r="C64"/>
  <c r="J55"/>
  <c r="H55"/>
  <c r="F55"/>
  <c r="D55"/>
  <c r="B55"/>
  <c r="I54"/>
  <c r="G54"/>
  <c r="E54"/>
  <c r="C54"/>
  <c r="K41"/>
  <c r="K42" s="1"/>
  <c r="I41"/>
  <c r="G41"/>
  <c r="G42" s="1"/>
  <c r="E41"/>
  <c r="E42" s="1"/>
  <c r="C41"/>
  <c r="C42" s="1"/>
  <c r="K40"/>
  <c r="C40"/>
  <c r="E27" i="6"/>
  <c r="E33" i="5" s="1"/>
  <c r="K24"/>
  <c r="I24"/>
  <c r="G24"/>
  <c r="E24"/>
  <c r="C24"/>
  <c r="B22"/>
  <c r="E16"/>
  <c r="C27" i="6"/>
  <c r="C16" i="5" s="1"/>
  <c r="H15"/>
  <c r="H13"/>
  <c r="D13"/>
  <c r="C8"/>
  <c r="K62" i="6"/>
  <c r="C62"/>
  <c r="K37" i="5"/>
  <c r="F19"/>
  <c r="F43" s="1"/>
  <c r="H19"/>
  <c r="J53"/>
  <c r="B51" i="8"/>
  <c r="B41"/>
  <c r="L41" s="1"/>
  <c r="I23" i="3"/>
  <c r="H23"/>
  <c r="E23"/>
  <c r="D23"/>
  <c r="H20"/>
  <c r="J22"/>
  <c r="H22"/>
  <c r="F22"/>
  <c r="D22"/>
  <c r="B22"/>
  <c r="E26"/>
  <c r="E28"/>
  <c r="J29"/>
  <c r="J30"/>
  <c r="B29"/>
  <c r="B30"/>
  <c r="H33"/>
  <c r="G33"/>
  <c r="L33" s="1"/>
  <c r="K48" i="6"/>
  <c r="J63"/>
  <c r="H63"/>
  <c r="F63"/>
  <c r="D63"/>
  <c r="B63"/>
  <c r="D68"/>
  <c r="D55"/>
  <c r="F68"/>
  <c r="F55"/>
  <c r="H68"/>
  <c r="J68"/>
  <c r="C23" i="3"/>
  <c r="I27"/>
  <c r="L27" s="1"/>
  <c r="E27"/>
  <c r="K29"/>
  <c r="G29"/>
  <c r="C29"/>
  <c r="L29" s="1"/>
  <c r="I34"/>
  <c r="E34"/>
  <c r="C48" i="6"/>
  <c r="C59" i="5" s="1"/>
  <c r="E52"/>
  <c r="F52"/>
  <c r="F48" i="6"/>
  <c r="G52" i="5"/>
  <c r="H54" i="6"/>
  <c r="H55" s="1"/>
  <c r="H40" i="5"/>
  <c r="I54" i="6"/>
  <c r="I55" s="1"/>
  <c r="J54"/>
  <c r="J55" s="1"/>
  <c r="K54"/>
  <c r="K55" s="1"/>
  <c r="B68"/>
  <c r="B55"/>
  <c r="B69"/>
  <c r="C58"/>
  <c r="C67" s="1"/>
  <c r="C25" i="5"/>
  <c r="D69" i="6"/>
  <c r="E58"/>
  <c r="E25" i="5"/>
  <c r="F69" i="6"/>
  <c r="G69"/>
  <c r="G58"/>
  <c r="G25" i="5"/>
  <c r="H69" i="6"/>
  <c r="I58"/>
  <c r="I67" s="1"/>
  <c r="J69"/>
  <c r="K66"/>
  <c r="I39" i="8"/>
  <c r="D39"/>
  <c r="B39"/>
  <c r="K59" i="5"/>
  <c r="K39"/>
  <c r="B52"/>
  <c r="C52"/>
  <c r="I52"/>
  <c r="J52"/>
  <c r="J48" i="6"/>
  <c r="J39" i="5" s="1"/>
  <c r="K52"/>
  <c r="I42" i="8"/>
  <c r="B15"/>
  <c r="B16" s="1"/>
  <c r="I44"/>
  <c r="H44"/>
  <c r="F44"/>
  <c r="B44"/>
  <c r="I43"/>
  <c r="G43"/>
  <c r="C43"/>
  <c r="H42"/>
  <c r="D42"/>
  <c r="C41"/>
  <c r="F40"/>
  <c r="C40"/>
  <c r="I25" i="5"/>
  <c r="B19"/>
  <c r="I42"/>
  <c r="D44" i="8"/>
  <c r="C44"/>
  <c r="E43"/>
  <c r="D43"/>
  <c r="F42"/>
  <c r="E42"/>
  <c r="B42"/>
  <c r="B23"/>
  <c r="I41"/>
  <c r="I22"/>
  <c r="G41"/>
  <c r="F41"/>
  <c r="J11"/>
  <c r="H50" s="1"/>
  <c r="H40"/>
  <c r="G40"/>
  <c r="B40"/>
  <c r="L40" s="1"/>
  <c r="B50"/>
  <c r="G39"/>
  <c r="F39"/>
  <c r="K8" i="5"/>
  <c r="B64" i="6"/>
  <c r="F13" i="5"/>
  <c r="B57" i="6"/>
  <c r="L15" i="5" s="1"/>
  <c r="F15"/>
  <c r="F16"/>
  <c r="B57"/>
  <c r="E14"/>
  <c r="B31"/>
  <c r="B36"/>
  <c r="B42" s="1"/>
  <c r="B20"/>
  <c r="E15"/>
  <c r="F14"/>
  <c r="K61" i="6"/>
  <c r="I13" i="5"/>
  <c r="I61" i="6"/>
  <c r="I53"/>
  <c r="I37" i="5" s="1"/>
  <c r="G61" i="6"/>
  <c r="G53"/>
  <c r="G37" i="5" s="1"/>
  <c r="J23"/>
  <c r="J19"/>
  <c r="B54" i="8"/>
  <c r="H43"/>
  <c r="K20" i="5"/>
  <c r="K22"/>
  <c r="I20"/>
  <c r="I22"/>
  <c r="H23"/>
  <c r="G20"/>
  <c r="G22"/>
  <c r="E20"/>
  <c r="E22"/>
  <c r="D23"/>
  <c r="C20"/>
  <c r="C22"/>
  <c r="C69" i="6"/>
  <c r="C57"/>
  <c r="L16" i="5" s="1"/>
  <c r="D58" i="6"/>
  <c r="D64"/>
  <c r="D57" i="5"/>
  <c r="E69" i="6"/>
  <c r="E62"/>
  <c r="E67"/>
  <c r="F58"/>
  <c r="F64"/>
  <c r="F57" i="5"/>
  <c r="H58" i="6"/>
  <c r="H64"/>
  <c r="H57" i="5"/>
  <c r="I69" i="6"/>
  <c r="I62"/>
  <c r="J58"/>
  <c r="J67" s="1"/>
  <c r="J64"/>
  <c r="J42" i="5"/>
  <c r="H42"/>
  <c r="F42"/>
  <c r="D42"/>
  <c r="J61" i="6"/>
  <c r="H61"/>
  <c r="H49"/>
  <c r="H44" i="5" s="1"/>
  <c r="D48" i="6"/>
  <c r="D39" i="5" s="1"/>
  <c r="H48" i="6"/>
  <c r="K68"/>
  <c r="C61"/>
  <c r="C53"/>
  <c r="C37" i="5" s="1"/>
  <c r="E22" i="8"/>
  <c r="E41"/>
  <c r="D11"/>
  <c r="D40"/>
  <c r="E31" i="5"/>
  <c r="I16"/>
  <c r="F61" i="6"/>
  <c r="F53"/>
  <c r="F37" i="5" s="1"/>
  <c r="D61" i="6"/>
  <c r="D31" i="5"/>
  <c r="I41" i="6"/>
  <c r="I60" s="1"/>
  <c r="I19" i="5"/>
  <c r="I43" s="1"/>
  <c r="I23"/>
  <c r="G19"/>
  <c r="G23"/>
  <c r="E19"/>
  <c r="E43" s="1"/>
  <c r="E23"/>
  <c r="C19"/>
  <c r="C43" s="1"/>
  <c r="C23"/>
  <c r="K19"/>
  <c r="K43" s="1"/>
  <c r="K23"/>
  <c r="B52" i="8"/>
  <c r="E44"/>
  <c r="F43"/>
  <c r="B43"/>
  <c r="G42"/>
  <c r="C42"/>
  <c r="H41"/>
  <c r="D41"/>
  <c r="I40"/>
  <c r="E40"/>
  <c r="B25"/>
  <c r="E24"/>
  <c r="E23"/>
  <c r="L13" i="5"/>
  <c r="J41" i="6"/>
  <c r="J60" s="1"/>
  <c r="K49"/>
  <c r="K44" i="5" s="1"/>
  <c r="I24" i="8"/>
  <c r="D52" i="5"/>
  <c r="E48" i="6"/>
  <c r="E39" i="5" s="1"/>
  <c r="H52"/>
  <c r="I48" i="6"/>
  <c r="I39" i="5" s="1"/>
  <c r="K58" i="6"/>
  <c r="D62"/>
  <c r="F62"/>
  <c r="H62"/>
  <c r="C23" i="8"/>
  <c r="C19"/>
  <c r="C21"/>
  <c r="C22"/>
  <c r="C24"/>
  <c r="C25"/>
  <c r="G19"/>
  <c r="G21"/>
  <c r="G23"/>
  <c r="G22"/>
  <c r="G24"/>
  <c r="G25"/>
  <c r="C14" i="5"/>
  <c r="K27" i="6"/>
  <c r="K33" i="5" s="1"/>
  <c r="J62" i="6"/>
  <c r="I49"/>
  <c r="I44" i="5" s="1"/>
  <c r="G49" i="6"/>
  <c r="G44" i="5" s="1"/>
  <c r="F49" i="6"/>
  <c r="F44" i="5" s="1"/>
  <c r="E41" i="6"/>
  <c r="E60" s="1"/>
  <c r="D49"/>
  <c r="D44" i="5" s="1"/>
  <c r="C49" i="6"/>
  <c r="C44" i="5" s="1"/>
  <c r="K41" i="6"/>
  <c r="I25" i="8"/>
  <c r="E25"/>
  <c r="F11"/>
  <c r="B11"/>
  <c r="I20"/>
  <c r="G20"/>
  <c r="E39"/>
  <c r="E20"/>
  <c r="C39"/>
  <c r="C20"/>
  <c r="D59" i="5"/>
  <c r="D67" i="6"/>
  <c r="F67"/>
  <c r="G67"/>
  <c r="B49"/>
  <c r="B44" i="5" s="1"/>
  <c r="B41" i="6"/>
  <c r="I19" i="8"/>
  <c r="I21"/>
  <c r="E19"/>
  <c r="E21"/>
  <c r="C45" i="5"/>
  <c r="C61" s="1"/>
  <c r="C26"/>
  <c r="C70" i="6"/>
  <c r="D26" i="5"/>
  <c r="D70" i="6"/>
  <c r="D13" i="8"/>
  <c r="D21" s="1"/>
  <c r="E26" i="5"/>
  <c r="E70" i="6"/>
  <c r="F70"/>
  <c r="F13" i="8"/>
  <c r="F21" s="1"/>
  <c r="G26" i="5"/>
  <c r="G70" i="6"/>
  <c r="G71" s="1"/>
  <c r="G51" i="5" s="1"/>
  <c r="H26"/>
  <c r="H70" i="6"/>
  <c r="H13" i="8"/>
  <c r="I26" i="5"/>
  <c r="I70" i="6"/>
  <c r="J70"/>
  <c r="J13" i="8"/>
  <c r="J21" s="1"/>
  <c r="K26" i="5"/>
  <c r="K70" i="6"/>
  <c r="F26" i="5"/>
  <c r="K15" i="8"/>
  <c r="K16" s="1"/>
  <c r="I15"/>
  <c r="I31" s="1"/>
  <c r="G15"/>
  <c r="G16" s="1"/>
  <c r="E15"/>
  <c r="E31" s="1"/>
  <c r="C15"/>
  <c r="C31" s="1"/>
  <c r="B19"/>
  <c r="I11"/>
  <c r="I45" s="1"/>
  <c r="G11"/>
  <c r="G26" s="1"/>
  <c r="H11"/>
  <c r="H45" s="1"/>
  <c r="J8" i="5"/>
  <c r="B66" i="6"/>
  <c r="H39" i="8"/>
  <c r="E11"/>
  <c r="E26" s="1"/>
  <c r="C11"/>
  <c r="F33" i="5"/>
  <c r="B33"/>
  <c r="C15"/>
  <c r="C33"/>
  <c r="M13" i="1"/>
  <c r="G7" i="5"/>
  <c r="G6"/>
  <c r="N11" i="1"/>
  <c r="N9"/>
  <c r="J16" i="2"/>
  <c r="H16"/>
  <c r="K21" i="1"/>
  <c r="B35" i="5" s="1"/>
  <c r="I21" i="1"/>
  <c r="D35" i="5" s="1"/>
  <c r="G21" i="1"/>
  <c r="F35" i="5" s="1"/>
  <c r="E21" i="1"/>
  <c r="H35" i="5" s="1"/>
  <c r="C21" i="1"/>
  <c r="L6"/>
  <c r="J43" i="5"/>
  <c r="H43"/>
  <c r="D43"/>
  <c r="I14"/>
  <c r="B61" i="6"/>
  <c r="G21" i="2"/>
  <c r="G19"/>
  <c r="L19" s="1"/>
  <c r="B26" i="5"/>
  <c r="B70" i="6"/>
  <c r="E49"/>
  <c r="E44" i="5" s="1"/>
  <c r="J49" i="6"/>
  <c r="J44" i="5" s="1"/>
  <c r="G41" i="6"/>
  <c r="G60" s="1"/>
  <c r="F41"/>
  <c r="D41"/>
  <c r="C41"/>
  <c r="H41"/>
  <c r="B21" i="8"/>
  <c r="K20" i="3"/>
  <c r="I20"/>
  <c r="G20"/>
  <c r="G20" i="2"/>
  <c r="K21"/>
  <c r="B48" i="6"/>
  <c r="B58"/>
  <c r="B67" s="1"/>
  <c r="L42" i="8" l="1"/>
  <c r="L22" i="1"/>
  <c r="H25"/>
  <c r="J35" i="5"/>
  <c r="L34" i="3"/>
  <c r="K45" i="5"/>
  <c r="K61" s="1"/>
  <c r="N13" i="1"/>
  <c r="I59" i="5"/>
  <c r="B71"/>
  <c r="D53" i="6"/>
  <c r="D37" i="5" s="1"/>
  <c r="L43" i="8"/>
  <c r="L44"/>
  <c r="B30"/>
  <c r="L21" i="2"/>
  <c r="K7" i="5"/>
  <c r="I6"/>
  <c r="B70"/>
  <c r="B68"/>
  <c r="B67"/>
  <c r="B69"/>
  <c r="B56"/>
  <c r="I7"/>
  <c r="D71" i="6"/>
  <c r="D51" i="5" s="1"/>
  <c r="G43"/>
  <c r="E53" i="6"/>
  <c r="E37" i="5" s="1"/>
  <c r="B79"/>
  <c r="B80"/>
  <c r="B53" i="6"/>
  <c r="J13" i="5" s="1"/>
  <c r="J25" i="1"/>
  <c r="G59" i="5"/>
  <c r="G45" s="1"/>
  <c r="G61" s="1"/>
  <c r="L14"/>
  <c r="C39"/>
  <c r="I46"/>
  <c r="L28" i="3"/>
  <c r="L5" i="1"/>
  <c r="J53" i="6"/>
  <c r="J37" i="5" s="1"/>
  <c r="J56"/>
  <c r="I16" i="8"/>
  <c r="I45" i="5"/>
  <c r="I61" s="1"/>
  <c r="I65" s="1"/>
  <c r="D45"/>
  <c r="D61" s="1"/>
  <c r="D62" s="1"/>
  <c r="H53" i="6"/>
  <c r="H37" i="5" s="1"/>
  <c r="H47"/>
  <c r="H46"/>
  <c r="J71" i="6"/>
  <c r="J51" i="5" s="1"/>
  <c r="E71" i="6"/>
  <c r="E51" i="5" s="1"/>
  <c r="B49"/>
  <c r="B48"/>
  <c r="B46"/>
  <c r="B47"/>
  <c r="F59"/>
  <c r="F45" s="1"/>
  <c r="F61" s="1"/>
  <c r="F65" s="1"/>
  <c r="F39"/>
  <c r="J46"/>
  <c r="F48"/>
  <c r="F47"/>
  <c r="F46"/>
  <c r="D48"/>
  <c r="D47"/>
  <c r="D46"/>
  <c r="G48"/>
  <c r="G47"/>
  <c r="G46"/>
  <c r="E48"/>
  <c r="E47"/>
  <c r="E46"/>
  <c r="C48"/>
  <c r="C47"/>
  <c r="C46"/>
  <c r="M24" i="1"/>
  <c r="M4" s="1"/>
  <c r="N24"/>
  <c r="N4" s="1"/>
  <c r="L20" i="2"/>
  <c r="E16" i="8"/>
  <c r="L21" i="1"/>
  <c r="L25" s="1"/>
  <c r="B45" i="8"/>
  <c r="C13" i="5"/>
  <c r="C71" i="6"/>
  <c r="C51" i="5" s="1"/>
  <c r="F71" i="6"/>
  <c r="F51" i="5" s="1"/>
  <c r="J59"/>
  <c r="J45" s="1"/>
  <c r="J61" s="1"/>
  <c r="J62" s="1"/>
  <c r="E59"/>
  <c r="E45" s="1"/>
  <c r="E61" s="1"/>
  <c r="E62" s="1"/>
  <c r="F45" i="8"/>
  <c r="J7" i="5"/>
  <c r="G8"/>
  <c r="L15" i="1"/>
  <c r="L16" s="1"/>
  <c r="L26" s="1"/>
  <c r="L26" i="3"/>
  <c r="C30" i="8"/>
  <c r="G31"/>
  <c r="K29"/>
  <c r="E45"/>
  <c r="C16"/>
  <c r="G29"/>
  <c r="K31"/>
  <c r="I26"/>
  <c r="C29"/>
  <c r="G30"/>
  <c r="B43" i="5"/>
  <c r="B29" i="8"/>
  <c r="B31"/>
  <c r="C45"/>
  <c r="L11"/>
  <c r="C55" s="1"/>
  <c r="D26"/>
  <c r="H67" i="6"/>
  <c r="H71" s="1"/>
  <c r="H51" i="5" s="1"/>
  <c r="H59"/>
  <c r="H45" s="1"/>
  <c r="H61" s="1"/>
  <c r="H65" s="1"/>
  <c r="H39"/>
  <c r="E30" i="8"/>
  <c r="I30"/>
  <c r="C26"/>
  <c r="L39"/>
  <c r="I71" i="6"/>
  <c r="I51" i="5" s="1"/>
  <c r="K6"/>
  <c r="G45" i="8"/>
  <c r="K67" i="6"/>
  <c r="K71" s="1"/>
  <c r="K51" i="5" s="1"/>
  <c r="I62"/>
  <c r="K62"/>
  <c r="K65"/>
  <c r="J19" i="8"/>
  <c r="L13"/>
  <c r="J15"/>
  <c r="J24"/>
  <c r="J25"/>
  <c r="J20"/>
  <c r="J22"/>
  <c r="J23"/>
  <c r="J26"/>
  <c r="H19"/>
  <c r="H22"/>
  <c r="H15"/>
  <c r="H20"/>
  <c r="H24"/>
  <c r="H25"/>
  <c r="H23"/>
  <c r="H8" i="5"/>
  <c r="B60" i="6"/>
  <c r="K13" i="5"/>
  <c r="G62"/>
  <c r="G65"/>
  <c r="C62"/>
  <c r="C65"/>
  <c r="B55" i="8"/>
  <c r="B26"/>
  <c r="J6" i="5"/>
  <c r="B71" i="6"/>
  <c r="B51" i="5" s="1"/>
  <c r="H21" i="8"/>
  <c r="L21" s="1"/>
  <c r="E29"/>
  <c r="I29"/>
  <c r="H26"/>
  <c r="F19"/>
  <c r="F15"/>
  <c r="F22"/>
  <c r="F24"/>
  <c r="F25"/>
  <c r="F20"/>
  <c r="F23"/>
  <c r="D19"/>
  <c r="D22"/>
  <c r="D20"/>
  <c r="D24"/>
  <c r="D25"/>
  <c r="D15"/>
  <c r="D23"/>
  <c r="F26"/>
  <c r="B5" i="5"/>
  <c r="D5" s="1"/>
  <c r="K60" i="6"/>
  <c r="D45" i="8"/>
  <c r="J65" i="5"/>
  <c r="B59"/>
  <c r="B45" s="1"/>
  <c r="B39"/>
  <c r="F62"/>
  <c r="C60" i="6"/>
  <c r="B9" i="5"/>
  <c r="D9" s="1"/>
  <c r="K16"/>
  <c r="B7"/>
  <c r="D7" s="1"/>
  <c r="F60" i="6"/>
  <c r="K14" i="5"/>
  <c r="H62"/>
  <c r="H60" i="6"/>
  <c r="B6" i="5"/>
  <c r="D6" s="1"/>
  <c r="D60" i="6"/>
  <c r="B8" i="5"/>
  <c r="D8" s="1"/>
  <c r="K15"/>
  <c r="J16"/>
  <c r="I25" i="1"/>
  <c r="K25"/>
  <c r="L45" i="8" l="1"/>
  <c r="E65" i="5"/>
  <c r="M25" i="1"/>
  <c r="M6" s="1"/>
  <c r="M5" s="1"/>
  <c r="J15" i="5"/>
  <c r="D65"/>
  <c r="L22" i="8"/>
  <c r="L25"/>
  <c r="J14" i="5"/>
  <c r="N25" i="1"/>
  <c r="N6" s="1"/>
  <c r="N5" s="1"/>
  <c r="B37" i="5"/>
  <c r="L24" i="8"/>
  <c r="L23"/>
  <c r="B61" i="5"/>
  <c r="B62" s="1"/>
  <c r="B78"/>
  <c r="B77"/>
  <c r="B76"/>
  <c r="B75"/>
  <c r="M26" i="1"/>
  <c r="M16" s="1"/>
  <c r="N26"/>
  <c r="N16" s="1"/>
  <c r="L26" i="8"/>
  <c r="D16"/>
  <c r="D31"/>
  <c r="D29"/>
  <c r="D30"/>
  <c r="J16"/>
  <c r="J31"/>
  <c r="J29"/>
  <c r="H49"/>
  <c r="H51" s="1"/>
  <c r="J30"/>
  <c r="L15"/>
  <c r="I49" s="1"/>
  <c r="J49" s="1"/>
  <c r="L20"/>
  <c r="F16"/>
  <c r="F31"/>
  <c r="F30"/>
  <c r="F29"/>
  <c r="D53"/>
  <c r="E53" s="1"/>
  <c r="D54"/>
  <c r="E54" s="1"/>
  <c r="D50"/>
  <c r="E50" s="1"/>
  <c r="D51"/>
  <c r="E51" s="1"/>
  <c r="D52"/>
  <c r="E52" s="1"/>
  <c r="D49"/>
  <c r="E49" s="1"/>
  <c r="H16"/>
  <c r="H30"/>
  <c r="H31"/>
  <c r="H29"/>
  <c r="M8" i="1"/>
  <c r="M10" s="1"/>
  <c r="M12" s="1"/>
  <c r="M14" s="1"/>
  <c r="M15" s="1"/>
  <c r="H6" i="5"/>
  <c r="H7"/>
  <c r="N8" i="1" l="1"/>
  <c r="N10" s="1"/>
  <c r="N12" s="1"/>
  <c r="N14" s="1"/>
  <c r="N15" s="1"/>
  <c r="N17" s="1"/>
  <c r="B65" i="5"/>
  <c r="G15"/>
  <c r="G14"/>
  <c r="M17" i="1"/>
  <c r="B82" i="5"/>
  <c r="B81"/>
  <c r="G16"/>
  <c r="G13"/>
  <c r="E55" i="8"/>
  <c r="I50" s="1"/>
  <c r="J50" s="1"/>
  <c r="J51" s="1"/>
  <c r="I51" s="1"/>
  <c r="L29"/>
  <c r="L30"/>
  <c r="L31"/>
  <c r="L11" i="6"/>
</calcChain>
</file>

<file path=xl/sharedStrings.xml><?xml version="1.0" encoding="utf-8"?>
<sst xmlns="http://schemas.openxmlformats.org/spreadsheetml/2006/main" count="435" uniqueCount="279">
  <si>
    <t>SCREENER.IN</t>
  </si>
  <si>
    <t>Narration</t>
  </si>
  <si>
    <t>Trailing</t>
  </si>
  <si>
    <t>Best Case</t>
  </si>
  <si>
    <t>Worst Case</t>
  </si>
  <si>
    <t>Sales</t>
  </si>
  <si>
    <t>Expenses</t>
  </si>
  <si>
    <t>Operating Profit</t>
  </si>
  <si>
    <t>Other Income</t>
  </si>
  <si>
    <t>EBIDT</t>
  </si>
  <si>
    <t>Depreciation</t>
  </si>
  <si>
    <t>EBIT</t>
  </si>
  <si>
    <t>Interest</t>
  </si>
  <si>
    <t>Profit before tax</t>
  </si>
  <si>
    <t>Tax</t>
  </si>
  <si>
    <t>Net profit</t>
  </si>
  <si>
    <t>EPS</t>
  </si>
  <si>
    <t>Price to earning</t>
  </si>
  <si>
    <t>Price</t>
  </si>
  <si>
    <t>RATIOS:</t>
  </si>
  <si>
    <t>Dividend Payout</t>
  </si>
  <si>
    <t>OPM</t>
  </si>
  <si>
    <t>TRENDS:</t>
  </si>
  <si>
    <t>10Years</t>
  </si>
  <si>
    <t>7Years</t>
  </si>
  <si>
    <t>5Years</t>
  </si>
  <si>
    <t>3Years</t>
  </si>
  <si>
    <t>Recent</t>
  </si>
  <si>
    <t>BEST</t>
  </si>
  <si>
    <t>WORST</t>
  </si>
  <si>
    <t>Sales Growth</t>
  </si>
  <si>
    <t>Price to Earning</t>
  </si>
  <si>
    <t>Growth</t>
  </si>
  <si>
    <t>TTM Sales</t>
  </si>
  <si>
    <t>TTM EBITDA</t>
  </si>
  <si>
    <t>TTM PAT</t>
  </si>
  <si>
    <t>Equity Share Capital</t>
  </si>
  <si>
    <t>Reserves</t>
  </si>
  <si>
    <t>Secured Loans</t>
  </si>
  <si>
    <t>Unsecured Loans</t>
  </si>
  <si>
    <t>Total</t>
  </si>
  <si>
    <t>Net Block</t>
  </si>
  <si>
    <t>Capital Work in Progress</t>
  </si>
  <si>
    <t>Investments</t>
  </si>
  <si>
    <t>Working Capital</t>
  </si>
  <si>
    <t>Debtors</t>
  </si>
  <si>
    <t>Inventory</t>
  </si>
  <si>
    <t>Debtor Days</t>
  </si>
  <si>
    <t>Inventory Turnover</t>
  </si>
  <si>
    <t>Return on Equity</t>
  </si>
  <si>
    <t>Return on Capital Emp</t>
  </si>
  <si>
    <t>Common Size Balance Sheet</t>
  </si>
  <si>
    <t>Average</t>
  </si>
  <si>
    <t>Cash from Operating Activity</t>
  </si>
  <si>
    <t>Cash from Investing Activity</t>
  </si>
  <si>
    <t>Cash from Financing Activity</t>
  </si>
  <si>
    <t>Net Cash Flow</t>
  </si>
  <si>
    <t>Cash &amp; Eq. at the end of year</t>
  </si>
  <si>
    <t xml:space="preserve"> </t>
  </si>
  <si>
    <t>CONSOLIDATED</t>
  </si>
  <si>
    <t>DELTA NETWORTH</t>
  </si>
  <si>
    <t>DELTA MKTCAP</t>
  </si>
  <si>
    <t>IMPACT*</t>
  </si>
  <si>
    <t>HISTORICAL VALUATIONS</t>
  </si>
  <si>
    <t>PRE-TAX BOND</t>
  </si>
  <si>
    <t>10 YR</t>
  </si>
  <si>
    <t>P/E</t>
  </si>
  <si>
    <t>P/B</t>
  </si>
  <si>
    <t>EV/EBITDA</t>
  </si>
  <si>
    <t>P/SALES</t>
  </si>
  <si>
    <t>YIELD</t>
  </si>
  <si>
    <t>LongTerm Bond</t>
  </si>
  <si>
    <t>7 YR</t>
  </si>
  <si>
    <t>MIN</t>
  </si>
  <si>
    <t>LTB Quote</t>
  </si>
  <si>
    <t>5 YR</t>
  </si>
  <si>
    <t>MAX</t>
  </si>
  <si>
    <t>Quoting @</t>
  </si>
  <si>
    <t>3 YR</t>
  </si>
  <si>
    <t>TRAILING</t>
  </si>
  <si>
    <t>1 YR</t>
  </si>
  <si>
    <t>* IMPACT – Every Rupee retained added xx.yy in incremental market value</t>
  </si>
  <si>
    <t>SALES</t>
  </si>
  <si>
    <t>GROSS PROFIT</t>
  </si>
  <si>
    <t>PAT</t>
  </si>
  <si>
    <t>DIVIDEND</t>
  </si>
  <si>
    <t>EPA</t>
  </si>
  <si>
    <t>MKTCAP</t>
  </si>
  <si>
    <t>CFO</t>
  </si>
  <si>
    <t>FCF</t>
  </si>
  <si>
    <t>NETWORTH</t>
  </si>
  <si>
    <t>TOTAL RETURNS</t>
  </si>
  <si>
    <t>10 YR CAGR</t>
  </si>
  <si>
    <t>5 YR CAGR</t>
  </si>
  <si>
    <t>3 YR CAGR</t>
  </si>
  <si>
    <t>1 YR GROWTH</t>
  </si>
  <si>
    <t xml:space="preserve">    </t>
  </si>
  <si>
    <t>Financial Leverage</t>
  </si>
  <si>
    <t>Long term debt/Earning</t>
  </si>
  <si>
    <t>Current liablility/Earning</t>
  </si>
  <si>
    <t>Total liability/Earning</t>
  </si>
  <si>
    <t>Debt/Equity</t>
  </si>
  <si>
    <t>Interest Coverage</t>
  </si>
  <si>
    <t>Working Capital/Sales</t>
  </si>
  <si>
    <t>Inventory Days</t>
  </si>
  <si>
    <t>Inventory turnover</t>
  </si>
  <si>
    <t>Cash In/Cash Out Ratio</t>
  </si>
  <si>
    <t xml:space="preserve">  </t>
  </si>
  <si>
    <t>Current Ratio</t>
  </si>
  <si>
    <t>CFO/PAT</t>
  </si>
  <si>
    <t>Gross Margin</t>
  </si>
  <si>
    <t>EBITDA Margin</t>
  </si>
  <si>
    <t>Net Margin</t>
  </si>
  <si>
    <t>Free Cash Flow/Sales</t>
  </si>
  <si>
    <t>Capital Turns</t>
  </si>
  <si>
    <t>Fixed Asset Turns</t>
  </si>
  <si>
    <t>Total Asset Turns</t>
  </si>
  <si>
    <t>RoA</t>
  </si>
  <si>
    <t>RoE</t>
  </si>
  <si>
    <t>RoCE</t>
  </si>
  <si>
    <t>RoIC</t>
  </si>
  <si>
    <t>Altman Z-Score</t>
  </si>
  <si>
    <t>Tax Rate</t>
  </si>
  <si>
    <t>Share Capital Increase/Decrease</t>
  </si>
  <si>
    <t>Inventory Increase/Sales Increase</t>
  </si>
  <si>
    <t>Debtors Increase/Sales Increase</t>
  </si>
  <si>
    <t>Capex/Depreciation</t>
  </si>
  <si>
    <t>Cash/Assets</t>
  </si>
  <si>
    <t>EBIT/Invested Capital</t>
  </si>
  <si>
    <t>WACC</t>
  </si>
  <si>
    <t>EPA/Sales</t>
  </si>
  <si>
    <t>MktCap</t>
  </si>
  <si>
    <t>MktCap Change</t>
  </si>
  <si>
    <t>MktCap Change - EPA</t>
  </si>
  <si>
    <t>Capex/Net Profits 7 yr</t>
  </si>
  <si>
    <t>Capex/Net Profits 5 yr</t>
  </si>
  <si>
    <t>Capex/Net Profits 3 yr</t>
  </si>
  <si>
    <t>Capex/Depreciation 10 yr</t>
  </si>
  <si>
    <t>COPY PASTE DATA FROM ANY FINANCIAL WEBSITE: ONLY FOR THE FIELDS MARKED GREEN BELOW</t>
  </si>
  <si>
    <t>Cash &amp; Bank Balance</t>
  </si>
  <si>
    <t>Current Assets</t>
  </si>
  <si>
    <t>Current Liabilities</t>
  </si>
  <si>
    <t>Working Capital (check)</t>
  </si>
  <si>
    <t>COPY PASTE DATA FROM ANNUAL REPORTS: ONLY FOR THE FIELDS MARKED ORANGE BELOW</t>
  </si>
  <si>
    <t>Operating Expenses/Capex</t>
  </si>
  <si>
    <t>Raw Materials</t>
  </si>
  <si>
    <t>Employee cost</t>
  </si>
  <si>
    <t>Advertising and sales promotion</t>
  </si>
  <si>
    <t>Freight, transport and distribution</t>
  </si>
  <si>
    <t>Royalty</t>
  </si>
  <si>
    <t>Power and fuel</t>
  </si>
  <si>
    <t>Miscellaneous expenses</t>
  </si>
  <si>
    <t>R&amp;D Cost</t>
  </si>
  <si>
    <t>Capex</t>
  </si>
  <si>
    <t>Gross Profit</t>
  </si>
  <si>
    <t>EBITDA</t>
  </si>
  <si>
    <t>Depreciation &amp; Amortisation</t>
  </si>
  <si>
    <t>PBT</t>
  </si>
  <si>
    <t>Dividends</t>
  </si>
  <si>
    <t>Market Cap</t>
  </si>
  <si>
    <t>Current Market Cap</t>
  </si>
  <si>
    <t>Equity</t>
  </si>
  <si>
    <t>Reserves &amp; Surplus</t>
  </si>
  <si>
    <t>Networth</t>
  </si>
  <si>
    <t>Net Fixed Assets</t>
  </si>
  <si>
    <t>Net Other Assets</t>
  </si>
  <si>
    <t>Invested Capital</t>
  </si>
  <si>
    <t>Capital Employed</t>
  </si>
  <si>
    <t>Total Assets</t>
  </si>
  <si>
    <t>Operating Cash Flow</t>
  </si>
  <si>
    <t>Free Cash Flow</t>
  </si>
  <si>
    <t>MktCap+Dividend</t>
  </si>
  <si>
    <t>Retained Profit</t>
  </si>
  <si>
    <t>Price/Book</t>
  </si>
  <si>
    <t>Price/CashFlow</t>
  </si>
  <si>
    <t>Price/Sales</t>
  </si>
  <si>
    <t>Dividend Yield</t>
  </si>
  <si>
    <t>Z-Weights</t>
  </si>
  <si>
    <t>Working Capital/Total Assets</t>
  </si>
  <si>
    <t>Retained Profits/Total Assets</t>
  </si>
  <si>
    <t>EBIT/Total Assets</t>
  </si>
  <si>
    <t>Market Cap/Total Liabilities</t>
  </si>
  <si>
    <t>Sales/Total Assets</t>
  </si>
  <si>
    <t>Z &gt; 2.99 -“Safe” Zones</t>
  </si>
  <si>
    <t>1.81 &lt; Z &lt; 2.99 -“Grey” Zones</t>
  </si>
  <si>
    <t>Z &lt; 1.81 -“Distress” Zones</t>
  </si>
  <si>
    <t>HESTER BIOSCIENCES LIMITED</t>
  </si>
  <si>
    <t>PLEASE DO NOT MAKE ANY CHANGES TO THIS SHEET</t>
  </si>
  <si>
    <t>PROFIT &amp; LOSS</t>
  </si>
  <si>
    <t>Report Date</t>
  </si>
  <si>
    <t>Period</t>
  </si>
  <si>
    <t>Quarters</t>
  </si>
  <si>
    <t>BALANCE SHEET</t>
  </si>
  <si>
    <t>Unadjusted No. of Shares (lacs)</t>
  </si>
  <si>
    <t>CASH FLOW:</t>
  </si>
  <si>
    <t>OTHER:</t>
  </si>
  <si>
    <t>Number of shares</t>
  </si>
  <si>
    <t>Face Value</t>
  </si>
  <si>
    <t>Current Price</t>
  </si>
  <si>
    <t>Industry PE</t>
  </si>
  <si>
    <t>PE</t>
  </si>
  <si>
    <t>Cash</t>
  </si>
  <si>
    <t>Dividend Paid</t>
  </si>
  <si>
    <t>Operating Expenses</t>
  </si>
  <si>
    <t>CAGR</t>
  </si>
  <si>
    <t>power and fuel</t>
  </si>
  <si>
    <t>total</t>
  </si>
  <si>
    <t>COGS</t>
  </si>
  <si>
    <t>GM</t>
  </si>
  <si>
    <t>Common Size Expenses</t>
  </si>
  <si>
    <t>VARIATION</t>
  </si>
  <si>
    <t>STD DEV</t>
  </si>
  <si>
    <t>Advertising and Sales promotion</t>
  </si>
  <si>
    <t>Power and Fuel</t>
  </si>
  <si>
    <t>Miscellaneous Expenses</t>
  </si>
  <si>
    <t>Expenses/Gross Profit</t>
  </si>
  <si>
    <t>SG&amp;A</t>
  </si>
  <si>
    <t>Year on Year Increase</t>
  </si>
  <si>
    <t>operating cost break up(current year)</t>
  </si>
  <si>
    <t>Weights</t>
  </si>
  <si>
    <t>weighted avg</t>
  </si>
  <si>
    <t>Rate</t>
  </si>
  <si>
    <t>NOW</t>
  </si>
  <si>
    <t>Total OPE</t>
  </si>
  <si>
    <t>approx. operating profit</t>
  </si>
  <si>
    <t>NOPLAT</t>
  </si>
  <si>
    <t>RoIIC(1yr)</t>
  </si>
  <si>
    <t>RoIIC(3yr)</t>
  </si>
  <si>
    <t>RoIIC (5yr)</t>
  </si>
  <si>
    <t>RoIIC(10yr)</t>
  </si>
  <si>
    <t>5 Yr EBITDA Margin (Avg)</t>
  </si>
  <si>
    <t>3 Yr Capital Turnover (Avg)</t>
  </si>
  <si>
    <t>5 Yr Capital Turnover (Avg)</t>
  </si>
  <si>
    <t>3 yr EPA/Sales (avg)</t>
  </si>
  <si>
    <t>5 yr EPA/Sales (Avg)</t>
  </si>
  <si>
    <t>3 Yr Invested Capital (Avg)</t>
  </si>
  <si>
    <t>5 Yr Invested Capital (Avg)</t>
  </si>
  <si>
    <t>3 Yr EBITDA Margin (avg)</t>
  </si>
  <si>
    <t>3 Yr ROIC (Avg)</t>
  </si>
  <si>
    <t>5 Yr ROIC (Avg)</t>
  </si>
  <si>
    <t>Capex/Cash Flows 10 yr</t>
  </si>
  <si>
    <t>OPM%</t>
  </si>
  <si>
    <t>NPM</t>
  </si>
  <si>
    <t xml:space="preserve">PAT </t>
  </si>
  <si>
    <t>CEO Salary</t>
  </si>
  <si>
    <t>Net Profit</t>
  </si>
  <si>
    <t>Other Promoter salary</t>
  </si>
  <si>
    <t>Local Sales</t>
  </si>
  <si>
    <t>Export</t>
  </si>
  <si>
    <t>Capacity of vaccines</t>
  </si>
  <si>
    <t>Production</t>
  </si>
  <si>
    <t>Million Doses</t>
  </si>
  <si>
    <t>Live Vaccine</t>
  </si>
  <si>
    <t>Killed Vaccine</t>
  </si>
  <si>
    <t>Kits</t>
  </si>
  <si>
    <t>Selfeed CF</t>
  </si>
  <si>
    <t>Growth Media</t>
  </si>
  <si>
    <t>Manufacturing</t>
  </si>
  <si>
    <t>Live Vaccine Sales</t>
  </si>
  <si>
    <t>Killed Vaccine Sales</t>
  </si>
  <si>
    <t>Unit Price</t>
  </si>
  <si>
    <t>Dilutents</t>
  </si>
  <si>
    <t>Trading</t>
  </si>
  <si>
    <t>Ai Rod</t>
  </si>
  <si>
    <t>Funnel</t>
  </si>
  <si>
    <t>Pipe</t>
  </si>
  <si>
    <t>Feed Additives</t>
  </si>
  <si>
    <t>No Data</t>
  </si>
  <si>
    <t>Trading Sales</t>
  </si>
  <si>
    <t>Segment breakup</t>
  </si>
  <si>
    <t>Sales Breakup</t>
  </si>
  <si>
    <t>Poultry Vaccine</t>
  </si>
  <si>
    <t>Large Animal Health Products</t>
  </si>
  <si>
    <t>R&amp;D Expense</t>
  </si>
  <si>
    <t>No data</t>
  </si>
  <si>
    <t>Other Manufacturing Expesnses</t>
  </si>
  <si>
    <t>Domestic(%)</t>
  </si>
  <si>
    <t>Export(%)</t>
  </si>
  <si>
    <t>Trading(%)</t>
  </si>
</sst>
</file>

<file path=xl/styles.xml><?xml version="1.0" encoding="utf-8"?>
<styleSheet xmlns="http://schemas.openxmlformats.org/spreadsheetml/2006/main">
  <numFmts count="4">
    <numFmt numFmtId="164" formatCode="mmm\-yy;@"/>
    <numFmt numFmtId="165" formatCode="#,##0.00\ ;&quot; -&quot;#,##0.00\ ;&quot; -&quot;#\ ;@\ "/>
    <numFmt numFmtId="166" formatCode="dd/mm/yy"/>
    <numFmt numFmtId="167" formatCode="dddd&quot;, &quot;mmmm\ dd&quot;, &quot;yyyy"/>
  </numFmts>
  <fonts count="18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indexed="59"/>
      <name val="Calibri"/>
      <family val="2"/>
      <charset val="1"/>
    </font>
    <font>
      <sz val="9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25"/>
        <bgColor indexed="60"/>
      </patternFill>
    </fill>
    <fill>
      <patternFill patternType="solid">
        <fgColor indexed="57"/>
        <bgColor indexed="40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40"/>
      </patternFill>
    </fill>
    <fill>
      <patternFill patternType="solid">
        <fgColor indexed="61"/>
        <bgColor indexed="25"/>
      </patternFill>
    </fill>
    <fill>
      <patternFill patternType="solid">
        <fgColor indexed="19"/>
        <bgColor indexed="23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31"/>
      </patternFill>
    </fill>
    <fill>
      <patternFill patternType="solid">
        <fgColor indexed="16"/>
        <bgColor indexed="37"/>
      </patternFill>
    </fill>
    <fill>
      <patternFill patternType="solid">
        <fgColor indexed="50"/>
        <bgColor indexed="55"/>
      </patternFill>
    </fill>
    <fill>
      <patternFill patternType="solid">
        <fgColor indexed="51"/>
        <bgColor indexed="52"/>
      </patternFill>
    </fill>
    <fill>
      <patternFill patternType="solid">
        <fgColor indexed="40"/>
        <bgColor indexed="30"/>
      </patternFill>
    </fill>
    <fill>
      <patternFill patternType="solid">
        <fgColor indexed="26"/>
        <bgColor indexed="41"/>
      </patternFill>
    </fill>
    <fill>
      <patternFill patternType="solid">
        <fgColor indexed="31"/>
        <bgColor indexed="41"/>
      </patternFill>
    </fill>
  </fills>
  <borders count="23">
    <border>
      <left/>
      <right/>
      <top/>
      <bottom/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7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8">
    <xf numFmtId="0" fontId="0" fillId="0" borderId="0"/>
    <xf numFmtId="165" fontId="2" fillId="0" borderId="0"/>
    <xf numFmtId="9" fontId="2" fillId="0" borderId="0"/>
    <xf numFmtId="0" fontId="1" fillId="0" borderId="0"/>
    <xf numFmtId="0" fontId="2" fillId="0" borderId="0"/>
    <xf numFmtId="0" fontId="6" fillId="2" borderId="0"/>
    <xf numFmtId="0" fontId="6" fillId="3" borderId="0"/>
    <xf numFmtId="0" fontId="6" fillId="4" borderId="0"/>
  </cellStyleXfs>
  <cellXfs count="190">
    <xf numFmtId="0" fontId="0" fillId="0" borderId="0" xfId="0"/>
    <xf numFmtId="0" fontId="2" fillId="0" borderId="0" xfId="4" applyFont="1"/>
    <xf numFmtId="0" fontId="3" fillId="0" borderId="0" xfId="4" applyFont="1"/>
    <xf numFmtId="0" fontId="4" fillId="0" borderId="0" xfId="4" applyFont="1" applyFill="1" applyBorder="1" applyAlignment="1"/>
    <xf numFmtId="0" fontId="5" fillId="5" borderId="1" xfId="4" applyFont="1" applyFill="1" applyBorder="1"/>
    <xf numFmtId="164" fontId="5" fillId="5" borderId="2" xfId="4" applyNumberFormat="1" applyFont="1" applyFill="1" applyBorder="1" applyAlignment="1">
      <alignment horizontal="center"/>
    </xf>
    <xf numFmtId="0" fontId="5" fillId="5" borderId="2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0" fontId="3" fillId="0" borderId="1" xfId="4" applyFont="1" applyBorder="1"/>
    <xf numFmtId="165" fontId="3" fillId="0" borderId="2" xfId="1" applyFont="1" applyFill="1" applyBorder="1" applyAlignment="1" applyProtection="1"/>
    <xf numFmtId="165" fontId="3" fillId="0" borderId="3" xfId="1" applyFont="1" applyFill="1" applyBorder="1" applyAlignment="1" applyProtection="1"/>
    <xf numFmtId="0" fontId="2" fillId="0" borderId="1" xfId="4" applyFont="1" applyBorder="1"/>
    <xf numFmtId="165" fontId="2" fillId="0" borderId="2" xfId="1" applyFont="1" applyFill="1" applyBorder="1" applyAlignment="1" applyProtection="1"/>
    <xf numFmtId="165" fontId="2" fillId="0" borderId="3" xfId="1" applyFont="1" applyFill="1" applyBorder="1" applyAlignment="1" applyProtection="1"/>
    <xf numFmtId="165" fontId="2" fillId="0" borderId="4" xfId="1" applyFont="1" applyFill="1" applyBorder="1" applyAlignment="1" applyProtection="1"/>
    <xf numFmtId="9" fontId="2" fillId="0" borderId="2" xfId="1" applyNumberFormat="1" applyFont="1" applyFill="1" applyBorder="1" applyAlignment="1" applyProtection="1"/>
    <xf numFmtId="165" fontId="2" fillId="0" borderId="5" xfId="1" applyFont="1" applyFill="1" applyBorder="1" applyAlignment="1" applyProtection="1"/>
    <xf numFmtId="165" fontId="5" fillId="2" borderId="2" xfId="5" applyNumberFormat="1" applyFont="1" applyBorder="1" applyAlignment="1" applyProtection="1"/>
    <xf numFmtId="165" fontId="5" fillId="3" borderId="2" xfId="6" applyNumberFormat="1" applyFont="1" applyBorder="1" applyAlignment="1" applyProtection="1"/>
    <xf numFmtId="0" fontId="2" fillId="0" borderId="2" xfId="4" applyFont="1" applyBorder="1"/>
    <xf numFmtId="0" fontId="2" fillId="0" borderId="3" xfId="4" applyFont="1" applyBorder="1"/>
    <xf numFmtId="0" fontId="3" fillId="0" borderId="2" xfId="4" applyFont="1" applyBorder="1"/>
    <xf numFmtId="0" fontId="3" fillId="0" borderId="3" xfId="4" applyFont="1" applyBorder="1"/>
    <xf numFmtId="10" fontId="2" fillId="0" borderId="2" xfId="4" applyNumberFormat="1" applyFont="1" applyBorder="1"/>
    <xf numFmtId="0" fontId="2" fillId="0" borderId="6" xfId="4" applyFont="1" applyBorder="1"/>
    <xf numFmtId="10" fontId="2" fillId="0" borderId="5" xfId="4" applyNumberFormat="1" applyFont="1" applyBorder="1"/>
    <xf numFmtId="0" fontId="2" fillId="0" borderId="5" xfId="4" applyFont="1" applyBorder="1"/>
    <xf numFmtId="0" fontId="2" fillId="0" borderId="4" xfId="4" applyFont="1" applyBorder="1"/>
    <xf numFmtId="0" fontId="3" fillId="0" borderId="0" xfId="4" applyFont="1" applyAlignment="1">
      <alignment horizontal="center"/>
    </xf>
    <xf numFmtId="10" fontId="2" fillId="0" borderId="0" xfId="4" applyNumberFormat="1" applyFont="1"/>
    <xf numFmtId="10" fontId="3" fillId="0" borderId="0" xfId="4" applyNumberFormat="1" applyFont="1"/>
    <xf numFmtId="165" fontId="2" fillId="0" borderId="0" xfId="1" applyFont="1" applyFill="1" applyBorder="1" applyAlignment="1" applyProtection="1"/>
    <xf numFmtId="165" fontId="3" fillId="0" borderId="0" xfId="1" applyFont="1" applyFill="1" applyBorder="1" applyAlignment="1" applyProtection="1"/>
    <xf numFmtId="0" fontId="3" fillId="0" borderId="0" xfId="4" applyFont="1" applyFill="1" applyBorder="1" applyAlignment="1"/>
    <xf numFmtId="0" fontId="3" fillId="0" borderId="0" xfId="4" applyFont="1" applyFill="1" applyBorder="1"/>
    <xf numFmtId="9" fontId="3" fillId="0" borderId="0" xfId="2" applyFont="1" applyFill="1" applyBorder="1" applyAlignment="1" applyProtection="1"/>
    <xf numFmtId="0" fontId="2" fillId="0" borderId="0" xfId="4"/>
    <xf numFmtId="165" fontId="2" fillId="0" borderId="2" xfId="1" applyNumberFormat="1" applyFont="1" applyFill="1" applyBorder="1" applyAlignment="1" applyProtection="1">
      <alignment horizontal="center"/>
    </xf>
    <xf numFmtId="165" fontId="2" fillId="0" borderId="5" xfId="1" applyNumberFormat="1" applyFont="1" applyFill="1" applyBorder="1" applyAlignment="1" applyProtection="1">
      <alignment horizontal="center"/>
    </xf>
    <xf numFmtId="165" fontId="3" fillId="0" borderId="2" xfId="1" applyNumberFormat="1" applyFont="1" applyFill="1" applyBorder="1" applyAlignment="1" applyProtection="1">
      <alignment horizontal="center"/>
    </xf>
    <xf numFmtId="165" fontId="2" fillId="0" borderId="2" xfId="1" applyNumberFormat="1" applyFont="1" applyFill="1" applyBorder="1" applyAlignment="1" applyProtection="1"/>
    <xf numFmtId="165" fontId="2" fillId="0" borderId="5" xfId="1" applyNumberFormat="1" applyFont="1" applyFill="1" applyBorder="1" applyAlignment="1" applyProtection="1"/>
    <xf numFmtId="0" fontId="2" fillId="0" borderId="8" xfId="4" applyFont="1" applyFill="1" applyBorder="1"/>
    <xf numFmtId="0" fontId="7" fillId="0" borderId="0" xfId="0" applyFont="1"/>
    <xf numFmtId="0" fontId="7" fillId="0" borderId="9" xfId="0" applyFont="1" applyBorder="1"/>
    <xf numFmtId="0" fontId="8" fillId="0" borderId="0" xfId="0" applyFont="1"/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right"/>
    </xf>
    <xf numFmtId="1" fontId="6" fillId="8" borderId="7" xfId="0" applyNumberFormat="1" applyFont="1" applyFill="1" applyBorder="1"/>
    <xf numFmtId="2" fontId="6" fillId="8" borderId="7" xfId="0" applyNumberFormat="1" applyFont="1" applyFill="1" applyBorder="1"/>
    <xf numFmtId="0" fontId="7" fillId="0" borderId="7" xfId="0" applyFont="1" applyBorder="1"/>
    <xf numFmtId="0" fontId="6" fillId="8" borderId="7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/>
    <xf numFmtId="9" fontId="6" fillId="8" borderId="7" xfId="0" applyNumberFormat="1" applyFont="1" applyFill="1" applyBorder="1" applyAlignment="1">
      <alignment horizontal="center"/>
    </xf>
    <xf numFmtId="0" fontId="8" fillId="0" borderId="7" xfId="0" applyFont="1" applyBorder="1"/>
    <xf numFmtId="2" fontId="6" fillId="8" borderId="7" xfId="0" applyNumberFormat="1" applyFont="1" applyFill="1" applyBorder="1" applyAlignment="1">
      <alignment horizontal="center"/>
    </xf>
    <xf numFmtId="10" fontId="6" fillId="8" borderId="7" xfId="0" applyNumberFormat="1" applyFont="1" applyFill="1" applyBorder="1" applyAlignment="1">
      <alignment horizontal="center"/>
    </xf>
    <xf numFmtId="0" fontId="6" fillId="8" borderId="0" xfId="0" applyFont="1" applyFill="1"/>
    <xf numFmtId="0" fontId="6" fillId="8" borderId="7" xfId="0" applyFont="1" applyFill="1" applyBorder="1" applyAlignment="1">
      <alignment horizontal="left"/>
    </xf>
    <xf numFmtId="0" fontId="7" fillId="8" borderId="0" xfId="0" applyFont="1" applyFill="1"/>
    <xf numFmtId="2" fontId="7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10" fontId="5" fillId="9" borderId="9" xfId="0" applyNumberFormat="1" applyFont="1" applyFill="1" applyBorder="1"/>
    <xf numFmtId="10" fontId="6" fillId="9" borderId="7" xfId="0" applyNumberFormat="1" applyFont="1" applyFill="1" applyBorder="1"/>
    <xf numFmtId="10" fontId="5" fillId="9" borderId="7" xfId="0" applyNumberFormat="1" applyFont="1" applyFill="1" applyBorder="1"/>
    <xf numFmtId="0" fontId="8" fillId="0" borderId="0" xfId="0" applyFont="1" applyBorder="1"/>
    <xf numFmtId="10" fontId="8" fillId="0" borderId="0" xfId="0" applyNumberFormat="1" applyFont="1" applyBorder="1"/>
    <xf numFmtId="14" fontId="5" fillId="7" borderId="9" xfId="0" applyNumberFormat="1" applyFont="1" applyFill="1" applyBorder="1" applyAlignment="1">
      <alignment horizontal="center"/>
    </xf>
    <xf numFmtId="2" fontId="5" fillId="8" borderId="9" xfId="0" applyNumberFormat="1" applyFont="1" applyFill="1" applyBorder="1"/>
    <xf numFmtId="2" fontId="7" fillId="0" borderId="0" xfId="0" applyNumberFormat="1" applyFont="1"/>
    <xf numFmtId="0" fontId="8" fillId="10" borderId="9" xfId="0" applyFont="1" applyFill="1" applyBorder="1" applyAlignment="1">
      <alignment horizontal="right"/>
    </xf>
    <xf numFmtId="10" fontId="5" fillId="8" borderId="9" xfId="0" applyNumberFormat="1" applyFont="1" applyFill="1" applyBorder="1"/>
    <xf numFmtId="1" fontId="5" fillId="8" borderId="9" xfId="0" applyNumberFormat="1" applyFont="1" applyFill="1" applyBorder="1"/>
    <xf numFmtId="0" fontId="8" fillId="0" borderId="0" xfId="0" applyFont="1" applyAlignment="1">
      <alignment horizontal="right"/>
    </xf>
    <xf numFmtId="0" fontId="8" fillId="0" borderId="9" xfId="0" applyFont="1" applyFill="1" applyBorder="1" applyAlignment="1">
      <alignment horizontal="right"/>
    </xf>
    <xf numFmtId="10" fontId="6" fillId="9" borderId="9" xfId="0" applyNumberFormat="1" applyFont="1" applyFill="1" applyBorder="1" applyAlignment="1">
      <alignment horizontal="right"/>
    </xf>
    <xf numFmtId="10" fontId="7" fillId="0" borderId="0" xfId="0" applyNumberFormat="1" applyFont="1"/>
    <xf numFmtId="10" fontId="7" fillId="0" borderId="9" xfId="0" applyNumberFormat="1" applyFont="1" applyBorder="1"/>
    <xf numFmtId="10" fontId="7" fillId="0" borderId="9" xfId="0" applyNumberFormat="1" applyFont="1" applyFill="1" applyBorder="1"/>
    <xf numFmtId="2" fontId="7" fillId="0" borderId="9" xfId="0" applyNumberFormat="1" applyFont="1" applyBorder="1"/>
    <xf numFmtId="2" fontId="7" fillId="0" borderId="9" xfId="0" applyNumberFormat="1" applyFont="1" applyFill="1" applyBorder="1"/>
    <xf numFmtId="0" fontId="7" fillId="0" borderId="9" xfId="0" applyFont="1" applyFill="1" applyBorder="1" applyAlignment="1"/>
    <xf numFmtId="0" fontId="7" fillId="0" borderId="7" xfId="0" applyFont="1" applyFill="1" applyBorder="1" applyAlignment="1"/>
    <xf numFmtId="0" fontId="7" fillId="0" borderId="7" xfId="0" applyFont="1" applyFill="1" applyBorder="1"/>
    <xf numFmtId="10" fontId="7" fillId="0" borderId="7" xfId="0" applyNumberFormat="1" applyFont="1" applyFill="1" applyBorder="1" applyAlignment="1"/>
    <xf numFmtId="2" fontId="7" fillId="0" borderId="0" xfId="0" applyNumberFormat="1" applyFont="1" applyFill="1" applyBorder="1" applyAlignment="1"/>
    <xf numFmtId="2" fontId="7" fillId="0" borderId="0" xfId="0" applyNumberFormat="1" applyFont="1" applyFill="1"/>
    <xf numFmtId="10" fontId="7" fillId="0" borderId="0" xfId="0" applyNumberFormat="1" applyFont="1" applyFill="1"/>
    <xf numFmtId="0" fontId="7" fillId="0" borderId="0" xfId="0" applyFont="1" applyFill="1"/>
    <xf numFmtId="0" fontId="9" fillId="0" borderId="0" xfId="0" applyFont="1"/>
    <xf numFmtId="0" fontId="9" fillId="13" borderId="0" xfId="0" applyFont="1" applyFill="1"/>
    <xf numFmtId="166" fontId="5" fillId="7" borderId="9" xfId="0" applyNumberFormat="1" applyFont="1" applyFill="1" applyBorder="1" applyAlignment="1">
      <alignment horizontal="center"/>
    </xf>
    <xf numFmtId="0" fontId="10" fillId="0" borderId="9" xfId="0" applyFont="1" applyBorder="1"/>
    <xf numFmtId="0" fontId="9" fillId="0" borderId="9" xfId="0" applyFont="1" applyBorder="1"/>
    <xf numFmtId="0" fontId="9" fillId="13" borderId="9" xfId="0" applyFont="1" applyFill="1" applyBorder="1" applyAlignment="1">
      <alignment horizontal="left" wrapText="1"/>
    </xf>
    <xf numFmtId="0" fontId="12" fillId="14" borderId="7" xfId="0" applyFont="1" applyFill="1" applyBorder="1" applyAlignment="1">
      <alignment horizontal="right" vertical="center" wrapText="1"/>
    </xf>
    <xf numFmtId="0" fontId="5" fillId="15" borderId="7" xfId="0" applyFont="1" applyFill="1" applyBorder="1"/>
    <xf numFmtId="166" fontId="5" fillId="7" borderId="7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14" borderId="7" xfId="0" applyFont="1" applyFill="1" applyBorder="1"/>
    <xf numFmtId="2" fontId="9" fillId="14" borderId="7" xfId="0" applyNumberFormat="1" applyFont="1" applyFill="1" applyBorder="1"/>
    <xf numFmtId="2" fontId="9" fillId="14" borderId="7" xfId="0" applyNumberFormat="1" applyFont="1" applyFill="1" applyBorder="1" applyAlignment="1">
      <alignment horizontal="right"/>
    </xf>
    <xf numFmtId="10" fontId="9" fillId="0" borderId="0" xfId="0" applyNumberFormat="1" applyFont="1" applyFill="1"/>
    <xf numFmtId="2" fontId="9" fillId="0" borderId="7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7" xfId="0" applyFont="1" applyBorder="1"/>
    <xf numFmtId="10" fontId="9" fillId="0" borderId="7" xfId="0" applyNumberFormat="1" applyFont="1" applyBorder="1"/>
    <xf numFmtId="167" fontId="5" fillId="5" borderId="1" xfId="1" applyNumberFormat="1" applyFont="1" applyFill="1" applyBorder="1" applyAlignment="1" applyProtection="1"/>
    <xf numFmtId="14" fontId="5" fillId="5" borderId="2" xfId="4" applyNumberFormat="1" applyFont="1" applyFill="1" applyBorder="1" applyAlignment="1">
      <alignment horizontal="center"/>
    </xf>
    <xf numFmtId="167" fontId="2" fillId="0" borderId="0" xfId="1" applyNumberFormat="1" applyFont="1" applyFill="1" applyBorder="1" applyAlignment="1" applyProtection="1"/>
    <xf numFmtId="165" fontId="2" fillId="0" borderId="1" xfId="1" applyFont="1" applyFill="1" applyBorder="1" applyAlignment="1" applyProtection="1"/>
    <xf numFmtId="165" fontId="3" fillId="0" borderId="1" xfId="1" applyFont="1" applyFill="1" applyBorder="1" applyAlignment="1" applyProtection="1"/>
    <xf numFmtId="10" fontId="9" fillId="0" borderId="7" xfId="0" applyNumberFormat="1" applyFont="1" applyFill="1" applyBorder="1"/>
    <xf numFmtId="4" fontId="9" fillId="0" borderId="7" xfId="0" applyNumberFormat="1" applyFont="1" applyBorder="1"/>
    <xf numFmtId="4" fontId="9" fillId="0" borderId="7" xfId="0" applyNumberFormat="1" applyFont="1" applyFill="1" applyBorder="1"/>
    <xf numFmtId="10" fontId="9" fillId="0" borderId="0" xfId="0" applyNumberFormat="1" applyFont="1"/>
    <xf numFmtId="0" fontId="9" fillId="10" borderId="7" xfId="0" applyFont="1" applyFill="1" applyBorder="1"/>
    <xf numFmtId="0" fontId="9" fillId="0" borderId="0" xfId="0" applyFont="1" applyBorder="1"/>
    <xf numFmtId="10" fontId="9" fillId="0" borderId="0" xfId="0" applyNumberFormat="1" applyFont="1" applyBorder="1"/>
    <xf numFmtId="0" fontId="5" fillId="15" borderId="0" xfId="0" applyFont="1" applyFill="1"/>
    <xf numFmtId="0" fontId="9" fillId="17" borderId="0" xfId="0" applyFont="1" applyFill="1"/>
    <xf numFmtId="0" fontId="9" fillId="0" borderId="0" xfId="3" applyFont="1" applyFill="1"/>
    <xf numFmtId="2" fontId="9" fillId="0" borderId="0" xfId="0" applyNumberFormat="1" applyFont="1"/>
    <xf numFmtId="0" fontId="9" fillId="10" borderId="0" xfId="0" applyFont="1" applyFill="1"/>
    <xf numFmtId="4" fontId="9" fillId="0" borderId="0" xfId="0" applyNumberFormat="1" applyFont="1"/>
    <xf numFmtId="0" fontId="13" fillId="0" borderId="0" xfId="0" applyFont="1"/>
    <xf numFmtId="0" fontId="5" fillId="0" borderId="0" xfId="0" applyFont="1" applyFill="1" applyBorder="1"/>
    <xf numFmtId="166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10" xfId="0" applyFont="1" applyBorder="1" applyAlignment="1">
      <alignment horizontal="left"/>
    </xf>
    <xf numFmtId="0" fontId="7" fillId="0" borderId="0" xfId="0" applyFont="1" applyBorder="1"/>
    <xf numFmtId="2" fontId="7" fillId="0" borderId="0" xfId="0" applyNumberFormat="1" applyFont="1" applyBorder="1"/>
    <xf numFmtId="10" fontId="2" fillId="0" borderId="0" xfId="4" applyNumberFormat="1"/>
    <xf numFmtId="10" fontId="2" fillId="0" borderId="0" xfId="1" applyNumberFormat="1" applyFont="1" applyFill="1" applyBorder="1" applyAlignment="1" applyProtection="1"/>
    <xf numFmtId="165" fontId="2" fillId="0" borderId="0" xfId="4" applyNumberFormat="1" applyFont="1"/>
    <xf numFmtId="4" fontId="11" fillId="13" borderId="17" xfId="0" applyNumberFormat="1" applyFont="1" applyFill="1" applyBorder="1" applyAlignment="1">
      <alignment horizontal="right" vertical="center" wrapText="1"/>
    </xf>
    <xf numFmtId="0" fontId="9" fillId="0" borderId="17" xfId="0" applyFont="1" applyBorder="1"/>
    <xf numFmtId="0" fontId="7" fillId="0" borderId="9" xfId="0" applyFont="1" applyFill="1" applyBorder="1" applyAlignment="1">
      <alignment horizontal="left"/>
    </xf>
    <xf numFmtId="2" fontId="7" fillId="0" borderId="9" xfId="0" applyNumberFormat="1" applyFont="1" applyFill="1" applyBorder="1" applyAlignment="1">
      <alignment horizontal="right"/>
    </xf>
    <xf numFmtId="10" fontId="5" fillId="9" borderId="12" xfId="0" applyNumberFormat="1" applyFont="1" applyFill="1" applyBorder="1"/>
    <xf numFmtId="2" fontId="9" fillId="0" borderId="17" xfId="0" applyNumberFormat="1" applyFont="1" applyBorder="1"/>
    <xf numFmtId="10" fontId="5" fillId="9" borderId="12" xfId="0" applyNumberFormat="1" applyFont="1" applyFill="1" applyBorder="1" applyAlignment="1">
      <alignment horizontal="center"/>
    </xf>
    <xf numFmtId="10" fontId="5" fillId="9" borderId="13" xfId="0" applyNumberFormat="1" applyFont="1" applyFill="1" applyBorder="1" applyAlignment="1">
      <alignment horizontal="center"/>
    </xf>
    <xf numFmtId="0" fontId="9" fillId="0" borderId="17" xfId="0" applyFont="1" applyFill="1" applyBorder="1"/>
    <xf numFmtId="9" fontId="14" fillId="0" borderId="17" xfId="2" applyFont="1" applyBorder="1"/>
    <xf numFmtId="0" fontId="7" fillId="0" borderId="17" xfId="0" applyFont="1" applyBorder="1"/>
    <xf numFmtId="0" fontId="5" fillId="7" borderId="18" xfId="0" applyFont="1" applyFill="1" applyBorder="1" applyAlignment="1">
      <alignment horizontal="center"/>
    </xf>
    <xf numFmtId="166" fontId="5" fillId="7" borderId="18" xfId="0" applyNumberFormat="1" applyFont="1" applyFill="1" applyBorder="1" applyAlignment="1">
      <alignment horizontal="center"/>
    </xf>
    <xf numFmtId="0" fontId="9" fillId="13" borderId="19" xfId="0" applyFont="1" applyFill="1" applyBorder="1"/>
    <xf numFmtId="10" fontId="7" fillId="0" borderId="17" xfId="0" applyNumberFormat="1" applyFont="1" applyBorder="1"/>
    <xf numFmtId="2" fontId="7" fillId="0" borderId="17" xfId="0" applyNumberFormat="1" applyFont="1" applyBorder="1"/>
    <xf numFmtId="10" fontId="2" fillId="0" borderId="17" xfId="2" applyNumberFormat="1" applyBorder="1"/>
    <xf numFmtId="165" fontId="3" fillId="0" borderId="0" xfId="4" applyNumberFormat="1" applyFont="1"/>
    <xf numFmtId="0" fontId="0" fillId="0" borderId="17" xfId="0" applyBorder="1"/>
    <xf numFmtId="165" fontId="3" fillId="0" borderId="17" xfId="1" applyFont="1" applyFill="1" applyBorder="1" applyAlignment="1" applyProtection="1"/>
    <xf numFmtId="10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10" fontId="0" fillId="0" borderId="0" xfId="0" applyNumberFormat="1"/>
    <xf numFmtId="0" fontId="15" fillId="0" borderId="0" xfId="0" applyFont="1"/>
    <xf numFmtId="0" fontId="16" fillId="0" borderId="0" xfId="0" applyFont="1"/>
    <xf numFmtId="0" fontId="15" fillId="0" borderId="17" xfId="0" applyFont="1" applyBorder="1"/>
    <xf numFmtId="9" fontId="0" fillId="0" borderId="0" xfId="0" applyNumberFormat="1"/>
    <xf numFmtId="0" fontId="17" fillId="0" borderId="0" xfId="0" applyFont="1"/>
    <xf numFmtId="0" fontId="4" fillId="6" borderId="7" xfId="4" applyFont="1" applyFill="1" applyBorder="1" applyAlignment="1">
      <alignment horizontal="center"/>
    </xf>
    <xf numFmtId="0" fontId="7" fillId="11" borderId="9" xfId="0" applyFont="1" applyFill="1" applyBorder="1" applyAlignment="1">
      <alignment horizontal="right"/>
    </xf>
    <xf numFmtId="0" fontId="5" fillId="7" borderId="17" xfId="0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0" fontId="5" fillId="9" borderId="11" xfId="0" applyNumberFormat="1" applyFont="1" applyFill="1" applyBorder="1" applyAlignment="1">
      <alignment horizontal="center"/>
    </xf>
    <xf numFmtId="10" fontId="5" fillId="9" borderId="12" xfId="0" applyNumberFormat="1" applyFont="1" applyFill="1" applyBorder="1" applyAlignment="1">
      <alignment horizontal="center"/>
    </xf>
    <xf numFmtId="10" fontId="5" fillId="9" borderId="13" xfId="0" applyNumberFormat="1" applyFont="1" applyFill="1" applyBorder="1" applyAlignment="1">
      <alignment horizontal="center"/>
    </xf>
    <xf numFmtId="0" fontId="9" fillId="11" borderId="9" xfId="0" applyFont="1" applyFill="1" applyBorder="1" applyAlignment="1"/>
    <xf numFmtId="0" fontId="5" fillId="12" borderId="0" xfId="0" applyFont="1" applyFill="1" applyBorder="1" applyAlignment="1">
      <alignment horizontal="center"/>
    </xf>
    <xf numFmtId="0" fontId="9" fillId="11" borderId="18" xfId="0" applyFont="1" applyFill="1" applyBorder="1" applyAlignment="1"/>
    <xf numFmtId="0" fontId="9" fillId="11" borderId="20" xfId="0" applyFont="1" applyFill="1" applyBorder="1" applyAlignment="1"/>
    <xf numFmtId="0" fontId="9" fillId="11" borderId="19" xfId="0" applyFont="1" applyFill="1" applyBorder="1" applyAlignment="1"/>
    <xf numFmtId="0" fontId="9" fillId="0" borderId="2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5" fontId="5" fillId="4" borderId="0" xfId="7" applyNumberFormat="1" applyFont="1" applyBorder="1" applyAlignment="1" applyProtection="1">
      <alignment horizontal="center"/>
    </xf>
    <xf numFmtId="0" fontId="9" fillId="16" borderId="0" xfId="0" applyFont="1" applyFill="1" applyBorder="1" applyAlignment="1">
      <alignment horizontal="center"/>
    </xf>
  </cellXfs>
  <cellStyles count="8">
    <cellStyle name="Comma" xfId="1" builtinId="3"/>
    <cellStyle name="Excel Built-in 60% - Accent1" xfId="5"/>
    <cellStyle name="Excel Built-in 60% - Accent3" xfId="6"/>
    <cellStyle name="Excel Built-in Accent6" xfId="7"/>
    <cellStyle name="Excel Built-in Normal 1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76923C"/>
      <rgbColor rgb="00800080"/>
      <rgbColor rgb="00008080"/>
      <rgbColor rgb="00C0C0C0"/>
      <rgbColor rgb="00808080"/>
      <rgbColor rgb="009999FF"/>
      <rgbColor rgb="007D3C4A"/>
      <rgbColor rgb="00EEECE1"/>
      <rgbColor rgb="00DEF5FA"/>
      <rgbColor rgb="00660066"/>
      <rgbColor rgb="00F3A276"/>
      <rgbColor rgb="000099FF"/>
      <rgbColor rgb="00DBE5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E6E6FF"/>
      <rgbColor rgb="00CCFFCC"/>
      <rgbColor rgb="00FFFF99"/>
      <rgbColor rgb="007ACBE0"/>
      <rgbColor rgb="00FF99CC"/>
      <rgbColor rgb="00CC99FF"/>
      <rgbColor rgb="00FFCC99"/>
      <rgbColor rgb="003366FF"/>
      <rgbColor rgb="0033CCCC"/>
      <rgbColor rgb="009BBB59"/>
      <rgbColor rgb="00FFC000"/>
      <rgbColor rgb="00FF9900"/>
      <rgbColor rgb="00FF6600"/>
      <rgbColor rgb="00666699"/>
      <rgbColor rgb="00969696"/>
      <rgbColor rgb="00003366"/>
      <rgbColor rgb="002DA2BF"/>
      <rgbColor rgb="00003300"/>
      <rgbColor rgb="00303030"/>
      <rgbColor rgb="00993300"/>
      <rgbColor rgb="00C0504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zoomScaleSheetLayoutView="100" workbookViewId="0">
      <pane xSplit="1" ySplit="12" topLeftCell="C14" activePane="bottomRight" state="frozen"/>
      <selection pane="topRight" activeCell="B1" sqref="B1"/>
      <selection pane="bottomLeft" activeCell="A12" sqref="A12"/>
      <selection pane="bottomRight" activeCell="F28" sqref="F28"/>
    </sheetView>
  </sheetViews>
  <sheetFormatPr defaultColWidth="9.140625" defaultRowHeight="15"/>
  <cols>
    <col min="1" max="1" width="20.85546875" style="1" customWidth="1"/>
    <col min="2" max="6" width="11.5703125" style="1" customWidth="1"/>
    <col min="7" max="7" width="15" style="1" customWidth="1"/>
    <col min="8" max="11" width="13.7109375" style="1" customWidth="1"/>
    <col min="12" max="12" width="13.42578125" style="1" customWidth="1"/>
    <col min="13" max="13" width="11.7109375" style="1" customWidth="1"/>
    <col min="14" max="14" width="11" style="1" customWidth="1"/>
    <col min="15" max="16384" width="9.140625" style="1"/>
  </cols>
  <sheetData>
    <row r="1" spans="1:14" s="2" customFormat="1">
      <c r="A1" s="2" t="str">
        <f>'Data Sheet'!A1</f>
        <v>HESTER BIOSCIENCES LIMITED</v>
      </c>
      <c r="J1" s="3"/>
      <c r="K1" s="3"/>
      <c r="M1" s="2" t="s">
        <v>0</v>
      </c>
    </row>
    <row r="3" spans="1:14" s="2" customFormat="1">
      <c r="A3" s="4" t="s">
        <v>1</v>
      </c>
      <c r="B3" s="5">
        <f>'Data Sheet'!B4</f>
        <v>38442</v>
      </c>
      <c r="C3" s="5">
        <f>'Data Sheet'!C4</f>
        <v>38807</v>
      </c>
      <c r="D3" s="5">
        <f>'Data Sheet'!D4</f>
        <v>39172</v>
      </c>
      <c r="E3" s="5">
        <f>'Data Sheet'!E4</f>
        <v>39538</v>
      </c>
      <c r="F3" s="5">
        <f>'Data Sheet'!F4</f>
        <v>39903</v>
      </c>
      <c r="G3" s="5">
        <f>'Data Sheet'!G4</f>
        <v>40268</v>
      </c>
      <c r="H3" s="5">
        <f>'Data Sheet'!H4</f>
        <v>40633</v>
      </c>
      <c r="I3" s="5">
        <f>'Data Sheet'!I4</f>
        <v>40999</v>
      </c>
      <c r="J3" s="5">
        <f>'Data Sheet'!J4</f>
        <v>41364</v>
      </c>
      <c r="K3" s="5">
        <f>'Data Sheet'!K4</f>
        <v>41729</v>
      </c>
      <c r="L3" s="6" t="s">
        <v>2</v>
      </c>
      <c r="M3" s="6" t="s">
        <v>3</v>
      </c>
      <c r="N3" s="7" t="s">
        <v>4</v>
      </c>
    </row>
    <row r="4" spans="1:14" s="2" customFormat="1">
      <c r="A4" s="8" t="s">
        <v>5</v>
      </c>
      <c r="B4" s="9">
        <f>'Data Sheet'!B6</f>
        <v>16.239999999999998</v>
      </c>
      <c r="C4" s="9">
        <f>'Data Sheet'!C6</f>
        <v>20.14</v>
      </c>
      <c r="D4" s="9">
        <f>'Data Sheet'!D6</f>
        <v>21.83</v>
      </c>
      <c r="E4" s="9">
        <f>'Data Sheet'!E6</f>
        <v>32.630000000000003</v>
      </c>
      <c r="F4" s="9">
        <f>'Data Sheet'!F6</f>
        <v>30.16</v>
      </c>
      <c r="G4" s="9">
        <f>'Data Sheet'!G6</f>
        <v>37.53</v>
      </c>
      <c r="H4" s="9">
        <f>'Data Sheet'!H6</f>
        <v>41.97</v>
      </c>
      <c r="I4" s="9">
        <f>'Data Sheet'!I6</f>
        <v>47.96</v>
      </c>
      <c r="J4" s="9">
        <f>'Data Sheet'!J6</f>
        <v>65.099999999999994</v>
      </c>
      <c r="K4" s="9">
        <f>'Data Sheet'!K6</f>
        <v>69.05</v>
      </c>
      <c r="L4" s="9">
        <f>SUM(Quarters!H4:K4)</f>
        <v>88.52</v>
      </c>
      <c r="M4" s="9">
        <f>$K4+M24*K4</f>
        <v>88.52</v>
      </c>
      <c r="N4" s="10">
        <f>$K4+N24*L4</f>
        <v>84.494092567693357</v>
      </c>
    </row>
    <row r="5" spans="1:14">
      <c r="A5" s="11" t="s">
        <v>6</v>
      </c>
      <c r="B5" s="12">
        <f t="shared" ref="B5:K5" si="0">B4-B6</f>
        <v>9.2799999999999976</v>
      </c>
      <c r="C5" s="12">
        <f t="shared" si="0"/>
        <v>11.190000000000001</v>
      </c>
      <c r="D5" s="12">
        <f t="shared" si="0"/>
        <v>13.109999999999998</v>
      </c>
      <c r="E5" s="12">
        <f t="shared" si="0"/>
        <v>15.620000000000001</v>
      </c>
      <c r="F5" s="12">
        <f t="shared" si="0"/>
        <v>15.33</v>
      </c>
      <c r="G5" s="12">
        <f t="shared" si="0"/>
        <v>21.41</v>
      </c>
      <c r="H5" s="12">
        <f t="shared" si="0"/>
        <v>23.91</v>
      </c>
      <c r="I5" s="12">
        <f t="shared" si="0"/>
        <v>29.05</v>
      </c>
      <c r="J5" s="12">
        <f t="shared" si="0"/>
        <v>42.69</v>
      </c>
      <c r="K5" s="12">
        <f t="shared" si="0"/>
        <v>43.72</v>
      </c>
      <c r="L5" s="12">
        <f>SUM(Quarters!H5:K5)</f>
        <v>59.69</v>
      </c>
      <c r="M5" s="12">
        <f>M4-M6</f>
        <v>56.122778540442589</v>
      </c>
      <c r="N5" s="13">
        <f>N4-N6</f>
        <v>56.975286775481436</v>
      </c>
    </row>
    <row r="6" spans="1:14" s="2" customFormat="1">
      <c r="A6" s="8" t="s">
        <v>7</v>
      </c>
      <c r="B6" s="9">
        <f>'Data Sheet'!B7</f>
        <v>6.96</v>
      </c>
      <c r="C6" s="9">
        <f>'Data Sheet'!C7</f>
        <v>8.9499999999999993</v>
      </c>
      <c r="D6" s="9">
        <f>'Data Sheet'!D7</f>
        <v>8.7200000000000006</v>
      </c>
      <c r="E6" s="9">
        <f>'Data Sheet'!E7</f>
        <v>17.010000000000002</v>
      </c>
      <c r="F6" s="9">
        <f>'Data Sheet'!F7</f>
        <v>14.83</v>
      </c>
      <c r="G6" s="9">
        <f>'Data Sheet'!G7</f>
        <v>16.12</v>
      </c>
      <c r="H6" s="9">
        <f>'Data Sheet'!H7</f>
        <v>18.059999999999999</v>
      </c>
      <c r="I6" s="9">
        <f>'Data Sheet'!I7</f>
        <v>18.91</v>
      </c>
      <c r="J6" s="9">
        <f>'Data Sheet'!J7</f>
        <v>22.41</v>
      </c>
      <c r="K6" s="9">
        <f>'Data Sheet'!K7</f>
        <v>25.33</v>
      </c>
      <c r="L6" s="9">
        <f>SUM(Quarters!H6:K6)</f>
        <v>28.83</v>
      </c>
      <c r="M6" s="9">
        <f>M4*M25</f>
        <v>32.397221459557407</v>
      </c>
      <c r="N6" s="10">
        <f>N4*N25</f>
        <v>27.518805792211921</v>
      </c>
    </row>
    <row r="7" spans="1:14">
      <c r="A7" s="11" t="s">
        <v>8</v>
      </c>
      <c r="B7" s="12">
        <f>'Data Sheet'!B8</f>
        <v>0.04</v>
      </c>
      <c r="C7" s="12">
        <f>'Data Sheet'!C8</f>
        <v>0.03</v>
      </c>
      <c r="D7" s="12">
        <f>'Data Sheet'!D8</f>
        <v>0.26</v>
      </c>
      <c r="E7" s="12">
        <f>'Data Sheet'!E8</f>
        <v>0.15</v>
      </c>
      <c r="F7" s="12">
        <f>'Data Sheet'!F8</f>
        <v>0.06</v>
      </c>
      <c r="G7" s="12">
        <f>'Data Sheet'!G8</f>
        <v>0.08</v>
      </c>
      <c r="H7" s="12">
        <f>'Data Sheet'!H8</f>
        <v>0.13</v>
      </c>
      <c r="I7" s="12">
        <f>'Data Sheet'!I8</f>
        <v>0.24</v>
      </c>
      <c r="J7" s="12">
        <f>'Data Sheet'!J8</f>
        <v>0.23</v>
      </c>
      <c r="K7" s="12">
        <f>'Data Sheet'!K8</f>
        <v>0.77</v>
      </c>
      <c r="L7" s="12">
        <f>SUM(Quarters!H7:K7)</f>
        <v>0.69000000000000006</v>
      </c>
      <c r="M7" s="12">
        <v>0</v>
      </c>
      <c r="N7" s="14">
        <v>0</v>
      </c>
    </row>
    <row r="8" spans="1:14">
      <c r="A8" s="11" t="s">
        <v>9</v>
      </c>
      <c r="B8" s="12">
        <f>'Data Sheet'!B9</f>
        <v>7</v>
      </c>
      <c r="C8" s="12">
        <f>'Data Sheet'!C9</f>
        <v>8.98</v>
      </c>
      <c r="D8" s="12">
        <f>'Data Sheet'!D9</f>
        <v>8.98</v>
      </c>
      <c r="E8" s="12">
        <f>'Data Sheet'!E9</f>
        <v>17.16</v>
      </c>
      <c r="F8" s="12">
        <f>'Data Sheet'!F9</f>
        <v>14.89</v>
      </c>
      <c r="G8" s="12">
        <f>'Data Sheet'!G9</f>
        <v>16.2</v>
      </c>
      <c r="H8" s="12">
        <f>'Data Sheet'!H9</f>
        <v>18.190000000000001</v>
      </c>
      <c r="I8" s="12">
        <f>'Data Sheet'!I9</f>
        <v>19.149999999999999</v>
      </c>
      <c r="J8" s="12">
        <f>'Data Sheet'!J9</f>
        <v>22.64</v>
      </c>
      <c r="K8" s="12">
        <f>'Data Sheet'!K9</f>
        <v>26.1</v>
      </c>
      <c r="L8" s="12">
        <f>SUM(Quarters!H8:K8)</f>
        <v>29.520000000000003</v>
      </c>
      <c r="M8" s="12">
        <f>M6+M7</f>
        <v>32.397221459557407</v>
      </c>
      <c r="N8" s="14">
        <f>N6+N7</f>
        <v>27.518805792211921</v>
      </c>
    </row>
    <row r="9" spans="1:14">
      <c r="A9" s="11" t="s">
        <v>10</v>
      </c>
      <c r="B9" s="12">
        <f>'Data Sheet'!B10</f>
        <v>0.32</v>
      </c>
      <c r="C9" s="12">
        <f>'Data Sheet'!C10</f>
        <v>0.35</v>
      </c>
      <c r="D9" s="12">
        <f>'Data Sheet'!D10</f>
        <v>0.44</v>
      </c>
      <c r="E9" s="12">
        <f>'Data Sheet'!E10</f>
        <v>3.68</v>
      </c>
      <c r="F9" s="12">
        <f>'Data Sheet'!F10</f>
        <v>3.84</v>
      </c>
      <c r="G9" s="12">
        <f>'Data Sheet'!G10</f>
        <v>4.2300000000000004</v>
      </c>
      <c r="H9" s="12">
        <f>'Data Sheet'!H10</f>
        <v>4.4800000000000004</v>
      </c>
      <c r="I9" s="12">
        <f>'Data Sheet'!I10</f>
        <v>4.12</v>
      </c>
      <c r="J9" s="12">
        <f>'Data Sheet'!J10</f>
        <v>4.3899999999999997</v>
      </c>
      <c r="K9" s="12">
        <f>'Data Sheet'!K10</f>
        <v>5.38</v>
      </c>
      <c r="L9" s="12">
        <f>SUM(Quarters!H9:K9)</f>
        <v>4.07</v>
      </c>
      <c r="M9" s="12">
        <f>+$L9</f>
        <v>4.07</v>
      </c>
      <c r="N9" s="14">
        <f>+$L9</f>
        <v>4.07</v>
      </c>
    </row>
    <row r="10" spans="1:14">
      <c r="A10" s="11" t="s">
        <v>11</v>
      </c>
      <c r="B10" s="12">
        <f>'Data Sheet'!B11</f>
        <v>6.68</v>
      </c>
      <c r="C10" s="12">
        <f>'Data Sheet'!C11</f>
        <v>8.6300000000000008</v>
      </c>
      <c r="D10" s="12">
        <f>'Data Sheet'!D11</f>
        <v>8.5399999999999991</v>
      </c>
      <c r="E10" s="12">
        <f>'Data Sheet'!E11</f>
        <v>13.48</v>
      </c>
      <c r="F10" s="12">
        <f>'Data Sheet'!F11</f>
        <v>11.05</v>
      </c>
      <c r="G10" s="12">
        <f>'Data Sheet'!G11</f>
        <v>11.97</v>
      </c>
      <c r="H10" s="12">
        <f>'Data Sheet'!H11</f>
        <v>13.71</v>
      </c>
      <c r="I10" s="12">
        <f>'Data Sheet'!I11</f>
        <v>15.03</v>
      </c>
      <c r="J10" s="12">
        <f>'Data Sheet'!J11</f>
        <v>18.25</v>
      </c>
      <c r="K10" s="12">
        <f>'Data Sheet'!K11</f>
        <v>20.72</v>
      </c>
      <c r="L10" s="12">
        <f>SUM(Quarters!H10:K10)</f>
        <v>25.45</v>
      </c>
      <c r="M10" s="12">
        <f>M8-M9</f>
        <v>28.327221459557407</v>
      </c>
      <c r="N10" s="14">
        <f>N8-N9</f>
        <v>23.448805792211921</v>
      </c>
    </row>
    <row r="11" spans="1:14">
      <c r="A11" s="11" t="s">
        <v>12</v>
      </c>
      <c r="B11" s="12">
        <f>'Data Sheet'!B12</f>
        <v>0.24</v>
      </c>
      <c r="C11" s="12">
        <f>'Data Sheet'!C12</f>
        <v>0.26</v>
      </c>
      <c r="D11" s="12">
        <f>'Data Sheet'!D12</f>
        <v>0.7</v>
      </c>
      <c r="E11" s="12">
        <f>'Data Sheet'!E12</f>
        <v>2.65</v>
      </c>
      <c r="F11" s="12">
        <f>'Data Sheet'!F12</f>
        <v>2.89</v>
      </c>
      <c r="G11" s="12">
        <f>'Data Sheet'!G12</f>
        <v>2.36</v>
      </c>
      <c r="H11" s="12">
        <f>'Data Sheet'!H12</f>
        <v>2.5299999999999998</v>
      </c>
      <c r="I11" s="12">
        <f>'Data Sheet'!I12</f>
        <v>2.83</v>
      </c>
      <c r="J11" s="12">
        <f>'Data Sheet'!J12</f>
        <v>3.22</v>
      </c>
      <c r="K11" s="12">
        <f>'Data Sheet'!K12</f>
        <v>6.43</v>
      </c>
      <c r="L11" s="12">
        <f>SUM(Quarters!H11:K11)</f>
        <v>6.6</v>
      </c>
      <c r="M11" s="12">
        <f>+$L11</f>
        <v>6.6</v>
      </c>
      <c r="N11" s="14">
        <f>+$L11</f>
        <v>6.6</v>
      </c>
    </row>
    <row r="12" spans="1:14">
      <c r="A12" s="11" t="s">
        <v>13</v>
      </c>
      <c r="B12" s="12">
        <f>'Data Sheet'!B13</f>
        <v>6.39</v>
      </c>
      <c r="C12" s="12">
        <f>'Data Sheet'!C13</f>
        <v>8.3699999999999992</v>
      </c>
      <c r="D12" s="12">
        <f>'Data Sheet'!D13</f>
        <v>7.84</v>
      </c>
      <c r="E12" s="12">
        <f>'Data Sheet'!E13</f>
        <v>10.83</v>
      </c>
      <c r="F12" s="12">
        <f>'Data Sheet'!F13</f>
        <v>8.16</v>
      </c>
      <c r="G12" s="12">
        <f>'Data Sheet'!G13</f>
        <v>9.6</v>
      </c>
      <c r="H12" s="12">
        <f>'Data Sheet'!H13</f>
        <v>11.18</v>
      </c>
      <c r="I12" s="12">
        <f>'Data Sheet'!I13</f>
        <v>12.2</v>
      </c>
      <c r="J12" s="12">
        <f>'Data Sheet'!J13</f>
        <v>15.03</v>
      </c>
      <c r="K12" s="12">
        <f>'Data Sheet'!K13</f>
        <v>14.29</v>
      </c>
      <c r="L12" s="12">
        <f>SUM(Quarters!H12:K12)</f>
        <v>18.849999999999998</v>
      </c>
      <c r="M12" s="12">
        <f>M10-M11</f>
        <v>21.727221459557406</v>
      </c>
      <c r="N12" s="13">
        <f>N10-N11</f>
        <v>16.84880579221192</v>
      </c>
    </row>
    <row r="13" spans="1:14">
      <c r="A13" s="11" t="s">
        <v>14</v>
      </c>
      <c r="B13" s="12">
        <f>'Data Sheet'!B14</f>
        <v>2.39</v>
      </c>
      <c r="C13" s="12">
        <f>'Data Sheet'!C14</f>
        <v>2.42</v>
      </c>
      <c r="D13" s="12">
        <f>'Data Sheet'!D14</f>
        <v>2.78</v>
      </c>
      <c r="E13" s="12">
        <f>'Data Sheet'!E14</f>
        <v>3.87</v>
      </c>
      <c r="F13" s="12">
        <f>'Data Sheet'!F14</f>
        <v>3.42</v>
      </c>
      <c r="G13" s="12">
        <f>'Data Sheet'!G14</f>
        <v>3.32</v>
      </c>
      <c r="H13" s="12">
        <f>'Data Sheet'!H14</f>
        <v>3.89</v>
      </c>
      <c r="I13" s="12">
        <f>'Data Sheet'!I14</f>
        <v>4.4000000000000004</v>
      </c>
      <c r="J13" s="12">
        <f>'Data Sheet'!J14</f>
        <v>5.34</v>
      </c>
      <c r="K13" s="12">
        <f>'Data Sheet'!K14</f>
        <v>4.2</v>
      </c>
      <c r="L13" s="12">
        <f>SUM(Quarters!H13:K13)</f>
        <v>4.46</v>
      </c>
      <c r="M13" s="15">
        <f>IF($L12&gt;0,$L13/$L12,0)</f>
        <v>0.23660477453580905</v>
      </c>
      <c r="N13" s="15">
        <f>IF($L12&gt;0,$L13/$L12,0)</f>
        <v>0.23660477453580905</v>
      </c>
    </row>
    <row r="14" spans="1:14" s="2" customFormat="1">
      <c r="A14" s="8" t="s">
        <v>15</v>
      </c>
      <c r="B14" s="9">
        <f>'Data Sheet'!B15</f>
        <v>3.94</v>
      </c>
      <c r="C14" s="9">
        <f>'Data Sheet'!C15</f>
        <v>4.4400000000000004</v>
      </c>
      <c r="D14" s="9">
        <f>'Data Sheet'!D15</f>
        <v>5.15</v>
      </c>
      <c r="E14" s="9">
        <f>'Data Sheet'!E15</f>
        <v>7.04</v>
      </c>
      <c r="F14" s="9">
        <f>'Data Sheet'!F15</f>
        <v>4.74</v>
      </c>
      <c r="G14" s="9">
        <f>'Data Sheet'!G15</f>
        <v>6.03</v>
      </c>
      <c r="H14" s="9">
        <f>'Data Sheet'!H15</f>
        <v>7.6</v>
      </c>
      <c r="I14" s="9">
        <f>'Data Sheet'!I15</f>
        <v>7.79</v>
      </c>
      <c r="J14" s="9">
        <f>'Data Sheet'!J15</f>
        <v>9.69</v>
      </c>
      <c r="K14" s="9">
        <f>'Data Sheet'!K15</f>
        <v>10.09</v>
      </c>
      <c r="L14" s="9">
        <f>SUM(Quarters!H14:K14)</f>
        <v>14.370000000000001</v>
      </c>
      <c r="M14" s="9">
        <f>M12-M13*M12</f>
        <v>16.586457124829234</v>
      </c>
      <c r="N14" s="10">
        <f>N12-N13*N12</f>
        <v>12.862297896547984</v>
      </c>
    </row>
    <row r="15" spans="1:14">
      <c r="A15" s="11" t="s">
        <v>16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>
        <f>IF('Data Sheet'!$B61&gt;0,'Profit &amp; Loss'!L14/'Data Sheet'!$B61,0)</f>
        <v>16.905882352941177</v>
      </c>
      <c r="M15" s="12">
        <f>IF('Data Sheet'!$B61&gt;0,'Profit &amp; Loss'!M14/'Data Sheet'!$B61,0)</f>
        <v>19.513478970387336</v>
      </c>
      <c r="N15" s="16">
        <f>IF('Data Sheet'!$B61&gt;0,'Profit &amp; Loss'!N14/'Data Sheet'!$B61,0)</f>
        <v>15.132115172409394</v>
      </c>
    </row>
    <row r="16" spans="1:14">
      <c r="A16" s="11" t="s">
        <v>17</v>
      </c>
      <c r="B16" s="12">
        <f>'Data Sheet'!B69</f>
        <v>3.3045685279187818</v>
      </c>
      <c r="C16" s="12">
        <f>'Data Sheet'!C69</f>
        <v>9.9977477477477468</v>
      </c>
      <c r="D16" s="12">
        <f>'Data Sheet'!D69</f>
        <v>7.873786407766989</v>
      </c>
      <c r="E16" s="12">
        <f>'Data Sheet'!E69</f>
        <v>10.424715909090908</v>
      </c>
      <c r="F16" s="12">
        <f>'Data Sheet'!F69</f>
        <v>10.483122362869198</v>
      </c>
      <c r="G16" s="12">
        <f>'Data Sheet'!G69</f>
        <v>8.4079601990049753</v>
      </c>
      <c r="H16" s="12">
        <f>'Data Sheet'!H69</f>
        <v>9.3013157894736835</v>
      </c>
      <c r="I16" s="12">
        <f>'Data Sheet'!I69</f>
        <v>8.0462130937098841</v>
      </c>
      <c r="J16" s="12">
        <f>'Data Sheet'!J69</f>
        <v>8.086687306501549</v>
      </c>
      <c r="K16" s="12">
        <f>'Data Sheet'!K69</f>
        <v>0</v>
      </c>
      <c r="L16" s="12">
        <f>IF(L15&gt;0,L17/L15,0)</f>
        <v>34.899095337508697</v>
      </c>
      <c r="M16" s="12">
        <f>M26</f>
        <v>34.899095337508697</v>
      </c>
      <c r="N16" s="12">
        <f>N26</f>
        <v>34.899095337508697</v>
      </c>
    </row>
    <row r="17" spans="1:14" s="2" customFormat="1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f>'Data Sheet'!B63</f>
        <v>590</v>
      </c>
      <c r="M17" s="17">
        <f>M15*M16</f>
        <v>681.00276295401875</v>
      </c>
      <c r="N17" s="18">
        <f>N15*N16</f>
        <v>528.09713006007735</v>
      </c>
    </row>
    <row r="18" spans="1:14">
      <c r="A18" s="1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1:14" s="2" customFormat="1">
      <c r="A19" s="8" t="s">
        <v>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14">
      <c r="A20" s="11" t="s">
        <v>20</v>
      </c>
      <c r="B20" s="23">
        <f>'Data Sheet'!B16</f>
        <v>8.8832487309644659E-2</v>
      </c>
      <c r="C20" s="23">
        <f>'Data Sheet'!C16</f>
        <v>0.10585585585585584</v>
      </c>
      <c r="D20" s="23">
        <f>'Data Sheet'!D16</f>
        <v>0.16699029126213591</v>
      </c>
      <c r="E20" s="23">
        <f>'Data Sheet'!E16</f>
        <v>0.15340909090909091</v>
      </c>
      <c r="F20" s="23">
        <f>'Data Sheet'!F16</f>
        <v>0.22784810126582278</v>
      </c>
      <c r="G20" s="23">
        <f>'Data Sheet'!G16</f>
        <v>0.21558872305140961</v>
      </c>
      <c r="H20" s="23">
        <f>'Data Sheet'!H16</f>
        <v>0.2</v>
      </c>
      <c r="I20" s="23">
        <f>'Data Sheet'!I16</f>
        <v>6.1617458279845952E-2</v>
      </c>
      <c r="J20" s="23">
        <f>'Data Sheet'!J16</f>
        <v>0.14551083591331268</v>
      </c>
      <c r="K20" s="23">
        <f>'Data Sheet'!K16</f>
        <v>0.13974231912784935</v>
      </c>
      <c r="L20" s="19"/>
      <c r="M20" s="19"/>
      <c r="N20" s="20"/>
    </row>
    <row r="21" spans="1:14">
      <c r="A21" s="24" t="s">
        <v>21</v>
      </c>
      <c r="B21" s="25">
        <f t="shared" ref="B21:L21" si="1">IF(B6&gt;0,B6/B4,0)</f>
        <v>0.4285714285714286</v>
      </c>
      <c r="C21" s="25">
        <f t="shared" si="1"/>
        <v>0.44438927507447862</v>
      </c>
      <c r="D21" s="25">
        <f t="shared" si="1"/>
        <v>0.39945029775538254</v>
      </c>
      <c r="E21" s="25">
        <f t="shared" si="1"/>
        <v>0.52129941771376032</v>
      </c>
      <c r="F21" s="25">
        <f t="shared" si="1"/>
        <v>0.49171087533156499</v>
      </c>
      <c r="G21" s="25">
        <f t="shared" si="1"/>
        <v>0.42952304822808424</v>
      </c>
      <c r="H21" s="25">
        <f t="shared" si="1"/>
        <v>0.43030736240171547</v>
      </c>
      <c r="I21" s="25">
        <f t="shared" si="1"/>
        <v>0.39428690575479564</v>
      </c>
      <c r="J21" s="25">
        <f t="shared" si="1"/>
        <v>0.34423963133640556</v>
      </c>
      <c r="K21" s="25">
        <f t="shared" si="1"/>
        <v>0.36683562635771177</v>
      </c>
      <c r="L21" s="25">
        <f t="shared" si="1"/>
        <v>0.3256891098056936</v>
      </c>
      <c r="M21" s="26"/>
      <c r="N21" s="27"/>
    </row>
    <row r="22" spans="1:14">
      <c r="A22" s="1" t="s">
        <v>242</v>
      </c>
      <c r="B22" s="25">
        <f>IF(B14&gt;0,B14/B4,0)</f>
        <v>0.24261083743842365</v>
      </c>
      <c r="C22" s="25">
        <f>IF(C14&gt;0,C14/C4,0)</f>
        <v>0.2204568023833168</v>
      </c>
      <c r="D22" s="25">
        <f t="shared" ref="D22:L22" si="2">IF(D14&gt;0,D14/D4,0)</f>
        <v>0.23591387998167662</v>
      </c>
      <c r="E22" s="25">
        <f t="shared" si="2"/>
        <v>0.2157523751149249</v>
      </c>
      <c r="F22" s="25">
        <f t="shared" si="2"/>
        <v>0.15716180371352786</v>
      </c>
      <c r="G22" s="25">
        <f t="shared" si="2"/>
        <v>0.16067146282973621</v>
      </c>
      <c r="H22" s="25">
        <f t="shared" si="2"/>
        <v>0.18108172504169645</v>
      </c>
      <c r="I22" s="25">
        <f t="shared" si="2"/>
        <v>0.16242702251876565</v>
      </c>
      <c r="J22" s="25">
        <f t="shared" si="2"/>
        <v>0.14884792626728111</v>
      </c>
      <c r="K22" s="25">
        <f t="shared" si="2"/>
        <v>0.14612599565532222</v>
      </c>
      <c r="L22" s="25">
        <f t="shared" si="2"/>
        <v>0.16233619521012202</v>
      </c>
    </row>
    <row r="23" spans="1:14" s="2" customFormat="1">
      <c r="G23" s="28" t="s">
        <v>22</v>
      </c>
      <c r="H23" s="28" t="s">
        <v>23</v>
      </c>
      <c r="I23" s="28" t="s">
        <v>24</v>
      </c>
      <c r="J23" s="28" t="s">
        <v>25</v>
      </c>
      <c r="K23" s="28" t="s">
        <v>26</v>
      </c>
      <c r="L23" s="28" t="s">
        <v>27</v>
      </c>
      <c r="M23" s="28" t="s">
        <v>28</v>
      </c>
      <c r="N23" s="28" t="s">
        <v>29</v>
      </c>
    </row>
    <row r="24" spans="1:14">
      <c r="G24" s="1" t="s">
        <v>30</v>
      </c>
      <c r="H24" s="29">
        <f>IF(B4=0,"",POWER($K4/B4,1/9)-1)</f>
        <v>0.17447009226946864</v>
      </c>
      <c r="I24" s="29">
        <f>IF(D4=0,"",POWER($K4/D4,1/7)-1)</f>
        <v>0.17881126704506456</v>
      </c>
      <c r="J24" s="29">
        <f>IF(F4=0,"",POWER($K4/F4,1/5)-1)</f>
        <v>0.18017515906034087</v>
      </c>
      <c r="K24" s="29">
        <f>IF(H4=0,"",POWER($K4/H4,1/3)-1)</f>
        <v>0.18052422799620538</v>
      </c>
      <c r="L24" s="29">
        <f>IF(ISERROR(MAX(IF(J4=0,"",(K4-J4)/J4),IF(K4=0,"",(L4-K4)/K4))),"",MAX(IF(J4=0,"",(K4-J4)/J4),IF(K4=0,"",(L4-K4)/K4)))</f>
        <v>0.28196958725561189</v>
      </c>
      <c r="M24" s="30">
        <f>MAX(K24:L24)</f>
        <v>0.28196958725561189</v>
      </c>
      <c r="N24" s="30">
        <f>MIN(H24:L24)</f>
        <v>0.17447009226946864</v>
      </c>
    </row>
    <row r="25" spans="1:14">
      <c r="G25" s="1" t="s">
        <v>21</v>
      </c>
      <c r="H25" s="29">
        <f>IF(SUM(B4:$K$4)=0,"",SUMPRODUCT(B21:$K$21,B4:$K$4)/SUM(B4:$K$4))</f>
        <v>0.41112359844227803</v>
      </c>
      <c r="I25" s="29">
        <f>IF(SUM(E4:$K$4)=0,"",SUMPRODUCT(E21:$K$21,E4:$K$4)/SUM(E4:$K$4))</f>
        <v>0.40897040690505548</v>
      </c>
      <c r="J25" s="29">
        <f>IF(SUM(G4:$K$4)=0,"",SUMPRODUCT(G21:$K$21,G4:$K$4)/SUM(G4:$K$4))</f>
        <v>0.38542104659607812</v>
      </c>
      <c r="K25" s="29">
        <f>IF(SUM(I4:$K$4)=0,"",SUMPRODUCT(I21:$K$21,I4:$K$4)/SUM(I4:$K$4))</f>
        <v>0.36598758991818131</v>
      </c>
      <c r="L25" s="29">
        <f>L21</f>
        <v>0.3256891098056936</v>
      </c>
      <c r="M25" s="30">
        <f>MAX(K25:L25)</f>
        <v>0.36598758991818131</v>
      </c>
      <c r="N25" s="30">
        <f>MIN(H25:L25)</f>
        <v>0.3256891098056936</v>
      </c>
    </row>
    <row r="26" spans="1:14">
      <c r="G26" s="1" t="s">
        <v>31</v>
      </c>
      <c r="H26" s="31" t="str">
        <f>"#N/A"</f>
        <v>#N/A</v>
      </c>
      <c r="I26" s="31" t="str">
        <f>"#N/A"</f>
        <v>#N/A</v>
      </c>
      <c r="J26" s="31" t="str">
        <f>"#N/A"</f>
        <v>#N/A</v>
      </c>
      <c r="K26" s="31" t="str">
        <f>"#N/A"</f>
        <v>#N/A</v>
      </c>
      <c r="L26" s="31">
        <f>L16</f>
        <v>34.899095337508697</v>
      </c>
      <c r="M26" s="32">
        <f>MAX(K26:L26)</f>
        <v>34.899095337508697</v>
      </c>
      <c r="N26" s="32">
        <f>MIN(H26:L26)</f>
        <v>34.899095337508697</v>
      </c>
    </row>
    <row r="27" spans="1:14">
      <c r="H27" s="29">
        <f>IF(B14=0,"",POWER($K14/B14,1/9)-1)</f>
        <v>0.11013863201003549</v>
      </c>
      <c r="I27" s="29">
        <f>IF(D14=0,"",POWER($K14/D14,1/7)-1)</f>
        <v>0.10084525989959459</v>
      </c>
      <c r="J27" s="29">
        <f>IF(F14=0,"",POWER($K14/F14,1/5)-1)</f>
        <v>0.16311475444609247</v>
      </c>
      <c r="K27" s="29">
        <f t="shared" ref="K27:N27" si="3">IF(E14=0,"",POWER($K14/E14,1/9)-1)</f>
        <v>4.0803449708421979E-2</v>
      </c>
      <c r="L27" s="29">
        <f t="shared" si="3"/>
        <v>8.756940197334262E-2</v>
      </c>
      <c r="M27" s="29">
        <f t="shared" si="3"/>
        <v>5.8867306677539588E-2</v>
      </c>
      <c r="N27" s="29">
        <f t="shared" si="3"/>
        <v>3.198951763236324E-2</v>
      </c>
    </row>
  </sheetData>
  <sheetProtection selectLockedCells="1" selectUnlockedCells="1"/>
  <hyperlinks>
    <hyperlink ref="M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selection activeCell="I4" sqref="I4:K4"/>
    </sheetView>
  </sheetViews>
  <sheetFormatPr defaultColWidth="9.140625" defaultRowHeight="15"/>
  <cols>
    <col min="1" max="1" width="20.85546875" style="1" customWidth="1"/>
    <col min="2" max="11" width="13.7109375" style="1" customWidth="1"/>
    <col min="12" max="16384" width="9.140625" style="1"/>
  </cols>
  <sheetData>
    <row r="1" spans="1:11" s="2" customFormat="1">
      <c r="A1" s="2" t="str">
        <f>'Profit &amp; Loss'!A1</f>
        <v>HESTER BIOSCIENCES LIMITED</v>
      </c>
      <c r="G1" s="170"/>
      <c r="H1" s="170"/>
      <c r="J1" s="33" t="s">
        <v>0</v>
      </c>
      <c r="K1" s="33"/>
    </row>
    <row r="3" spans="1:11" s="2" customFormat="1">
      <c r="A3" s="4" t="s">
        <v>1</v>
      </c>
      <c r="B3" s="5">
        <f>'Data Sheet'!B21</f>
        <v>41182</v>
      </c>
      <c r="C3" s="5">
        <f>'Data Sheet'!C21</f>
        <v>41274</v>
      </c>
      <c r="D3" s="5">
        <f>'Data Sheet'!D21</f>
        <v>41364</v>
      </c>
      <c r="E3" s="5">
        <f>'Data Sheet'!E21</f>
        <v>41455</v>
      </c>
      <c r="F3" s="5">
        <f>'Data Sheet'!F21</f>
        <v>41547</v>
      </c>
      <c r="G3" s="5">
        <f>'Data Sheet'!G21</f>
        <v>41639</v>
      </c>
      <c r="H3" s="5">
        <f>'Data Sheet'!H21</f>
        <v>41729</v>
      </c>
      <c r="I3" s="5">
        <f>'Data Sheet'!I21</f>
        <v>41820</v>
      </c>
      <c r="J3" s="5">
        <f>'Data Sheet'!J21</f>
        <v>41912</v>
      </c>
      <c r="K3" s="5">
        <f>'Data Sheet'!K21</f>
        <v>42004</v>
      </c>
    </row>
    <row r="4" spans="1:11" s="2" customFormat="1">
      <c r="A4" s="8" t="s">
        <v>5</v>
      </c>
      <c r="B4" s="9">
        <f>'Data Sheet'!B23</f>
        <v>15.54</v>
      </c>
      <c r="C4" s="9">
        <f>'Data Sheet'!C23</f>
        <v>18.7</v>
      </c>
      <c r="D4" s="9">
        <f>'Data Sheet'!D23</f>
        <v>17.02</v>
      </c>
      <c r="E4" s="9">
        <f>'Data Sheet'!E23</f>
        <v>16.04</v>
      </c>
      <c r="F4" s="9">
        <f>'Data Sheet'!F23</f>
        <v>15.3</v>
      </c>
      <c r="G4" s="9">
        <f>'Data Sheet'!G23</f>
        <v>15.86</v>
      </c>
      <c r="H4" s="9">
        <f>'Data Sheet'!H23</f>
        <v>21.85</v>
      </c>
      <c r="I4" s="9">
        <f>'Data Sheet'!I23</f>
        <v>23.3</v>
      </c>
      <c r="J4" s="9">
        <f>'Data Sheet'!J23</f>
        <v>21.49</v>
      </c>
      <c r="K4" s="9">
        <f>'Data Sheet'!K23</f>
        <v>21.88</v>
      </c>
    </row>
    <row r="5" spans="1:11">
      <c r="A5" s="11" t="s">
        <v>6</v>
      </c>
      <c r="B5" s="12">
        <f t="shared" ref="B5:K5" si="0">B4-B6</f>
        <v>9.6499999999999986</v>
      </c>
      <c r="C5" s="12">
        <f t="shared" si="0"/>
        <v>11.61</v>
      </c>
      <c r="D5" s="12">
        <f t="shared" si="0"/>
        <v>13.04</v>
      </c>
      <c r="E5" s="12">
        <f t="shared" si="0"/>
        <v>10.57</v>
      </c>
      <c r="F5" s="12">
        <f t="shared" si="0"/>
        <v>10.14</v>
      </c>
      <c r="G5" s="12">
        <f t="shared" si="0"/>
        <v>10.85</v>
      </c>
      <c r="H5" s="12">
        <f t="shared" si="0"/>
        <v>12.150000000000002</v>
      </c>
      <c r="I5" s="12">
        <f t="shared" si="0"/>
        <v>16.010000000000002</v>
      </c>
      <c r="J5" s="12">
        <f t="shared" si="0"/>
        <v>15.979999999999999</v>
      </c>
      <c r="K5" s="12">
        <f t="shared" si="0"/>
        <v>15.549999999999999</v>
      </c>
    </row>
    <row r="6" spans="1:11" s="2" customFormat="1">
      <c r="A6" s="8" t="s">
        <v>7</v>
      </c>
      <c r="B6" s="9">
        <f>'Data Sheet'!B25</f>
        <v>5.89</v>
      </c>
      <c r="C6" s="9">
        <f>'Data Sheet'!C25</f>
        <v>7.09</v>
      </c>
      <c r="D6" s="9">
        <f>'Data Sheet'!D25</f>
        <v>3.98</v>
      </c>
      <c r="E6" s="9">
        <f>'Data Sheet'!E25</f>
        <v>5.47</v>
      </c>
      <c r="F6" s="9">
        <f>'Data Sheet'!F25</f>
        <v>5.16</v>
      </c>
      <c r="G6" s="9">
        <f>'Data Sheet'!G25</f>
        <v>5.01</v>
      </c>
      <c r="H6" s="9">
        <f>'Data Sheet'!H25</f>
        <v>9.6999999999999993</v>
      </c>
      <c r="I6" s="9">
        <f>'Data Sheet'!I25</f>
        <v>7.29</v>
      </c>
      <c r="J6" s="9">
        <f>'Data Sheet'!J25</f>
        <v>5.51</v>
      </c>
      <c r="K6" s="9">
        <f>'Data Sheet'!K25</f>
        <v>6.33</v>
      </c>
    </row>
    <row r="7" spans="1:11">
      <c r="A7" s="11" t="s">
        <v>8</v>
      </c>
      <c r="B7" s="12">
        <f>'Data Sheet'!B26</f>
        <v>0.01</v>
      </c>
      <c r="C7" s="12">
        <f>'Data Sheet'!C26</f>
        <v>0.02</v>
      </c>
      <c r="D7" s="12">
        <f>'Data Sheet'!D26</f>
        <v>0.18</v>
      </c>
      <c r="E7" s="12">
        <f>'Data Sheet'!E26</f>
        <v>0.03</v>
      </c>
      <c r="F7" s="12">
        <f>'Data Sheet'!F26</f>
        <v>0.03</v>
      </c>
      <c r="G7" s="12">
        <f>'Data Sheet'!G26</f>
        <v>0.09</v>
      </c>
      <c r="H7" s="12">
        <f>'Data Sheet'!H26</f>
        <v>0.63</v>
      </c>
      <c r="I7" s="12">
        <f>'Data Sheet'!I26</f>
        <v>0.02</v>
      </c>
      <c r="J7" s="16">
        <f>'Data Sheet'!J26</f>
        <v>0.02</v>
      </c>
      <c r="K7" s="16">
        <f>'Data Sheet'!K26</f>
        <v>0.02</v>
      </c>
    </row>
    <row r="8" spans="1:11">
      <c r="A8" s="11" t="s">
        <v>9</v>
      </c>
      <c r="B8" s="12">
        <f>'Data Sheet'!B27</f>
        <v>5.9</v>
      </c>
      <c r="C8" s="12">
        <f>'Data Sheet'!C27</f>
        <v>7.11</v>
      </c>
      <c r="D8" s="12">
        <f>'Data Sheet'!D27</f>
        <v>4.16</v>
      </c>
      <c r="E8" s="12">
        <f>'Data Sheet'!E27</f>
        <v>5.5</v>
      </c>
      <c r="F8" s="12">
        <f>'Data Sheet'!F27</f>
        <v>5.19</v>
      </c>
      <c r="G8" s="12">
        <f>'Data Sheet'!G27</f>
        <v>5.0999999999999996</v>
      </c>
      <c r="H8" s="12">
        <f>'Data Sheet'!H27</f>
        <v>10.33</v>
      </c>
      <c r="I8" s="12">
        <f>'Data Sheet'!I27</f>
        <v>7.31</v>
      </c>
      <c r="J8" s="16">
        <f>'Data Sheet'!J27</f>
        <v>5.53</v>
      </c>
      <c r="K8" s="16">
        <f>'Data Sheet'!K27</f>
        <v>6.35</v>
      </c>
    </row>
    <row r="9" spans="1:11">
      <c r="A9" s="11" t="s">
        <v>10</v>
      </c>
      <c r="B9" s="12">
        <f>'Data Sheet'!B28</f>
        <v>0.98</v>
      </c>
      <c r="C9" s="12">
        <f>'Data Sheet'!C28</f>
        <v>1.1299999999999999</v>
      </c>
      <c r="D9" s="12">
        <f>'Data Sheet'!D28</f>
        <v>0.96</v>
      </c>
      <c r="E9" s="12">
        <f>'Data Sheet'!E28</f>
        <v>0.94</v>
      </c>
      <c r="F9" s="12">
        <f>'Data Sheet'!F28</f>
        <v>1.27</v>
      </c>
      <c r="G9" s="12">
        <f>'Data Sheet'!G28</f>
        <v>1.63</v>
      </c>
      <c r="H9" s="12">
        <f>'Data Sheet'!H28</f>
        <v>1.54</v>
      </c>
      <c r="I9" s="12">
        <f>'Data Sheet'!I28</f>
        <v>0.83</v>
      </c>
      <c r="J9" s="16">
        <f>'Data Sheet'!J28</f>
        <v>0.85</v>
      </c>
      <c r="K9" s="16">
        <f>'Data Sheet'!K28</f>
        <v>0.85</v>
      </c>
    </row>
    <row r="10" spans="1:11">
      <c r="A10" s="11" t="s">
        <v>11</v>
      </c>
      <c r="B10" s="12">
        <f>'Data Sheet'!B29</f>
        <v>4.92</v>
      </c>
      <c r="C10" s="12">
        <f>'Data Sheet'!C29</f>
        <v>5.98</v>
      </c>
      <c r="D10" s="12">
        <f>'Data Sheet'!D29</f>
        <v>3.2</v>
      </c>
      <c r="E10" s="12">
        <f>'Data Sheet'!E29</f>
        <v>4.5599999999999996</v>
      </c>
      <c r="F10" s="12">
        <f>'Data Sheet'!F29</f>
        <v>3.92</v>
      </c>
      <c r="G10" s="12">
        <f>'Data Sheet'!G29</f>
        <v>3.47</v>
      </c>
      <c r="H10" s="12">
        <f>'Data Sheet'!H29</f>
        <v>8.7899999999999991</v>
      </c>
      <c r="I10" s="12">
        <f>'Data Sheet'!I29</f>
        <v>6.48</v>
      </c>
      <c r="J10" s="16">
        <f>'Data Sheet'!J29</f>
        <v>4.68</v>
      </c>
      <c r="K10" s="16">
        <f>'Data Sheet'!K29</f>
        <v>5.5</v>
      </c>
    </row>
    <row r="11" spans="1:11">
      <c r="A11" s="11" t="s">
        <v>12</v>
      </c>
      <c r="B11" s="12">
        <f>'Data Sheet'!B30</f>
        <v>0.83</v>
      </c>
      <c r="C11" s="12">
        <f>'Data Sheet'!C30</f>
        <v>0.83</v>
      </c>
      <c r="D11" s="12">
        <f>'Data Sheet'!D30</f>
        <v>0.9</v>
      </c>
      <c r="E11" s="12">
        <f>'Data Sheet'!E30</f>
        <v>0.92</v>
      </c>
      <c r="F11" s="12">
        <f>'Data Sheet'!F30</f>
        <v>1.01</v>
      </c>
      <c r="G11" s="12">
        <f>'Data Sheet'!G30</f>
        <v>0.92</v>
      </c>
      <c r="H11" s="12">
        <f>'Data Sheet'!H30</f>
        <v>3.58</v>
      </c>
      <c r="I11" s="12">
        <f>'Data Sheet'!I30</f>
        <v>0.97</v>
      </c>
      <c r="J11" s="16">
        <f>'Data Sheet'!J30</f>
        <v>1.0900000000000001</v>
      </c>
      <c r="K11" s="16">
        <f>'Data Sheet'!K30</f>
        <v>0.96</v>
      </c>
    </row>
    <row r="12" spans="1:11">
      <c r="A12" s="11" t="s">
        <v>13</v>
      </c>
      <c r="B12" s="12">
        <f>'Data Sheet'!B31</f>
        <v>4.09</v>
      </c>
      <c r="C12" s="12">
        <f>'Data Sheet'!C31</f>
        <v>5.15</v>
      </c>
      <c r="D12" s="12">
        <f>'Data Sheet'!D31</f>
        <v>2.2999999999999998</v>
      </c>
      <c r="E12" s="12">
        <f>'Data Sheet'!E31</f>
        <v>3.64</v>
      </c>
      <c r="F12" s="12">
        <f>'Data Sheet'!F31</f>
        <v>2.91</v>
      </c>
      <c r="G12" s="12">
        <f>'Data Sheet'!G31</f>
        <v>2.5499999999999998</v>
      </c>
      <c r="H12" s="12">
        <f>'Data Sheet'!H31</f>
        <v>5.21</v>
      </c>
      <c r="I12" s="12">
        <f>'Data Sheet'!I31</f>
        <v>5.51</v>
      </c>
      <c r="J12" s="16">
        <f>'Data Sheet'!J31</f>
        <v>3.59</v>
      </c>
      <c r="K12" s="16">
        <f>'Data Sheet'!K31</f>
        <v>4.54</v>
      </c>
    </row>
    <row r="13" spans="1:11">
      <c r="A13" s="11" t="s">
        <v>14</v>
      </c>
      <c r="B13" s="12">
        <f>'Data Sheet'!B32</f>
        <v>1.74</v>
      </c>
      <c r="C13" s="12">
        <f>'Data Sheet'!C32</f>
        <v>2.38</v>
      </c>
      <c r="D13" s="12">
        <f>'Data Sheet'!D32</f>
        <v>0.28999999999999998</v>
      </c>
      <c r="E13" s="12">
        <f>'Data Sheet'!E32</f>
        <v>1.65</v>
      </c>
      <c r="F13" s="12">
        <f>'Data Sheet'!F32</f>
        <v>1.26</v>
      </c>
      <c r="G13" s="12">
        <f>'Data Sheet'!G32</f>
        <v>0</v>
      </c>
      <c r="H13" s="12">
        <f>'Data Sheet'!H32</f>
        <v>1.29</v>
      </c>
      <c r="I13" s="12">
        <f>'Data Sheet'!I32</f>
        <v>1.1599999999999999</v>
      </c>
      <c r="J13" s="12">
        <f>'Data Sheet'!J32</f>
        <v>0.84</v>
      </c>
      <c r="K13" s="12">
        <f>'Data Sheet'!K32</f>
        <v>1.17</v>
      </c>
    </row>
    <row r="14" spans="1:11" s="2" customFormat="1">
      <c r="A14" s="8" t="s">
        <v>15</v>
      </c>
      <c r="B14" s="9">
        <f>'Data Sheet'!B33</f>
        <v>2.35</v>
      </c>
      <c r="C14" s="9">
        <f>'Data Sheet'!C33</f>
        <v>2.77</v>
      </c>
      <c r="D14" s="9">
        <f>'Data Sheet'!D33</f>
        <v>2</v>
      </c>
      <c r="E14" s="9">
        <f>'Data Sheet'!E33</f>
        <v>1.98</v>
      </c>
      <c r="F14" s="9">
        <f>'Data Sheet'!F33</f>
        <v>1.65</v>
      </c>
      <c r="G14" s="9">
        <f>'Data Sheet'!G33</f>
        <v>2.5499999999999998</v>
      </c>
      <c r="H14" s="9">
        <f>'Data Sheet'!H33</f>
        <v>3.92</v>
      </c>
      <c r="I14" s="9">
        <f>'Data Sheet'!I33</f>
        <v>4.34</v>
      </c>
      <c r="J14" s="9">
        <f>'Data Sheet'!J33</f>
        <v>2.74</v>
      </c>
      <c r="K14" s="9">
        <f>'Data Sheet'!K33</f>
        <v>3.37</v>
      </c>
    </row>
    <row r="16" spans="1:11" s="2" customFormat="1">
      <c r="A16" s="34" t="s">
        <v>21</v>
      </c>
      <c r="B16" s="35">
        <f t="shared" ref="B16:K16" si="1">IF(B4&gt;0,B6/B4,"")</f>
        <v>0.379021879021879</v>
      </c>
      <c r="C16" s="35">
        <f t="shared" si="1"/>
        <v>0.37914438502673797</v>
      </c>
      <c r="D16" s="35">
        <f t="shared" si="1"/>
        <v>0.23384253819036427</v>
      </c>
      <c r="E16" s="35">
        <f t="shared" si="1"/>
        <v>0.34102244389027431</v>
      </c>
      <c r="F16" s="35">
        <f t="shared" si="1"/>
        <v>0.33725490196078428</v>
      </c>
      <c r="G16" s="35">
        <f t="shared" si="1"/>
        <v>0.31588902900378307</v>
      </c>
      <c r="H16" s="35">
        <f t="shared" si="1"/>
        <v>0.44393592677345534</v>
      </c>
      <c r="I16" s="35">
        <f t="shared" si="1"/>
        <v>0.31287553648068667</v>
      </c>
      <c r="J16" s="35">
        <f t="shared" si="1"/>
        <v>0.25639832480223362</v>
      </c>
      <c r="K16" s="35">
        <f t="shared" si="1"/>
        <v>0.28930530164533824</v>
      </c>
    </row>
    <row r="18" spans="1:12">
      <c r="L18" s="1" t="s">
        <v>32</v>
      </c>
    </row>
    <row r="19" spans="1:12">
      <c r="A19" s="1" t="s">
        <v>33</v>
      </c>
      <c r="G19" s="139">
        <f>SUM(D4:G4)</f>
        <v>64.22</v>
      </c>
      <c r="K19" s="139">
        <f>SUM(H4:K4)</f>
        <v>88.52</v>
      </c>
      <c r="L19" s="29">
        <f>(K19-G19)/G19</f>
        <v>0.37838679539084391</v>
      </c>
    </row>
    <row r="20" spans="1:12">
      <c r="A20" s="1" t="s">
        <v>34</v>
      </c>
      <c r="G20" s="139">
        <f>SUM(D8:G8)</f>
        <v>19.950000000000003</v>
      </c>
      <c r="K20" s="139">
        <f>SUM(H8:K8)</f>
        <v>29.520000000000003</v>
      </c>
      <c r="L20" s="29">
        <f t="shared" ref="L20:L21" si="2">(K20-G20)/G20</f>
        <v>0.47969924812030068</v>
      </c>
    </row>
    <row r="21" spans="1:12">
      <c r="A21" s="1" t="s">
        <v>35</v>
      </c>
      <c r="G21" s="139">
        <f>SUM(D14:G14)</f>
        <v>8.18</v>
      </c>
      <c r="K21" s="139">
        <f>SUM(H14:K14)</f>
        <v>14.370000000000001</v>
      </c>
      <c r="L21" s="29">
        <f t="shared" si="2"/>
        <v>0.75672371638141822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6" sqref="K6"/>
    </sheetView>
  </sheetViews>
  <sheetFormatPr defaultColWidth="8.7109375" defaultRowHeight="15"/>
  <cols>
    <col min="1" max="1" width="26.7109375" style="36" customWidth="1"/>
    <col min="2" max="6" width="11.5703125" style="36" customWidth="1"/>
    <col min="7" max="11" width="15.7109375" style="36" customWidth="1"/>
    <col min="12" max="16384" width="8.7109375" style="36"/>
  </cols>
  <sheetData>
    <row r="1" spans="1:11" s="2" customFormat="1">
      <c r="A1" s="2" t="str">
        <f>'Profit &amp; Loss'!A1</f>
        <v>HESTER BIOSCIENCES LIMITED</v>
      </c>
      <c r="G1" s="170"/>
      <c r="H1" s="170"/>
      <c r="J1" s="33" t="s">
        <v>0</v>
      </c>
      <c r="K1" s="33"/>
    </row>
    <row r="3" spans="1:11">
      <c r="A3" s="4" t="s">
        <v>1</v>
      </c>
      <c r="B3" s="5">
        <f>'Data Sheet'!B37</f>
        <v>38442</v>
      </c>
      <c r="C3" s="5">
        <f>'Data Sheet'!C37</f>
        <v>38807</v>
      </c>
      <c r="D3" s="5">
        <f>'Data Sheet'!D37</f>
        <v>39172</v>
      </c>
      <c r="E3" s="5">
        <f>'Data Sheet'!E37</f>
        <v>39538</v>
      </c>
      <c r="F3" s="5">
        <f>'Data Sheet'!F37</f>
        <v>39903</v>
      </c>
      <c r="G3" s="5">
        <f>'Data Sheet'!G37</f>
        <v>40268</v>
      </c>
      <c r="H3" s="5">
        <f>'Data Sheet'!H37</f>
        <v>40633</v>
      </c>
      <c r="I3" s="5">
        <f>'Data Sheet'!I37</f>
        <v>40999</v>
      </c>
      <c r="J3" s="5">
        <f>'Data Sheet'!J37</f>
        <v>41364</v>
      </c>
      <c r="K3" s="5">
        <f>'Data Sheet'!K37</f>
        <v>41729</v>
      </c>
    </row>
    <row r="4" spans="1:11">
      <c r="A4" s="11" t="s">
        <v>36</v>
      </c>
      <c r="B4" s="37">
        <f>'Data Sheet'!B38</f>
        <v>3.53</v>
      </c>
      <c r="C4" s="37">
        <f>'Data Sheet'!C38</f>
        <v>3.71</v>
      </c>
      <c r="D4" s="37">
        <f>'Data Sheet'!D38</f>
        <v>5.19</v>
      </c>
      <c r="E4" s="37">
        <f>'Data Sheet'!E38</f>
        <v>5.19</v>
      </c>
      <c r="F4" s="37">
        <f>'Data Sheet'!F38</f>
        <v>5.19</v>
      </c>
      <c r="G4" s="37">
        <f>'Data Sheet'!G38</f>
        <v>5.19</v>
      </c>
      <c r="H4" s="37">
        <f>'Data Sheet'!H38</f>
        <v>5.19</v>
      </c>
      <c r="I4" s="37">
        <f>'Data Sheet'!I38</f>
        <v>5.67</v>
      </c>
      <c r="J4" s="38">
        <f>'Data Sheet'!J38</f>
        <v>8.51</v>
      </c>
      <c r="K4" s="38">
        <f>'Data Sheet'!K38</f>
        <v>8.51</v>
      </c>
    </row>
    <row r="5" spans="1:11" s="1" customFormat="1">
      <c r="A5" s="11" t="s">
        <v>37</v>
      </c>
      <c r="B5" s="37">
        <f>'Data Sheet'!B39</f>
        <v>3.61</v>
      </c>
      <c r="C5" s="37">
        <f>'Data Sheet'!C39</f>
        <v>9.94</v>
      </c>
      <c r="D5" s="37">
        <f>'Data Sheet'!D39</f>
        <v>22.76</v>
      </c>
      <c r="E5" s="37">
        <f>'Data Sheet'!E39</f>
        <v>28.28</v>
      </c>
      <c r="F5" s="37">
        <f>'Data Sheet'!F39</f>
        <v>31.46</v>
      </c>
      <c r="G5" s="37">
        <f>'Data Sheet'!G39</f>
        <v>35.67</v>
      </c>
      <c r="H5" s="37">
        <f>'Data Sheet'!H39</f>
        <v>41.15</v>
      </c>
      <c r="I5" s="37">
        <f>'Data Sheet'!I39</f>
        <v>54.38</v>
      </c>
      <c r="J5" s="38">
        <f>'Data Sheet'!J39</f>
        <v>59.37</v>
      </c>
      <c r="K5" s="38">
        <f>'Data Sheet'!K39</f>
        <v>67.47</v>
      </c>
    </row>
    <row r="6" spans="1:11">
      <c r="A6" s="11" t="s">
        <v>38</v>
      </c>
      <c r="B6" s="37">
        <f>'Data Sheet'!B40</f>
        <v>1.61</v>
      </c>
      <c r="C6" s="37">
        <f>'Data Sheet'!C40</f>
        <v>1.69</v>
      </c>
      <c r="D6" s="37">
        <f>'Data Sheet'!D40</f>
        <v>22.36</v>
      </c>
      <c r="E6" s="37">
        <f>'Data Sheet'!E40</f>
        <v>20.14</v>
      </c>
      <c r="F6" s="37">
        <f>'Data Sheet'!F40</f>
        <v>18.77</v>
      </c>
      <c r="G6" s="37">
        <f>'Data Sheet'!G40</f>
        <v>20.149999999999999</v>
      </c>
      <c r="H6" s="37">
        <f>'Data Sheet'!H40</f>
        <v>21.32</v>
      </c>
      <c r="I6" s="37">
        <f>'Data Sheet'!I40</f>
        <v>14.02</v>
      </c>
      <c r="J6" s="38">
        <f>'Data Sheet'!J40</f>
        <v>21.48</v>
      </c>
      <c r="K6" s="38">
        <f>'Data Sheet'!K40</f>
        <v>31.69</v>
      </c>
    </row>
    <row r="7" spans="1:11" s="1" customFormat="1">
      <c r="A7" s="11" t="s">
        <v>39</v>
      </c>
      <c r="B7" s="37">
        <f>'Data Sheet'!B41</f>
        <v>0</v>
      </c>
      <c r="C7" s="37">
        <f>'Data Sheet'!C41</f>
        <v>0</v>
      </c>
      <c r="D7" s="37">
        <f>'Data Sheet'!D41</f>
        <v>0</v>
      </c>
      <c r="E7" s="37">
        <f>'Data Sheet'!E41</f>
        <v>0</v>
      </c>
      <c r="F7" s="37">
        <f>'Data Sheet'!F41</f>
        <v>0</v>
      </c>
      <c r="G7" s="37">
        <f>'Data Sheet'!G41</f>
        <v>0</v>
      </c>
      <c r="H7" s="37">
        <f>'Data Sheet'!H41</f>
        <v>0</v>
      </c>
      <c r="I7" s="37">
        <f>'Data Sheet'!I41</f>
        <v>0</v>
      </c>
      <c r="J7" s="37">
        <f>'Data Sheet'!J41</f>
        <v>0</v>
      </c>
      <c r="K7" s="37">
        <f>'Data Sheet'!K41</f>
        <v>0.76</v>
      </c>
    </row>
    <row r="8" spans="1:11" s="2" customFormat="1">
      <c r="A8" s="8" t="s">
        <v>40</v>
      </c>
      <c r="B8" s="39">
        <f>'Data Sheet'!B42</f>
        <v>10.16</v>
      </c>
      <c r="C8" s="39">
        <f>'Data Sheet'!C42</f>
        <v>15.34</v>
      </c>
      <c r="D8" s="39">
        <f>'Data Sheet'!D42</f>
        <v>50.31</v>
      </c>
      <c r="E8" s="39">
        <f>'Data Sheet'!E42</f>
        <v>53.61</v>
      </c>
      <c r="F8" s="39">
        <f>'Data Sheet'!F42</f>
        <v>55.42</v>
      </c>
      <c r="G8" s="39">
        <f>'Data Sheet'!G42</f>
        <v>61.01</v>
      </c>
      <c r="H8" s="39">
        <f>'Data Sheet'!H42</f>
        <v>69.3</v>
      </c>
      <c r="I8" s="39">
        <f>'Data Sheet'!I42</f>
        <v>74.069999999999993</v>
      </c>
      <c r="J8" s="39">
        <f>'Data Sheet'!J42</f>
        <v>89.36</v>
      </c>
      <c r="K8" s="39">
        <f>'Data Sheet'!K42</f>
        <v>108.43</v>
      </c>
    </row>
    <row r="9" spans="1:11">
      <c r="A9" s="11" t="s">
        <v>41</v>
      </c>
      <c r="B9" s="37">
        <f>'Data Sheet'!B43</f>
        <v>4.5599999999999996</v>
      </c>
      <c r="C9" s="37">
        <f>'Data Sheet'!C43</f>
        <v>4.6500000000000004</v>
      </c>
      <c r="D9" s="37">
        <f>'Data Sheet'!D43</f>
        <v>34.880000000000003</v>
      </c>
      <c r="E9" s="37">
        <f>'Data Sheet'!E43</f>
        <v>40.9</v>
      </c>
      <c r="F9" s="37">
        <f>'Data Sheet'!F43</f>
        <v>40.53</v>
      </c>
      <c r="G9" s="37">
        <f>'Data Sheet'!G43</f>
        <v>39.840000000000003</v>
      </c>
      <c r="H9" s="37">
        <f>'Data Sheet'!H43</f>
        <v>39.22</v>
      </c>
      <c r="I9" s="37">
        <f>'Data Sheet'!I43</f>
        <v>36.53</v>
      </c>
      <c r="J9" s="38">
        <f>'Data Sheet'!J43</f>
        <v>34.700000000000003</v>
      </c>
      <c r="K9" s="38">
        <f>'Data Sheet'!K43</f>
        <v>50.68</v>
      </c>
    </row>
    <row r="10" spans="1:11">
      <c r="A10" s="11" t="s">
        <v>42</v>
      </c>
      <c r="B10" s="37">
        <f>'Data Sheet'!B44</f>
        <v>0</v>
      </c>
      <c r="C10" s="37">
        <f>'Data Sheet'!C44</f>
        <v>2.3199999999999998</v>
      </c>
      <c r="D10" s="37">
        <f>'Data Sheet'!D44</f>
        <v>0.55000000000000004</v>
      </c>
      <c r="E10" s="37">
        <f>'Data Sheet'!E44</f>
        <v>0</v>
      </c>
      <c r="F10" s="37">
        <f>'Data Sheet'!F44</f>
        <v>0</v>
      </c>
      <c r="G10" s="37">
        <f>'Data Sheet'!G44</f>
        <v>0</v>
      </c>
      <c r="H10" s="37">
        <f>'Data Sheet'!H44</f>
        <v>0</v>
      </c>
      <c r="I10" s="37">
        <f>'Data Sheet'!I44</f>
        <v>6.3</v>
      </c>
      <c r="J10" s="38">
        <f>'Data Sheet'!J44</f>
        <v>24.05</v>
      </c>
      <c r="K10" s="38">
        <f>'Data Sheet'!K44</f>
        <v>13.15</v>
      </c>
    </row>
    <row r="11" spans="1:11">
      <c r="A11" s="11" t="s">
        <v>43</v>
      </c>
      <c r="B11" s="37">
        <f>'Data Sheet'!B45</f>
        <v>0</v>
      </c>
      <c r="C11" s="37">
        <f>'Data Sheet'!C45</f>
        <v>0</v>
      </c>
      <c r="D11" s="37">
        <f>'Data Sheet'!D45</f>
        <v>0</v>
      </c>
      <c r="E11" s="37">
        <f>'Data Sheet'!E45</f>
        <v>0</v>
      </c>
      <c r="F11" s="37">
        <f>'Data Sheet'!F45</f>
        <v>0</v>
      </c>
      <c r="G11" s="37">
        <f>'Data Sheet'!G45</f>
        <v>0</v>
      </c>
      <c r="H11" s="37">
        <f>'Data Sheet'!H45</f>
        <v>2.5</v>
      </c>
      <c r="I11" s="37">
        <f>'Data Sheet'!I45</f>
        <v>2.5</v>
      </c>
      <c r="J11" s="38">
        <f>'Data Sheet'!J45</f>
        <v>2.78</v>
      </c>
      <c r="K11" s="38">
        <f>'Data Sheet'!K45</f>
        <v>3.63</v>
      </c>
    </row>
    <row r="12" spans="1:11">
      <c r="A12" s="11" t="s">
        <v>44</v>
      </c>
      <c r="B12" s="37">
        <f>'Data Sheet'!B46</f>
        <v>5.59</v>
      </c>
      <c r="C12" s="37">
        <f>'Data Sheet'!C46</f>
        <v>8.2899999999999991</v>
      </c>
      <c r="D12" s="37">
        <f>'Data Sheet'!D46</f>
        <v>14.87</v>
      </c>
      <c r="E12" s="37">
        <f>'Data Sheet'!E46</f>
        <v>12.71</v>
      </c>
      <c r="F12" s="37">
        <f>'Data Sheet'!F46</f>
        <v>14.88</v>
      </c>
      <c r="G12" s="37">
        <f>'Data Sheet'!G46</f>
        <v>21.18</v>
      </c>
      <c r="H12" s="37">
        <f>'Data Sheet'!H46</f>
        <v>27.59</v>
      </c>
      <c r="I12" s="37">
        <f>'Data Sheet'!I46</f>
        <v>28.73</v>
      </c>
      <c r="J12" s="37">
        <f>'Data Sheet'!J46</f>
        <v>27.82</v>
      </c>
      <c r="K12" s="37">
        <f>'Data Sheet'!K46</f>
        <v>40.96</v>
      </c>
    </row>
    <row r="13" spans="1:11" s="2" customFormat="1">
      <c r="A13" s="8" t="s">
        <v>40</v>
      </c>
      <c r="B13" s="39">
        <f>'Data Sheet'!B47</f>
        <v>10.16</v>
      </c>
      <c r="C13" s="39">
        <f>'Data Sheet'!C47</f>
        <v>15.34</v>
      </c>
      <c r="D13" s="39">
        <f>'Data Sheet'!D47</f>
        <v>50.31</v>
      </c>
      <c r="E13" s="39">
        <f>'Data Sheet'!E47</f>
        <v>53.61</v>
      </c>
      <c r="F13" s="39">
        <f>'Data Sheet'!F47</f>
        <v>55.42</v>
      </c>
      <c r="G13" s="39">
        <f>'Data Sheet'!G47</f>
        <v>61.01</v>
      </c>
      <c r="H13" s="39">
        <f>'Data Sheet'!H47</f>
        <v>69.3</v>
      </c>
      <c r="I13" s="39">
        <f>'Data Sheet'!I47</f>
        <v>74.069999999999993</v>
      </c>
      <c r="J13" s="39">
        <f>'Data Sheet'!J47</f>
        <v>89.36</v>
      </c>
      <c r="K13" s="39">
        <f>'Data Sheet'!K47</f>
        <v>108.43</v>
      </c>
    </row>
    <row r="14" spans="1:11">
      <c r="A14" s="11"/>
      <c r="B14" s="40"/>
      <c r="C14" s="40"/>
      <c r="D14" s="40"/>
      <c r="E14" s="40"/>
      <c r="F14" s="40"/>
      <c r="G14" s="40"/>
      <c r="H14" s="40"/>
      <c r="I14" s="40"/>
      <c r="J14" s="41"/>
      <c r="K14" s="41"/>
    </row>
    <row r="15" spans="1:11">
      <c r="A15" s="11"/>
      <c r="B15" s="40"/>
      <c r="C15" s="40"/>
      <c r="D15" s="40"/>
      <c r="E15" s="40"/>
      <c r="F15" s="40"/>
      <c r="G15" s="40"/>
      <c r="H15" s="40"/>
      <c r="I15" s="40"/>
      <c r="J15" s="41"/>
      <c r="K15" s="41"/>
    </row>
    <row r="16" spans="1:11">
      <c r="A16" s="11" t="s">
        <v>45</v>
      </c>
      <c r="B16" s="40">
        <f>'Data Sheet'!B66</f>
        <v>0</v>
      </c>
      <c r="C16" s="40">
        <f>'Data Sheet'!C66</f>
        <v>0</v>
      </c>
      <c r="D16" s="40">
        <f>'Data Sheet'!D66</f>
        <v>0</v>
      </c>
      <c r="E16" s="40">
        <f>'Data Sheet'!E66</f>
        <v>0</v>
      </c>
      <c r="F16" s="40">
        <f>'Data Sheet'!F66</f>
        <v>0</v>
      </c>
      <c r="G16" s="40">
        <f>'Data Sheet'!G66</f>
        <v>11.02</v>
      </c>
      <c r="H16" s="40">
        <f>'Data Sheet'!H66</f>
        <v>13.22</v>
      </c>
      <c r="I16" s="40">
        <f>'Data Sheet'!I66</f>
        <v>14.36</v>
      </c>
      <c r="J16" s="41">
        <f>'Data Sheet'!J66</f>
        <v>15.04</v>
      </c>
      <c r="K16" s="41">
        <f>'Data Sheet'!K66</f>
        <v>14.06</v>
      </c>
    </row>
    <row r="17" spans="1:12">
      <c r="A17" s="11" t="s">
        <v>46</v>
      </c>
      <c r="B17" s="40">
        <f>'Data Sheet'!B67</f>
        <v>0</v>
      </c>
      <c r="C17" s="40">
        <f>'Data Sheet'!C67</f>
        <v>0</v>
      </c>
      <c r="D17" s="40">
        <f>'Data Sheet'!D67</f>
        <v>0</v>
      </c>
      <c r="E17" s="40">
        <f>'Data Sheet'!E67</f>
        <v>0</v>
      </c>
      <c r="F17" s="40">
        <f>'Data Sheet'!F67</f>
        <v>0</v>
      </c>
      <c r="G17" s="40">
        <f>'Data Sheet'!G67</f>
        <v>16.96</v>
      </c>
      <c r="H17" s="40">
        <f>'Data Sheet'!H67</f>
        <v>22.68</v>
      </c>
      <c r="I17" s="40">
        <f>'Data Sheet'!I67</f>
        <v>27.56</v>
      </c>
      <c r="J17" s="40">
        <f>'Data Sheet'!J67</f>
        <v>31.1</v>
      </c>
      <c r="K17" s="40">
        <f>'Data Sheet'!K67</f>
        <v>35.590000000000003</v>
      </c>
    </row>
    <row r="19" spans="1:12">
      <c r="A19" s="36" t="s">
        <v>47</v>
      </c>
      <c r="B19" s="31">
        <f>IF('Profit &amp; Loss'!B4&gt;0,'Balance Sheet'!B16/('Profit &amp; Loss'!B4/365),0)</f>
        <v>0</v>
      </c>
      <c r="C19" s="31">
        <f>IF('Profit &amp; Loss'!C4&gt;0,'Balance Sheet'!C16/('Profit &amp; Loss'!C4/365),0)</f>
        <v>0</v>
      </c>
      <c r="D19" s="31">
        <f>IF('Profit &amp; Loss'!D4&gt;0,'Balance Sheet'!D16/('Profit &amp; Loss'!D4/365),0)</f>
        <v>0</v>
      </c>
      <c r="E19" s="31">
        <f>IF('Profit &amp; Loss'!E4&gt;0,'Balance Sheet'!E16/('Profit &amp; Loss'!E4/365),0)</f>
        <v>0</v>
      </c>
      <c r="F19" s="31">
        <f>IF('Profit &amp; Loss'!F4&gt;0,'Balance Sheet'!F16/('Profit &amp; Loss'!F4/365),0)</f>
        <v>0</v>
      </c>
      <c r="G19" s="31">
        <f>IF('Profit &amp; Loss'!G4&gt;0,'Balance Sheet'!G16/('Profit &amp; Loss'!G4/365),0)</f>
        <v>107.17559285904609</v>
      </c>
      <c r="H19" s="31">
        <f>IF('Profit &amp; Loss'!H4&gt;0,'Balance Sheet'!H16/('Profit &amp; Loss'!H4/365),0)</f>
        <v>114.9702168215392</v>
      </c>
      <c r="I19" s="31">
        <f>IF('Profit &amp; Loss'!I4&gt;0,'Balance Sheet'!I16/('Profit &amp; Loss'!I4/365),0)</f>
        <v>109.28690575479565</v>
      </c>
      <c r="J19" s="31">
        <f>IF('Profit &amp; Loss'!J4&gt;0,'Balance Sheet'!J16/('Profit &amp; Loss'!J4/365),0)</f>
        <v>84.325652841781874</v>
      </c>
      <c r="K19" s="31">
        <f>IF('Profit &amp; Loss'!K4&gt;0,'Balance Sheet'!K16/('Profit &amp; Loss'!K4/365),0)</f>
        <v>74.321506154960176</v>
      </c>
    </row>
    <row r="20" spans="1:12">
      <c r="A20" s="36" t="s">
        <v>48</v>
      </c>
      <c r="B20" s="31">
        <f>IF('Balance Sheet'!B17&gt;0,'Profit &amp; Loss'!B4/'Balance Sheet'!B17,0)</f>
        <v>0</v>
      </c>
      <c r="C20" s="31">
        <f>IF('Balance Sheet'!C17&gt;0,'Profit &amp; Loss'!C4/'Balance Sheet'!C17,0)</f>
        <v>0</v>
      </c>
      <c r="D20" s="31">
        <f>IF('Balance Sheet'!D17&gt;0,'Profit &amp; Loss'!D4/'Balance Sheet'!D17,0)</f>
        <v>0</v>
      </c>
      <c r="E20" s="31">
        <f>IF('Balance Sheet'!E17&gt;0,'Profit &amp; Loss'!E4/'Balance Sheet'!E17,0)</f>
        <v>0</v>
      </c>
      <c r="F20" s="31">
        <f>IF('Balance Sheet'!F17&gt;0,'Profit &amp; Loss'!F4/'Balance Sheet'!F17,0)</f>
        <v>0</v>
      </c>
      <c r="G20" s="31">
        <f>IF('Balance Sheet'!G17&gt;0,'Profit &amp; Loss'!G4/'Balance Sheet'!G17,0)</f>
        <v>2.2128537735849054</v>
      </c>
      <c r="H20" s="31">
        <f>IF('Balance Sheet'!H17&gt;0,'Profit &amp; Loss'!H4/'Balance Sheet'!H17,0)</f>
        <v>1.8505291005291005</v>
      </c>
      <c r="I20" s="31">
        <f>IF('Balance Sheet'!I17&gt;0,'Profit &amp; Loss'!I4/'Balance Sheet'!I17,0)</f>
        <v>1.7402031930333819</v>
      </c>
      <c r="J20" s="31">
        <f>IF('Balance Sheet'!J17&gt;0,'Profit &amp; Loss'!J4/'Balance Sheet'!J17,0)</f>
        <v>2.093247588424437</v>
      </c>
      <c r="K20" s="31">
        <f>IF('Balance Sheet'!K17&gt;0,'Profit &amp; Loss'!K4/'Balance Sheet'!K17,0)</f>
        <v>1.9401517280134866</v>
      </c>
    </row>
    <row r="22" spans="1:12" s="2" customFormat="1">
      <c r="A22" s="2" t="s">
        <v>49</v>
      </c>
      <c r="B22" s="35">
        <f>IF(SUM('Balance Sheet'!B4:B5),'Profit &amp; Loss'!B14/SUM('Balance Sheet'!B4:B5),"")</f>
        <v>0.55182072829131656</v>
      </c>
      <c r="C22" s="35">
        <f>IF(SUM('Balance Sheet'!C4:C5),'Profit &amp; Loss'!C14/SUM('Balance Sheet'!C4:C5),"")</f>
        <v>0.32527472527472534</v>
      </c>
      <c r="D22" s="35">
        <f>IF(SUM('Balance Sheet'!D4:D5),'Profit &amp; Loss'!D14/SUM('Balance Sheet'!D4:D5),"")</f>
        <v>0.18425760286225401</v>
      </c>
      <c r="E22" s="35">
        <f>IF(SUM('Balance Sheet'!E4:E5),'Profit &amp; Loss'!E14/SUM('Balance Sheet'!E4:E5),"")</f>
        <v>0.2103376157753212</v>
      </c>
      <c r="F22" s="35">
        <f>IF(SUM('Balance Sheet'!F4:F5),'Profit &amp; Loss'!F14/SUM('Balance Sheet'!F4:F5),"")</f>
        <v>0.12933151432469306</v>
      </c>
      <c r="G22" s="35">
        <f>IF(SUM('Balance Sheet'!G4:G5),'Profit &amp; Loss'!G14/SUM('Balance Sheet'!G4:G5),"")</f>
        <v>0.14757709251101322</v>
      </c>
      <c r="H22" s="35">
        <f>IF(SUM('Balance Sheet'!H4:H5),'Profit &amp; Loss'!H14/SUM('Balance Sheet'!H4:H5),"")</f>
        <v>0.1640051791109193</v>
      </c>
      <c r="I22" s="35">
        <f>IF(SUM('Balance Sheet'!I4:I5),'Profit &amp; Loss'!I14/SUM('Balance Sheet'!I4:I5),"")</f>
        <v>0.12972522897585345</v>
      </c>
      <c r="J22" s="35">
        <f>IF(SUM('Balance Sheet'!J4:J5),'Profit &amp; Loss'!J14/SUM('Balance Sheet'!J4:J5),"")</f>
        <v>0.14275191514437244</v>
      </c>
      <c r="K22" s="35">
        <f>IF(SUM('Balance Sheet'!K4:K5),'Profit &amp; Loss'!K14/SUM('Balance Sheet'!K4:K5),"")</f>
        <v>0.13279810476441167</v>
      </c>
    </row>
    <row r="23" spans="1:12" s="2" customFormat="1">
      <c r="A23" s="2" t="s">
        <v>50</v>
      </c>
      <c r="B23" s="35">
        <f>IF(('Balance Sheet'!B9+'Balance Sheet'!B12)&gt;0,('Profit &amp; Loss'!B10-'Profit &amp; Loss'!B13)/('Balance Sheet'!B9+'Balance Sheet'!B12),"")</f>
        <v>0.42266009852216746</v>
      </c>
      <c r="C23" s="35">
        <f>IF(('Balance Sheet'!C9+'Balance Sheet'!C12)&gt;0,('Profit &amp; Loss'!C10-'Profit &amp; Loss'!C13)/('Balance Sheet'!C9+'Balance Sheet'!C12),"")</f>
        <v>0.47990726429675434</v>
      </c>
      <c r="D23" s="35">
        <f>IF(('Balance Sheet'!D9+'Balance Sheet'!D12)&gt;0,('Profit &amp; Loss'!D10-'Profit &amp; Loss'!D13)/('Balance Sheet'!D9+'Balance Sheet'!D12),"")</f>
        <v>0.11577889447236181</v>
      </c>
      <c r="E23" s="35">
        <f>IF(('Balance Sheet'!E9+'Balance Sheet'!E12)&gt;0,('Profit &amp; Loss'!E10-'Profit &amp; Loss'!E13)/('Balance Sheet'!E9+'Balance Sheet'!E12),"")</f>
        <v>0.17925760119380713</v>
      </c>
      <c r="F23" s="35">
        <f>IF(('Balance Sheet'!F9+'Balance Sheet'!F12)&gt;0,('Profit &amp; Loss'!F10-'Profit &amp; Loss'!F13)/('Balance Sheet'!F9+'Balance Sheet'!F12),"")</f>
        <v>0.13770077603320702</v>
      </c>
      <c r="G23" s="35">
        <f>IF(('Balance Sheet'!G9+'Balance Sheet'!G12)&gt;0,('Profit &amp; Loss'!G10-'Profit &amp; Loss'!G13)/('Balance Sheet'!G9+'Balance Sheet'!G12),"")</f>
        <v>0.14175680104883645</v>
      </c>
      <c r="H23" s="35">
        <f>IF(('Balance Sheet'!H9+'Balance Sheet'!H12)&gt;0,('Profit &amp; Loss'!H10-'Profit &amp; Loss'!H13)/('Balance Sheet'!H9+'Balance Sheet'!H12),"")</f>
        <v>0.14698398443346805</v>
      </c>
      <c r="I23" s="35">
        <f>IF(('Balance Sheet'!I9+'Balance Sheet'!I12)&gt;0,('Profit &amp; Loss'!I10-'Profit &amp; Loss'!I13)/('Balance Sheet'!I9+'Balance Sheet'!I12),"")</f>
        <v>0.16288691388292978</v>
      </c>
      <c r="J23" s="35">
        <f>IF(('Balance Sheet'!J9+'Balance Sheet'!J12)&gt;0,('Profit &amp; Loss'!J10-'Profit &amp; Loss'!J13)/('Balance Sheet'!J9+'Balance Sheet'!J12),"")</f>
        <v>0.20649392194497759</v>
      </c>
      <c r="K23" s="35">
        <f>IF(('Balance Sheet'!K9+'Balance Sheet'!K12)&gt;0,('Profit &amp; Loss'!K10-'Profit &amp; Loss'!K13)/('Balance Sheet'!K9+'Balance Sheet'!K12),"")</f>
        <v>0.1802706241815801</v>
      </c>
    </row>
    <row r="25" spans="1:12">
      <c r="A25" s="4" t="s">
        <v>51</v>
      </c>
      <c r="B25" s="5">
        <f>B3</f>
        <v>38442</v>
      </c>
      <c r="C25" s="5">
        <f t="shared" ref="C25:K25" si="0">C3</f>
        <v>38807</v>
      </c>
      <c r="D25" s="5">
        <f t="shared" si="0"/>
        <v>39172</v>
      </c>
      <c r="E25" s="5">
        <f t="shared" si="0"/>
        <v>39538</v>
      </c>
      <c r="F25" s="5">
        <f t="shared" si="0"/>
        <v>39903</v>
      </c>
      <c r="G25" s="5">
        <f t="shared" si="0"/>
        <v>40268</v>
      </c>
      <c r="H25" s="5">
        <f t="shared" si="0"/>
        <v>40633</v>
      </c>
      <c r="I25" s="5">
        <f t="shared" si="0"/>
        <v>40999</v>
      </c>
      <c r="J25" s="5">
        <f t="shared" si="0"/>
        <v>41364</v>
      </c>
      <c r="K25" s="5">
        <f t="shared" si="0"/>
        <v>41729</v>
      </c>
      <c r="L25" s="36" t="s">
        <v>52</v>
      </c>
    </row>
    <row r="26" spans="1:12">
      <c r="A26" s="36" t="str">
        <f>A9</f>
        <v>Net Block</v>
      </c>
      <c r="B26" s="137">
        <f>B9/B$13</f>
        <v>0.44881889763779526</v>
      </c>
      <c r="C26" s="137">
        <f t="shared" ref="C26:K26" si="1">C9/C$13</f>
        <v>0.303129074315515</v>
      </c>
      <c r="D26" s="137">
        <f t="shared" si="1"/>
        <v>0.69330153051083288</v>
      </c>
      <c r="E26" s="137">
        <f t="shared" si="1"/>
        <v>0.7629173661630293</v>
      </c>
      <c r="F26" s="137">
        <f t="shared" si="1"/>
        <v>0.73132443161313609</v>
      </c>
      <c r="G26" s="137">
        <f t="shared" si="1"/>
        <v>0.6530077036551386</v>
      </c>
      <c r="H26" s="137">
        <f t="shared" si="1"/>
        <v>0.56594516594516597</v>
      </c>
      <c r="I26" s="137">
        <f t="shared" si="1"/>
        <v>0.49318212501687597</v>
      </c>
      <c r="J26" s="137">
        <f t="shared" si="1"/>
        <v>0.38831692032229187</v>
      </c>
      <c r="K26" s="137">
        <f t="shared" si="1"/>
        <v>0.46739832149774047</v>
      </c>
      <c r="L26" s="137">
        <f>AVERAGE(B26:K26)</f>
        <v>0.55073415366775214</v>
      </c>
    </row>
    <row r="27" spans="1:12">
      <c r="A27" s="36" t="str">
        <f>A10</f>
        <v>Capital Work in Progress</v>
      </c>
      <c r="B27" s="137">
        <f>B10/B$13</f>
        <v>0</v>
      </c>
      <c r="C27" s="137">
        <f t="shared" ref="C27:K27" si="2">C10/C$13</f>
        <v>0.151238591916558</v>
      </c>
      <c r="D27" s="137">
        <f t="shared" si="2"/>
        <v>1.0932220234545816E-2</v>
      </c>
      <c r="E27" s="137">
        <f t="shared" si="2"/>
        <v>0</v>
      </c>
      <c r="F27" s="137">
        <f t="shared" si="2"/>
        <v>0</v>
      </c>
      <c r="G27" s="137">
        <f t="shared" si="2"/>
        <v>0</v>
      </c>
      <c r="H27" s="137">
        <f t="shared" si="2"/>
        <v>0</v>
      </c>
      <c r="I27" s="137">
        <f t="shared" si="2"/>
        <v>8.5054678007290413E-2</v>
      </c>
      <c r="J27" s="137">
        <f t="shared" si="2"/>
        <v>0.26913607878245299</v>
      </c>
      <c r="K27" s="137">
        <f t="shared" si="2"/>
        <v>0.12127639952042792</v>
      </c>
      <c r="L27" s="137">
        <f t="shared" ref="L27:L29" si="3">AVERAGE(B27:K27)</f>
        <v>6.3763796846127513E-2</v>
      </c>
    </row>
    <row r="28" spans="1:12">
      <c r="A28" s="36" t="str">
        <f>A11</f>
        <v>Investments</v>
      </c>
      <c r="B28" s="137">
        <f>B11/B$13</f>
        <v>0</v>
      </c>
      <c r="C28" s="137">
        <f t="shared" ref="C28:K28" si="4">C11/C$13</f>
        <v>0</v>
      </c>
      <c r="D28" s="137">
        <f t="shared" si="4"/>
        <v>0</v>
      </c>
      <c r="E28" s="137">
        <f t="shared" si="4"/>
        <v>0</v>
      </c>
      <c r="F28" s="137">
        <f t="shared" si="4"/>
        <v>0</v>
      </c>
      <c r="G28" s="137">
        <f t="shared" si="4"/>
        <v>0</v>
      </c>
      <c r="H28" s="137">
        <f t="shared" si="4"/>
        <v>3.6075036075036079E-2</v>
      </c>
      <c r="I28" s="137">
        <f t="shared" si="4"/>
        <v>3.3751856352099367E-2</v>
      </c>
      <c r="J28" s="137">
        <f t="shared" si="4"/>
        <v>3.1110116383169201E-2</v>
      </c>
      <c r="K28" s="137">
        <f t="shared" si="4"/>
        <v>3.3477819791570593E-2</v>
      </c>
      <c r="L28" s="137">
        <f t="shared" si="3"/>
        <v>1.3441482860187523E-2</v>
      </c>
    </row>
    <row r="29" spans="1:12">
      <c r="A29" s="36" t="str">
        <f>A12</f>
        <v>Working Capital</v>
      </c>
      <c r="B29" s="137">
        <f>B12/B$13</f>
        <v>0.55019685039370081</v>
      </c>
      <c r="C29" s="137">
        <f t="shared" ref="C29:K29" si="5">C12/C$13</f>
        <v>0.54041720990873532</v>
      </c>
      <c r="D29" s="137">
        <f t="shared" si="5"/>
        <v>0.29556748161399321</v>
      </c>
      <c r="E29" s="137">
        <f t="shared" si="5"/>
        <v>0.23708263383697073</v>
      </c>
      <c r="F29" s="137">
        <f t="shared" si="5"/>
        <v>0.26849512811259474</v>
      </c>
      <c r="G29" s="137">
        <f t="shared" si="5"/>
        <v>0.34715620390099983</v>
      </c>
      <c r="H29" s="137">
        <f t="shared" si="5"/>
        <v>0.39812409812409816</v>
      </c>
      <c r="I29" s="137">
        <f t="shared" si="5"/>
        <v>0.38787633319832593</v>
      </c>
      <c r="J29" s="137">
        <f t="shared" si="5"/>
        <v>0.31132497761862132</v>
      </c>
      <c r="K29" s="137">
        <f t="shared" si="5"/>
        <v>0.37775523379138615</v>
      </c>
      <c r="L29" s="137">
        <f t="shared" si="3"/>
        <v>0.37139961504994268</v>
      </c>
    </row>
    <row r="30" spans="1:12">
      <c r="A30" s="36" t="str">
        <f>A13</f>
        <v>Total</v>
      </c>
      <c r="B30" s="137">
        <f>B13/B$13</f>
        <v>1</v>
      </c>
      <c r="C30" s="137">
        <f t="shared" ref="C30:K30" si="6">C13/C$13</f>
        <v>1</v>
      </c>
      <c r="D30" s="137">
        <f t="shared" si="6"/>
        <v>1</v>
      </c>
      <c r="E30" s="137">
        <f t="shared" si="6"/>
        <v>1</v>
      </c>
      <c r="F30" s="137">
        <f t="shared" si="6"/>
        <v>1</v>
      </c>
      <c r="G30" s="137">
        <f t="shared" si="6"/>
        <v>1</v>
      </c>
      <c r="H30" s="137">
        <f t="shared" si="6"/>
        <v>1</v>
      </c>
      <c r="I30" s="137">
        <f t="shared" si="6"/>
        <v>1</v>
      </c>
      <c r="J30" s="137">
        <f t="shared" si="6"/>
        <v>1</v>
      </c>
      <c r="K30" s="137">
        <f t="shared" si="6"/>
        <v>1</v>
      </c>
    </row>
    <row r="33" spans="1:12">
      <c r="A33" s="36" t="str">
        <f>A6</f>
        <v>Secured Loans</v>
      </c>
      <c r="B33" s="137">
        <f>B6/B$8</f>
        <v>0.15846456692913385</v>
      </c>
      <c r="C33" s="137">
        <f t="shared" ref="C33:K33" si="7">C6/C$8</f>
        <v>0.11016949152542373</v>
      </c>
      <c r="D33" s="137">
        <f t="shared" si="7"/>
        <v>0.44444444444444442</v>
      </c>
      <c r="E33" s="137">
        <f t="shared" si="7"/>
        <v>0.37567617981719831</v>
      </c>
      <c r="F33" s="137">
        <f t="shared" si="7"/>
        <v>0.33868639480332008</v>
      </c>
      <c r="G33" s="137">
        <f t="shared" si="7"/>
        <v>0.33027372561875101</v>
      </c>
      <c r="H33" s="137">
        <f t="shared" si="7"/>
        <v>0.30764790764790767</v>
      </c>
      <c r="I33" s="137">
        <f t="shared" si="7"/>
        <v>0.18928041042257326</v>
      </c>
      <c r="J33" s="137">
        <f t="shared" si="7"/>
        <v>0.24037600716204119</v>
      </c>
      <c r="K33" s="137">
        <f t="shared" si="7"/>
        <v>0.29226228903440005</v>
      </c>
      <c r="L33" s="137">
        <f t="shared" ref="L33:L34" si="8">AVERAGE(B33:K33)</f>
        <v>0.27872814174051935</v>
      </c>
    </row>
    <row r="34" spans="1:12">
      <c r="A34" s="36" t="str">
        <f>A7</f>
        <v>Unsecured Loans</v>
      </c>
      <c r="B34" s="137">
        <f>B7/B$8</f>
        <v>0</v>
      </c>
      <c r="C34" s="137">
        <f t="shared" ref="C34:K34" si="9">C7/C$8</f>
        <v>0</v>
      </c>
      <c r="D34" s="137">
        <f t="shared" si="9"/>
        <v>0</v>
      </c>
      <c r="E34" s="137">
        <f t="shared" si="9"/>
        <v>0</v>
      </c>
      <c r="F34" s="137">
        <f t="shared" si="9"/>
        <v>0</v>
      </c>
      <c r="G34" s="137">
        <f t="shared" si="9"/>
        <v>0</v>
      </c>
      <c r="H34" s="137">
        <f t="shared" si="9"/>
        <v>0</v>
      </c>
      <c r="I34" s="137">
        <f t="shared" si="9"/>
        <v>0</v>
      </c>
      <c r="J34" s="137">
        <f t="shared" si="9"/>
        <v>0</v>
      </c>
      <c r="K34" s="137">
        <f t="shared" si="9"/>
        <v>7.0091303144886102E-3</v>
      </c>
      <c r="L34" s="137">
        <f t="shared" si="8"/>
        <v>7.0091303144886104E-4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"/>
  <sheetViews>
    <sheetView workbookViewId="0">
      <selection activeCell="D26" sqref="D26"/>
    </sheetView>
  </sheetViews>
  <sheetFormatPr defaultColWidth="9.140625" defaultRowHeight="15"/>
  <cols>
    <col min="1" max="1" width="27" style="1" customWidth="1"/>
    <col min="2" max="6" width="11.5703125" style="1" customWidth="1"/>
    <col min="7" max="11" width="13.7109375" style="1" customWidth="1"/>
    <col min="12" max="16384" width="9.140625" style="1"/>
  </cols>
  <sheetData>
    <row r="1" spans="1:13" s="2" customFormat="1">
      <c r="A1" s="2" t="str">
        <f>'Balance Sheet'!A1</f>
        <v>HESTER BIOSCIENCES LIMITED</v>
      </c>
      <c r="G1" s="170"/>
      <c r="H1" s="170"/>
      <c r="J1" s="33" t="s">
        <v>0</v>
      </c>
      <c r="K1" s="33"/>
    </row>
    <row r="3" spans="1:13" s="2" customFormat="1">
      <c r="A3" s="4" t="s">
        <v>1</v>
      </c>
      <c r="B3" s="5">
        <f>'Data Sheet'!B52</f>
        <v>38442</v>
      </c>
      <c r="C3" s="5">
        <f>'Data Sheet'!C52</f>
        <v>38807</v>
      </c>
      <c r="D3" s="5">
        <f>'Data Sheet'!D52</f>
        <v>39172</v>
      </c>
      <c r="E3" s="5">
        <f>'Data Sheet'!E52</f>
        <v>39538</v>
      </c>
      <c r="F3" s="5">
        <f>'Data Sheet'!F52</f>
        <v>39903</v>
      </c>
      <c r="G3" s="5">
        <f>'Data Sheet'!G52</f>
        <v>40268</v>
      </c>
      <c r="H3" s="5">
        <f>'Data Sheet'!H52</f>
        <v>40633</v>
      </c>
      <c r="I3" s="5">
        <f>'Data Sheet'!I52</f>
        <v>40999</v>
      </c>
      <c r="J3" s="5">
        <f>'Data Sheet'!J52</f>
        <v>41364</v>
      </c>
      <c r="K3" s="5">
        <f>'Data Sheet'!K52</f>
        <v>41729</v>
      </c>
    </row>
    <row r="4" spans="1:13" s="2" customFormat="1">
      <c r="A4" s="8" t="s">
        <v>53</v>
      </c>
      <c r="B4" s="9">
        <f>'Data Sheet'!B53</f>
        <v>2.06</v>
      </c>
      <c r="C4" s="9">
        <f>'Data Sheet'!C53</f>
        <v>4.74</v>
      </c>
      <c r="D4" s="9">
        <f>'Data Sheet'!D53</f>
        <v>11.76</v>
      </c>
      <c r="E4" s="9">
        <f>'Data Sheet'!E53</f>
        <v>9.85</v>
      </c>
      <c r="F4" s="9">
        <f>'Data Sheet'!F53</f>
        <v>7.77</v>
      </c>
      <c r="G4" s="9">
        <f>'Data Sheet'!G53</f>
        <v>13.63</v>
      </c>
      <c r="H4" s="9">
        <f>'Data Sheet'!H53</f>
        <v>13.03</v>
      </c>
      <c r="I4" s="9">
        <f>'Data Sheet'!I53</f>
        <v>12.67</v>
      </c>
      <c r="J4" s="9">
        <f>'Data Sheet'!J53</f>
        <v>13.42</v>
      </c>
      <c r="K4" s="9">
        <f>'Data Sheet'!K53</f>
        <v>10.17</v>
      </c>
      <c r="L4" s="157">
        <f>SUM(B4:K4)</f>
        <v>99.100000000000009</v>
      </c>
      <c r="M4" s="157"/>
    </row>
    <row r="5" spans="1:13">
      <c r="A5" s="11" t="s">
        <v>54</v>
      </c>
      <c r="B5" s="12">
        <f>'Data Sheet'!B54</f>
        <v>-0.8</v>
      </c>
      <c r="C5" s="12">
        <f>'Data Sheet'!C54</f>
        <v>-2.83</v>
      </c>
      <c r="D5" s="12">
        <f>'Data Sheet'!D54</f>
        <v>-28.56</v>
      </c>
      <c r="E5" s="12">
        <f>'Data Sheet'!E54</f>
        <v>-9.0399999999999991</v>
      </c>
      <c r="F5" s="12">
        <f>'Data Sheet'!F54</f>
        <v>-3.38</v>
      </c>
      <c r="G5" s="12">
        <f>'Data Sheet'!G54</f>
        <v>-3.46</v>
      </c>
      <c r="H5" s="12">
        <f>'Data Sheet'!H54</f>
        <v>-6.23</v>
      </c>
      <c r="I5" s="12">
        <f>'Data Sheet'!I54</f>
        <v>-7.35</v>
      </c>
      <c r="J5" s="16">
        <f>'Data Sheet'!J54</f>
        <v>-17.52</v>
      </c>
      <c r="K5" s="16">
        <f>'Data Sheet'!K54</f>
        <v>-12.78</v>
      </c>
    </row>
    <row r="6" spans="1:13">
      <c r="A6" s="11" t="s">
        <v>55</v>
      </c>
      <c r="B6" s="12">
        <f>'Data Sheet'!B55</f>
        <v>-0.32</v>
      </c>
      <c r="C6" s="12">
        <f>'Data Sheet'!C55</f>
        <v>-2.71</v>
      </c>
      <c r="D6" s="12">
        <f>'Data Sheet'!D55</f>
        <v>17.510000000000002</v>
      </c>
      <c r="E6" s="12">
        <f>'Data Sheet'!E55</f>
        <v>-7.06</v>
      </c>
      <c r="F6" s="12">
        <f>'Data Sheet'!F55</f>
        <v>-4.4000000000000004</v>
      </c>
      <c r="G6" s="12">
        <f>'Data Sheet'!G55</f>
        <v>-9.8699999999999992</v>
      </c>
      <c r="H6" s="12">
        <f>'Data Sheet'!H55</f>
        <v>-6.85</v>
      </c>
      <c r="I6" s="12">
        <f>'Data Sheet'!I55</f>
        <v>-5.03</v>
      </c>
      <c r="J6" s="12">
        <f>'Data Sheet'!J55</f>
        <v>3.94</v>
      </c>
      <c r="K6" s="12">
        <f>'Data Sheet'!K55</f>
        <v>2.54</v>
      </c>
    </row>
    <row r="7" spans="1:13" s="2" customFormat="1">
      <c r="A7" s="8" t="s">
        <v>56</v>
      </c>
      <c r="B7" s="9">
        <f>'Data Sheet'!B56</f>
        <v>0.93</v>
      </c>
      <c r="C7" s="9">
        <f>'Data Sheet'!C56</f>
        <v>-0.8</v>
      </c>
      <c r="D7" s="9">
        <f>'Data Sheet'!D56</f>
        <v>0.71</v>
      </c>
      <c r="E7" s="9">
        <f>'Data Sheet'!E56</f>
        <v>-6.25</v>
      </c>
      <c r="F7" s="9">
        <f>'Data Sheet'!F56</f>
        <v>0</v>
      </c>
      <c r="G7" s="9">
        <f>'Data Sheet'!G56</f>
        <v>0.31</v>
      </c>
      <c r="H7" s="9">
        <f>'Data Sheet'!H56</f>
        <v>-0.05</v>
      </c>
      <c r="I7" s="9">
        <f>'Data Sheet'!I56</f>
        <v>0.28000000000000003</v>
      </c>
      <c r="J7" s="9">
        <f>'Data Sheet'!J56</f>
        <v>-0.16</v>
      </c>
      <c r="K7" s="9">
        <f>'Data Sheet'!K56</f>
        <v>-0.06</v>
      </c>
    </row>
    <row r="8" spans="1:13">
      <c r="A8" s="42" t="s">
        <v>57</v>
      </c>
      <c r="B8" s="12">
        <f>'Data Sheet'!B57</f>
        <v>0.98</v>
      </c>
      <c r="C8" s="12">
        <f>'Data Sheet'!C57</f>
        <v>0.17</v>
      </c>
      <c r="D8" s="12">
        <f>'Data Sheet'!D57</f>
        <v>0.88</v>
      </c>
      <c r="E8" s="12">
        <f>'Data Sheet'!E57</f>
        <v>0.65</v>
      </c>
      <c r="F8" s="12">
        <f>'Data Sheet'!F57</f>
        <v>0.65</v>
      </c>
      <c r="G8" s="12">
        <f>'Data Sheet'!G57</f>
        <v>0.96</v>
      </c>
      <c r="H8" s="12">
        <f>'Data Sheet'!H57</f>
        <v>0.91</v>
      </c>
      <c r="I8" s="12">
        <f>'Data Sheet'!I57</f>
        <v>1.19</v>
      </c>
      <c r="J8" s="12">
        <f>'Data Sheet'!J57</f>
        <v>0.75</v>
      </c>
      <c r="K8" s="12">
        <f>'Data Sheet'!K57</f>
        <v>0.69</v>
      </c>
    </row>
    <row r="9" spans="1:13">
      <c r="A9" s="1" t="s">
        <v>243</v>
      </c>
      <c r="B9" s="1">
        <f>'Data Sheet'!B15</f>
        <v>3.94</v>
      </c>
      <c r="C9" s="1">
        <f>'Data Sheet'!C15</f>
        <v>4.4400000000000004</v>
      </c>
      <c r="D9" s="1">
        <f>'Data Sheet'!D15</f>
        <v>5.15</v>
      </c>
      <c r="E9" s="1">
        <f>'Data Sheet'!E15</f>
        <v>7.04</v>
      </c>
      <c r="F9" s="1">
        <f>'Data Sheet'!F15</f>
        <v>4.74</v>
      </c>
      <c r="G9" s="1">
        <f>'Data Sheet'!G15</f>
        <v>6.03</v>
      </c>
      <c r="H9" s="1">
        <f>'Data Sheet'!H15</f>
        <v>7.6</v>
      </c>
      <c r="I9" s="1">
        <f>'Data Sheet'!I15</f>
        <v>7.79</v>
      </c>
      <c r="J9" s="1">
        <f>'Data Sheet'!J15</f>
        <v>9.69</v>
      </c>
      <c r="K9" s="1">
        <f>'Data Sheet'!K15</f>
        <v>10.09</v>
      </c>
      <c r="L9" s="1">
        <f>SUM(B9:K9)</f>
        <v>66.510000000000005</v>
      </c>
    </row>
  </sheetData>
  <sheetProtection selectLockedCells="1" selectUnlockedCells="1"/>
  <mergeCells count="1">
    <mergeCell ref="G1:H1"/>
  </mergeCells>
  <hyperlinks>
    <hyperlink ref="J1" r:id="rId1"/>
  </hyperlinks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2"/>
  <sheetViews>
    <sheetView topLeftCell="A21" workbookViewId="0">
      <selection activeCell="B35" sqref="B35"/>
    </sheetView>
  </sheetViews>
  <sheetFormatPr defaultColWidth="8.7109375" defaultRowHeight="15"/>
  <cols>
    <col min="1" max="1" width="31.42578125" style="43" customWidth="1"/>
    <col min="2" max="2" width="11.28515625" style="43" customWidth="1"/>
    <col min="3" max="3" width="10.42578125" style="43" customWidth="1"/>
    <col min="4" max="4" width="10.85546875" style="43" customWidth="1"/>
    <col min="5" max="5" width="10.42578125" style="43" customWidth="1"/>
    <col min="6" max="6" width="10.5703125" style="43" customWidth="1"/>
    <col min="7" max="8" width="10.42578125" style="43" customWidth="1"/>
    <col min="9" max="10" width="10.7109375" style="43" customWidth="1"/>
    <col min="11" max="11" width="11.140625" style="43" customWidth="1"/>
    <col min="12" max="12" width="14.7109375" style="43" customWidth="1"/>
    <col min="13" max="13" width="14.42578125" style="43" customWidth="1"/>
    <col min="14" max="20" width="11.140625" style="43" customWidth="1"/>
    <col min="21" max="16384" width="8.7109375" style="43"/>
  </cols>
  <sheetData>
    <row r="1" spans="1:14">
      <c r="A1" s="70" t="str">
        <f>'Data Sheet'!A1</f>
        <v>HESTER BIOSCIENCES LIMITED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4">
      <c r="A2" s="70"/>
      <c r="B2" s="135"/>
      <c r="C2" s="135"/>
      <c r="D2" s="135"/>
      <c r="E2" s="135"/>
      <c r="F2" s="135"/>
      <c r="G2" s="135"/>
      <c r="H2" s="135"/>
      <c r="I2" s="135"/>
      <c r="J2" s="135"/>
      <c r="K2" s="135"/>
      <c r="M2" s="43" t="s">
        <v>58</v>
      </c>
    </row>
    <row r="3" spans="1:14" ht="15" customHeight="1">
      <c r="A3" s="45" t="s">
        <v>59</v>
      </c>
      <c r="M3" s="43" t="s">
        <v>58</v>
      </c>
    </row>
    <row r="4" spans="1:14" ht="30" customHeight="1">
      <c r="A4" s="46"/>
      <c r="B4" s="47" t="s">
        <v>60</v>
      </c>
      <c r="C4" s="47" t="s">
        <v>61</v>
      </c>
      <c r="D4" s="46" t="s">
        <v>62</v>
      </c>
      <c r="F4" s="173" t="s">
        <v>63</v>
      </c>
      <c r="G4" s="174"/>
      <c r="H4" s="174"/>
      <c r="I4" s="174"/>
      <c r="J4" s="174"/>
      <c r="K4" s="175"/>
      <c r="M4" s="172" t="s">
        <v>64</v>
      </c>
      <c r="N4" s="172"/>
    </row>
    <row r="5" spans="1:14" ht="15" customHeight="1">
      <c r="A5" s="48" t="s">
        <v>65</v>
      </c>
      <c r="B5" s="49">
        <f>'Other Input Data'!B41-'Other Input Data'!K41</f>
        <v>68.84</v>
      </c>
      <c r="C5" s="49">
        <f>B63-K63</f>
        <v>-13.02</v>
      </c>
      <c r="D5" s="50">
        <f>C5/B5</f>
        <v>-0.18913422428820451</v>
      </c>
      <c r="F5" s="51"/>
      <c r="G5" s="52" t="s">
        <v>66</v>
      </c>
      <c r="H5" s="52" t="s">
        <v>67</v>
      </c>
      <c r="I5" s="53" t="s">
        <v>68</v>
      </c>
      <c r="J5" s="53" t="s">
        <v>69</v>
      </c>
      <c r="K5" s="53" t="s">
        <v>70</v>
      </c>
      <c r="M5" s="54" t="s">
        <v>71</v>
      </c>
      <c r="N5" s="55">
        <v>0.1</v>
      </c>
    </row>
    <row r="6" spans="1:14" ht="15" customHeight="1">
      <c r="A6" s="48" t="s">
        <v>72</v>
      </c>
      <c r="B6" s="49">
        <f>'Other Input Data'!B41-'Other Input Data'!H41</f>
        <v>42.510000000000005</v>
      </c>
      <c r="C6" s="49">
        <f>B63-H63</f>
        <v>-73.39</v>
      </c>
      <c r="D6" s="50">
        <f>C6/B6</f>
        <v>-1.7264173135732768</v>
      </c>
      <c r="F6" s="56" t="s">
        <v>73</v>
      </c>
      <c r="G6" s="57">
        <f>MIN('Profit &amp; Loss'!B16:K16)</f>
        <v>0</v>
      </c>
      <c r="H6" s="57">
        <f>MIN('Other Input Data'!B60:K60)</f>
        <v>0</v>
      </c>
      <c r="I6" s="57">
        <f>MIN('Other Input Data'!B63:K63)</f>
        <v>1.2026819923371648</v>
      </c>
      <c r="J6" s="57">
        <f>MIN('Other Input Data'!B62:K62)</f>
        <v>0</v>
      </c>
      <c r="K6" s="58" t="e">
        <f>MAX('Other Input Data'!B64:K64)</f>
        <v>#DIV/0!</v>
      </c>
      <c r="M6" s="59" t="s">
        <v>74</v>
      </c>
      <c r="N6" s="57">
        <f>('Profit &amp; Loss'!L$12/'Data Sheet'!$B$61)/N5</f>
        <v>221.76470588235293</v>
      </c>
    </row>
    <row r="7" spans="1:14" ht="15" customHeight="1">
      <c r="A7" s="48" t="s">
        <v>75</v>
      </c>
      <c r="B7" s="49">
        <f>'Other Input Data'!B41-'Other Input Data'!F41</f>
        <v>35.120000000000005</v>
      </c>
      <c r="C7" s="49">
        <f>B63-F63</f>
        <v>-50.7</v>
      </c>
      <c r="D7" s="50">
        <f>C7/B7</f>
        <v>-1.4436218678815489</v>
      </c>
      <c r="F7" s="56" t="s">
        <v>76</v>
      </c>
      <c r="G7" s="57">
        <f>MAX('Profit &amp; Loss'!B16:K16)</f>
        <v>10.483122362869198</v>
      </c>
      <c r="H7" s="57">
        <f>MAX('Other Input Data'!B60:K60)</f>
        <v>3.2520146520146525</v>
      </c>
      <c r="I7" s="57">
        <f>MAX('Other Input Data'!B63:K63)</f>
        <v>6.9253897550111354</v>
      </c>
      <c r="J7" s="57">
        <f>MAX('Other Input Data'!B62:K62)</f>
        <v>2.249157217284707</v>
      </c>
      <c r="K7" s="58" t="e">
        <f>MIN('Other Input Data'!B64:K64)</f>
        <v>#DIV/0!</v>
      </c>
      <c r="M7" s="60" t="s">
        <v>77</v>
      </c>
      <c r="N7" s="58">
        <f>('Profit &amp; Loss'!L$12/'Data Sheet'!$B$61)/'Data Sheet'!$B$63</f>
        <v>3.7587238285144563E-2</v>
      </c>
    </row>
    <row r="8" spans="1:14" ht="15" customHeight="1">
      <c r="A8" s="48" t="s">
        <v>78</v>
      </c>
      <c r="B8" s="49">
        <f>'Other Input Data'!B41-'Other Input Data'!D41</f>
        <v>15.93</v>
      </c>
      <c r="C8" s="49">
        <f>B63-D63</f>
        <v>-62.68</v>
      </c>
      <c r="D8" s="50">
        <f>C8/B8</f>
        <v>-3.9347143753923417</v>
      </c>
      <c r="F8" s="56" t="s">
        <v>79</v>
      </c>
      <c r="G8" s="57">
        <f>'Other Input Data'!$B$37/'Profit &amp; Loss'!L14</f>
        <v>34.899095337508697</v>
      </c>
      <c r="H8" s="57">
        <f>'Other Input Data'!$B$37/'Other Input Data'!B41</f>
        <v>6.6004211634640688</v>
      </c>
      <c r="I8" s="57">
        <f>('Other Input Data'!$B$37+'Other Input Data'!B42+'Other Input Data'!B43-'Other Input Data'!B8)/'Other Input Data'!B28</f>
        <v>20.417241379310347</v>
      </c>
      <c r="J8" s="57">
        <f>'Other Input Data'!$B$37/'Profit &amp; Loss'!L4</f>
        <v>5.665386353366471</v>
      </c>
      <c r="K8" s="58">
        <f>'Other Input Data'!B35/'Other Input Data'!$B$37</f>
        <v>2.8115653040877366E-3</v>
      </c>
      <c r="M8" s="53"/>
      <c r="N8" s="61"/>
    </row>
    <row r="9" spans="1:14" ht="15" customHeight="1">
      <c r="A9" s="48" t="s">
        <v>80</v>
      </c>
      <c r="B9" s="49">
        <f>'Other Input Data'!B41-'Other Input Data'!C41</f>
        <v>8.1000000000000085</v>
      </c>
      <c r="C9" s="49">
        <f>B63-C63</f>
        <v>-78.36</v>
      </c>
      <c r="D9" s="50">
        <f>C9/B9</f>
        <v>-9.6740740740740634</v>
      </c>
      <c r="F9" s="51"/>
      <c r="G9" s="62"/>
      <c r="H9" s="51"/>
      <c r="I9" s="51"/>
      <c r="J9" s="51"/>
      <c r="K9" s="51"/>
      <c r="M9" s="63" t="s">
        <v>58</v>
      </c>
      <c r="N9" s="51"/>
    </row>
    <row r="10" spans="1:14" ht="15" customHeight="1">
      <c r="A10" s="176" t="s">
        <v>81</v>
      </c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4" ht="15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</row>
    <row r="12" spans="1:14" ht="30">
      <c r="A12" s="64" t="str">
        <f>'Data Sheet'!A1</f>
        <v>HESTER BIOSCIENCES LIMITED</v>
      </c>
      <c r="B12" s="64" t="s">
        <v>82</v>
      </c>
      <c r="C12" s="65" t="s">
        <v>83</v>
      </c>
      <c r="D12" s="64" t="s">
        <v>11</v>
      </c>
      <c r="E12" s="64" t="s">
        <v>84</v>
      </c>
      <c r="F12" s="64" t="s">
        <v>85</v>
      </c>
      <c r="G12" s="64" t="s">
        <v>86</v>
      </c>
      <c r="H12" s="64" t="s">
        <v>87</v>
      </c>
      <c r="I12" s="64" t="s">
        <v>88</v>
      </c>
      <c r="J12" s="64" t="s">
        <v>89</v>
      </c>
      <c r="K12" s="64" t="s">
        <v>90</v>
      </c>
      <c r="L12" s="65" t="s">
        <v>91</v>
      </c>
    </row>
    <row r="13" spans="1:14">
      <c r="A13" s="66" t="s">
        <v>92</v>
      </c>
      <c r="B13" s="67">
        <f>POWER('Other Input Data'!B25/'Other Input Data'!K25,1/9)-1</f>
        <v>0.17447009226946864</v>
      </c>
      <c r="C13" s="68">
        <f>('Other Input Data'!B27/'Other Input Data'!K27)^(1/9)-1</f>
        <v>0.19955150198765348</v>
      </c>
      <c r="D13" s="68">
        <f>('Other Input Data'!B30/'Other Input Data'!K30)^(1/9)-1</f>
        <v>0.13402779368427642</v>
      </c>
      <c r="E13" s="69">
        <f>POWER('Other Input Data'!B34/'Other Input Data'!K34,1/9)-1</f>
        <v>0.11013863201003549</v>
      </c>
      <c r="F13" s="68">
        <f>('Other Input Data'!B35/'Other Input Data'!K35)^(1/9)-1</f>
        <v>0.16745193032392902</v>
      </c>
      <c r="G13" s="69">
        <f>POWER(B61/K61,1/9)-1</f>
        <v>3.054008450562784E-2</v>
      </c>
      <c r="H13" s="69">
        <f>POWER(B63/K63,1/9)-1</f>
        <v>-1</v>
      </c>
      <c r="I13" s="68">
        <f>('Other Input Data'!B52/'Other Input Data'!K52)^(1/9)-1</f>
        <v>0.19412671566519046</v>
      </c>
      <c r="J13" s="68">
        <f>('Other Input Data'!B53/'Other Input Data'!K53)^(1/9)-1</f>
        <v>-1.8042522945252968</v>
      </c>
      <c r="K13" s="68">
        <f>('Other Input Data'!B41/'Other Input Data'!K41)^(1/9)-1</f>
        <v>0.300502618089596</v>
      </c>
      <c r="L13" s="68">
        <f>('Other Input Data'!B57/'Other Input Data'!K57)^(1/9)-1</f>
        <v>-0.22114934497286176</v>
      </c>
    </row>
    <row r="14" spans="1:14">
      <c r="A14" s="66" t="s">
        <v>93</v>
      </c>
      <c r="B14" s="67">
        <f>POWER('Other Input Data'!B25/'Other Input Data'!F25,1/4)-1</f>
        <v>0.1646522757072042</v>
      </c>
      <c r="C14" s="68">
        <f>('Other Input Data'!B27/'Other Input Data'!F27)^(1/4)-1</f>
        <v>0.19970154854254996</v>
      </c>
      <c r="D14" s="68">
        <f>('Other Input Data'!B30/'Other Input Data'!F30)^(1/4)-1</f>
        <v>0.14702768467951133</v>
      </c>
      <c r="E14" s="69">
        <f>POWER('Other Input Data'!B34/'Other Input Data'!F34,1/4)-1</f>
        <v>0.13734824949558044</v>
      </c>
      <c r="F14" s="68">
        <f>('Other Input Data'!B35/'Other Input Data'!F35)^(1/4)-1</f>
        <v>2.0513936770663266E-2</v>
      </c>
      <c r="G14" s="69">
        <f>POWER(B61/F61,1/4)-1</f>
        <v>0.24489445666805576</v>
      </c>
      <c r="H14" s="69">
        <f>POWER(B63/F63,1/4)-1</f>
        <v>-1</v>
      </c>
      <c r="I14" s="68">
        <f>('Other Input Data'!B52/'Other Input Data'!F52)^(1/4)-1</f>
        <v>-7.059228277009455E-2</v>
      </c>
      <c r="J14" s="68" t="e">
        <f>('Other Input Data'!B53/'Other Input Data'!F53)^(1/4)-1</f>
        <v>#NUM!</v>
      </c>
      <c r="K14" s="68">
        <f>('Other Input Data'!B41/'Other Input Data'!F41)^(1/4)-1</f>
        <v>0.16775095661234096</v>
      </c>
      <c r="L14" s="68">
        <f>('Other Input Data'!B57/'Other Input Data'!F57)^(1/4)-1</f>
        <v>-0.59420756889373139</v>
      </c>
    </row>
    <row r="15" spans="1:14">
      <c r="A15" s="66" t="s">
        <v>94</v>
      </c>
      <c r="B15" s="67">
        <f>POWER('Other Input Data'!B25/'Other Input Data'!D25,1/2)-1</f>
        <v>0.19989226650118086</v>
      </c>
      <c r="C15" s="68">
        <f>('Other Input Data'!B27/'Other Input Data'!D27)^(1/2)-1</f>
        <v>0.24508768519751967</v>
      </c>
      <c r="D15" s="68">
        <f>('Other Input Data'!B30/'Other Input Data'!D30)^(1/2)-1</f>
        <v>0.17412783842790747</v>
      </c>
      <c r="E15" s="69">
        <f>POWER('Other Input Data'!B34/'Other Input Data'!D34,1/2)-1</f>
        <v>0.13809064705947827</v>
      </c>
      <c r="F15" s="68">
        <f>('Other Input Data'!B35/'Other Input Data'!D35)^(1/2)-1</f>
        <v>0.71391365010026098</v>
      </c>
      <c r="G15" s="69">
        <f>POWER(B61/D61,1/2)-1</f>
        <v>0.30078286373238994</v>
      </c>
      <c r="H15" s="69">
        <f>POWER(B63/D63,1/2)-1</f>
        <v>-1</v>
      </c>
      <c r="I15" s="68">
        <f>('Other Input Data'!B52/'Other Input Data'!D52)^(1/2)-1</f>
        <v>-0.10407394036061046</v>
      </c>
      <c r="J15" s="68" t="e">
        <f>('Other Input Data'!B53/'Other Input Data'!D53)^(1/2)-1</f>
        <v>#NUM!</v>
      </c>
      <c r="K15" s="68">
        <f>('Other Input Data'!B41/'Other Input Data'!D41)^(1/2)-1</f>
        <v>0.12484618247184454</v>
      </c>
      <c r="L15" s="68">
        <f>('Other Input Data'!B57/'Other Input Data'!D57)^(1/2)-1</f>
        <v>-0.85058696222170549</v>
      </c>
    </row>
    <row r="16" spans="1:14">
      <c r="A16" s="66" t="s">
        <v>95</v>
      </c>
      <c r="B16" s="67">
        <f>('Other Input Data'!B25-'Other Input Data'!C25)/'Other Input Data'!C25</f>
        <v>6.0675883256528465E-2</v>
      </c>
      <c r="C16" s="68">
        <f>('Other Input Data'!B27-'Other Input Data'!C27)/'Other Input Data'!C27</f>
        <v>0.1612695689470299</v>
      </c>
      <c r="D16" s="68">
        <f>('Other Input Data'!B30-'Other Input Data'!C30)/'Other Input Data'!C30</f>
        <v>0.1353424657534246</v>
      </c>
      <c r="E16" s="69">
        <f>('Other Input Data'!B34-'Other Input Data'!C34)/'Other Input Data'!C34</f>
        <v>4.1279669762641941E-2</v>
      </c>
      <c r="F16" s="68">
        <f>('Other Input Data'!B35-'Other Input Data'!C35)/'Other Input Data'!C35</f>
        <v>0</v>
      </c>
      <c r="G16" s="69">
        <f>(B61-C61)/C61</f>
        <v>0.33521698217218937</v>
      </c>
      <c r="H16" s="69">
        <f>(B63-C63)/C63</f>
        <v>-1</v>
      </c>
      <c r="I16" s="68">
        <f>('Other Input Data'!B52-'Other Input Data'!C52)/'Other Input Data'!C52</f>
        <v>-0.2421758569299553</v>
      </c>
      <c r="J16" s="68">
        <f>('Other Input Data'!B53-'Other Input Data'!C53)/'Other Input Data'!C53</f>
        <v>-0.95791001451378854</v>
      </c>
      <c r="K16" s="68">
        <f>('Other Input Data'!B41-'Other Input Data'!C41)/'Other Input Data'!C41</f>
        <v>0.11932822628167368</v>
      </c>
      <c r="L16" s="68">
        <f>('Other Input Data'!B57-'Other Input Data'!C57)/'Other Input Data'!C57</f>
        <v>-0.98232418202331706</v>
      </c>
    </row>
    <row r="17" spans="1:13">
      <c r="A17" s="70"/>
      <c r="B17" s="71"/>
    </row>
    <row r="18" spans="1:13">
      <c r="A18" s="64" t="str">
        <f>'Data Sheet'!A1</f>
        <v>HESTER BIOSCIENCES LIMITED</v>
      </c>
      <c r="B18" s="72">
        <f>'Other Input Data'!B24</f>
        <v>41729</v>
      </c>
      <c r="C18" s="72">
        <f>'Other Input Data'!C24</f>
        <v>41364</v>
      </c>
      <c r="D18" s="72">
        <f>'Other Input Data'!D24</f>
        <v>40999</v>
      </c>
      <c r="E18" s="72">
        <f>'Other Input Data'!E24</f>
        <v>40633</v>
      </c>
      <c r="F18" s="72">
        <f>'Other Input Data'!F24</f>
        <v>40268</v>
      </c>
      <c r="G18" s="72">
        <f>'Other Input Data'!G24</f>
        <v>39903</v>
      </c>
      <c r="H18" s="72">
        <f>'Other Input Data'!H24</f>
        <v>39538</v>
      </c>
      <c r="I18" s="72">
        <f>'Other Input Data'!I24</f>
        <v>39172</v>
      </c>
      <c r="J18" s="72">
        <f>'Other Input Data'!J24</f>
        <v>38807</v>
      </c>
      <c r="K18" s="72">
        <f>'Other Input Data'!K24</f>
        <v>38442</v>
      </c>
      <c r="M18" s="43" t="s">
        <v>96</v>
      </c>
    </row>
    <row r="19" spans="1:13">
      <c r="A19" s="66" t="s">
        <v>97</v>
      </c>
      <c r="B19" s="73">
        <f>'Other Input Data'!B50/('Other Input Data'!B39+'Other Input Data'!B40)</f>
        <v>1.4270860752829693</v>
      </c>
      <c r="C19" s="73">
        <f>'Other Input Data'!C50/('Other Input Data'!C39+'Other Input Data'!C40)</f>
        <v>1.316440777843253</v>
      </c>
      <c r="D19" s="73">
        <f>'Other Input Data'!D50/('Other Input Data'!D39+'Other Input Data'!D40)</f>
        <v>1.2334721065778516</v>
      </c>
      <c r="E19" s="73">
        <f>'Other Input Data'!E50/('Other Input Data'!E39+'Other Input Data'!E40)</f>
        <v>1.4954682779456194</v>
      </c>
      <c r="F19" s="73">
        <f>'Other Input Data'!F50/('Other Input Data'!F39+'Other Input Data'!F40)</f>
        <v>1.4931473323543807</v>
      </c>
      <c r="G19" s="73">
        <f>'Other Input Data'!G50/('Other Input Data'!G39+'Other Input Data'!G40)</f>
        <v>1.5121418826739428</v>
      </c>
      <c r="H19" s="73">
        <f>'Other Input Data'!H50/('Other Input Data'!H39+'Other Input Data'!H40)</f>
        <v>1.6017328951299672</v>
      </c>
      <c r="I19" s="73">
        <f>'Other Input Data'!I50/('Other Input Data'!I39+'Other Input Data'!I40)</f>
        <v>1.7999999999999998</v>
      </c>
      <c r="J19" s="73">
        <f>'Other Input Data'!J50/('Other Input Data'!J39+'Other Input Data'!J40)</f>
        <v>1.1238095238095238</v>
      </c>
      <c r="K19" s="73">
        <f>'Other Input Data'!K50/('Other Input Data'!K39+'Other Input Data'!K40)</f>
        <v>1.4229691876750701</v>
      </c>
      <c r="L19" s="43" t="s">
        <v>58</v>
      </c>
    </row>
    <row r="20" spans="1:13">
      <c r="A20" s="66" t="s">
        <v>98</v>
      </c>
      <c r="B20" s="73">
        <f>('Other Input Data'!B42+'Other Input Data'!B43)/'Other Input Data'!B34</f>
        <v>3.2160555004955405</v>
      </c>
      <c r="C20" s="73">
        <f>('Other Input Data'!C42+'Other Input Data'!C43)/'Other Input Data'!C34</f>
        <v>2.2167182662538703</v>
      </c>
      <c r="D20" s="73">
        <f>('Other Input Data'!D42+'Other Input Data'!D43)/'Other Input Data'!D34</f>
        <v>1.7997432605905006</v>
      </c>
      <c r="E20" s="73">
        <f>('Other Input Data'!E42+'Other Input Data'!E43)/'Other Input Data'!E34</f>
        <v>2.8052631578947369</v>
      </c>
      <c r="F20" s="73">
        <f>('Other Input Data'!F42+'Other Input Data'!F43)/'Other Input Data'!F34</f>
        <v>3.3416252072968486</v>
      </c>
      <c r="G20" s="73">
        <f>('Other Input Data'!G42+'Other Input Data'!G43)/'Other Input Data'!G34</f>
        <v>3.9599156118143459</v>
      </c>
      <c r="H20" s="73">
        <f>('Other Input Data'!H42+'Other Input Data'!H43)/'Other Input Data'!H34</f>
        <v>2.8607954545454546</v>
      </c>
      <c r="I20" s="73">
        <f>('Other Input Data'!I42+'Other Input Data'!I43)/'Other Input Data'!I34</f>
        <v>4.3417475728155335</v>
      </c>
      <c r="J20" s="73">
        <f>('Other Input Data'!J42+'Other Input Data'!J43)/'Other Input Data'!J34</f>
        <v>0.38063063063063057</v>
      </c>
      <c r="K20" s="73">
        <f>('Other Input Data'!K42+'Other Input Data'!K43)/'Other Input Data'!K34</f>
        <v>0.40862944162436549</v>
      </c>
    </row>
    <row r="21" spans="1:13">
      <c r="A21" s="66" t="s">
        <v>99</v>
      </c>
      <c r="B21" s="73">
        <f>'Other Input Data'!B10/'Other Input Data'!B34</f>
        <v>2.0208126858275519</v>
      </c>
      <c r="C21" s="73">
        <f>'Other Input Data'!C10/'Other Input Data'!C34</f>
        <v>2.6150670794633646</v>
      </c>
      <c r="D21" s="73">
        <f>'Other Input Data'!D10/'Other Input Data'!D34</f>
        <v>2.2952503209242616</v>
      </c>
      <c r="E21" s="73">
        <f>'Other Input Data'!E10/'Other Input Data'!E34</f>
        <v>2.6013157894736842</v>
      </c>
      <c r="F21" s="73">
        <f>'Other Input Data'!F10/'Other Input Data'!F34</f>
        <v>3.3134328358208953</v>
      </c>
      <c r="G21" s="73">
        <f>'Other Input Data'!G10/'Other Input Data'!G34</f>
        <v>4.5886075949367084</v>
      </c>
      <c r="H21" s="73">
        <f>'Other Input Data'!H10/'Other Input Data'!H34</f>
        <v>2.4048295454545454</v>
      </c>
      <c r="I21" s="73">
        <f>'Other Input Data'!I10/'Other Input Data'!I34</f>
        <v>2.9553398058252425</v>
      </c>
      <c r="J21" s="73">
        <v>0</v>
      </c>
      <c r="K21" s="73">
        <v>0</v>
      </c>
    </row>
    <row r="22" spans="1:13">
      <c r="A22" s="66" t="s">
        <v>100</v>
      </c>
      <c r="B22" s="73">
        <f>('Other Input Data'!B42+'Other Input Data'!B43+'Other Input Data'!B10)/'Other Input Data'!B34</f>
        <v>5.2368681863230924</v>
      </c>
      <c r="C22" s="73">
        <f>('Other Input Data'!C42+'Other Input Data'!C43+'Other Input Data'!C10)/'Other Input Data'!C34</f>
        <v>4.8317853457172344</v>
      </c>
      <c r="D22" s="73">
        <f>('Other Input Data'!D42+'Other Input Data'!D43+'Other Input Data'!D10)/'Other Input Data'!D34</f>
        <v>4.0949935815147622</v>
      </c>
      <c r="E22" s="73">
        <f>('Other Input Data'!E42+'Other Input Data'!E43+'Other Input Data'!E10)/'Other Input Data'!E34</f>
        <v>5.4065789473684216</v>
      </c>
      <c r="F22" s="73">
        <f>('Other Input Data'!F42+'Other Input Data'!F43+'Other Input Data'!F10)/'Other Input Data'!F34</f>
        <v>6.6550580431177435</v>
      </c>
      <c r="G22" s="73">
        <f>('Other Input Data'!G42+'Other Input Data'!G43+'Other Input Data'!G10)/'Other Input Data'!G34</f>
        <v>8.548523206751053</v>
      </c>
      <c r="H22" s="73">
        <f>('Other Input Data'!H42+'Other Input Data'!H43+'Other Input Data'!H10)/'Other Input Data'!H34</f>
        <v>5.265625</v>
      </c>
      <c r="I22" s="73">
        <f>('Other Input Data'!I42+'Other Input Data'!I43+'Other Input Data'!I10)/'Other Input Data'!I34</f>
        <v>7.2970873786407759</v>
      </c>
      <c r="J22" s="73">
        <f>('Other Input Data'!J42+'Other Input Data'!J43+'Other Input Data'!J10)/'Other Input Data'!J34</f>
        <v>1.9864864864864864</v>
      </c>
      <c r="K22" s="73">
        <f>('Other Input Data'!K42+'Other Input Data'!K43+'Other Input Data'!K10)/'Other Input Data'!K34</f>
        <v>2.078680203045685</v>
      </c>
      <c r="L22" s="74"/>
    </row>
    <row r="23" spans="1:13">
      <c r="A23" s="75" t="s">
        <v>101</v>
      </c>
      <c r="B23" s="73">
        <f>('Other Input Data'!B42+'Other Input Data'!B43)/('Other Input Data'!B39+'Other Input Data'!B40)</f>
        <v>0.42708607528296921</v>
      </c>
      <c r="C23" s="73">
        <f>('Other Input Data'!C42+'Other Input Data'!C43)/('Other Input Data'!C39+'Other Input Data'!C40)</f>
        <v>0.31644077784325281</v>
      </c>
      <c r="D23" s="73">
        <f>('Other Input Data'!D42+'Other Input Data'!D43)/('Other Input Data'!D39+'Other Input Data'!D40)</f>
        <v>0.23347210657785178</v>
      </c>
      <c r="E23" s="73">
        <f>('Other Input Data'!E42+'Other Input Data'!E43)/('Other Input Data'!E39+'Other Input Data'!E40)</f>
        <v>0.4600776866637894</v>
      </c>
      <c r="F23" s="73">
        <f>('Other Input Data'!F42+'Other Input Data'!F43)/('Other Input Data'!F39+'Other Input Data'!F40)</f>
        <v>0.4931473323543808</v>
      </c>
      <c r="G23" s="73">
        <f>('Other Input Data'!G42+'Other Input Data'!G43)/('Other Input Data'!G39+'Other Input Data'!G40)</f>
        <v>0.51214188267394267</v>
      </c>
      <c r="H23" s="73">
        <f>('Other Input Data'!H42+'Other Input Data'!H43)/('Other Input Data'!H39+'Other Input Data'!H40)</f>
        <v>0.60173289512996719</v>
      </c>
      <c r="I23" s="73">
        <f>('Other Input Data'!I42+'Other Input Data'!I43)/('Other Input Data'!I39+'Other Input Data'!I40)</f>
        <v>0.79999999999999993</v>
      </c>
      <c r="J23" s="73">
        <f>('Other Input Data'!J42+'Other Input Data'!J43)/('Other Input Data'!J39+'Other Input Data'!J40)</f>
        <v>0.12380952380952381</v>
      </c>
      <c r="K23" s="73">
        <f>('Other Input Data'!K42+'Other Input Data'!K43)/('Other Input Data'!K39+'Other Input Data'!K40)</f>
        <v>0.2254901960784314</v>
      </c>
    </row>
    <row r="24" spans="1:13">
      <c r="A24" s="75" t="s">
        <v>102</v>
      </c>
      <c r="B24" s="73">
        <f>'Other Input Data'!B30/'Other Input Data'!B31</f>
        <v>3.2223950233281493</v>
      </c>
      <c r="C24" s="73">
        <f>'Other Input Data'!C30/'Other Input Data'!C31</f>
        <v>5.6677018633540373</v>
      </c>
      <c r="D24" s="73">
        <f>'Other Input Data'!D30/'Other Input Data'!D31</f>
        <v>5.3109540636042398</v>
      </c>
      <c r="E24" s="73">
        <f>'Other Input Data'!E30/'Other Input Data'!E31</f>
        <v>5.4189723320158114</v>
      </c>
      <c r="F24" s="73">
        <f>'Other Input Data'!F30/'Other Input Data'!F31</f>
        <v>5.0720338983050857</v>
      </c>
      <c r="G24" s="73">
        <f>'Other Input Data'!G30/'Other Input Data'!G31</f>
        <v>3.8235294117647061</v>
      </c>
      <c r="H24" s="73">
        <f>'Other Input Data'!H30/'Other Input Data'!H31</f>
        <v>5.0867924528301893</v>
      </c>
      <c r="I24" s="73">
        <f>'Other Input Data'!I30/'Other Input Data'!I31</f>
        <v>12.2</v>
      </c>
      <c r="J24" s="73">
        <f>'Other Input Data'!J30/'Other Input Data'!J31</f>
        <v>33.192307692307693</v>
      </c>
      <c r="K24" s="73">
        <f>'Other Input Data'!K30/'Other Input Data'!K31</f>
        <v>27.833333333333332</v>
      </c>
    </row>
    <row r="25" spans="1:13" s="45" customFormat="1">
      <c r="A25" s="66" t="s">
        <v>103</v>
      </c>
      <c r="B25" s="76">
        <f>'Other Input Data'!B46/'Other Input Data'!B25</f>
        <v>0.59319333816075315</v>
      </c>
      <c r="C25" s="76">
        <f>'Other Input Data'!C46/'Other Input Data'!C25</f>
        <v>0.42734254992319515</v>
      </c>
      <c r="D25" s="76">
        <f>'Other Input Data'!D46/'Other Input Data'!D25</f>
        <v>0.59904086738949125</v>
      </c>
      <c r="E25" s="76">
        <f>'Other Input Data'!E46/'Other Input Data'!E25</f>
        <v>0.65737431498689547</v>
      </c>
      <c r="F25" s="76">
        <f>'Other Input Data'!F46/'Other Input Data'!F25</f>
        <v>0.56434852118305356</v>
      </c>
      <c r="G25" s="76">
        <f>'Other Input Data'!G46/'Other Input Data'!G25</f>
        <v>0.49336870026525204</v>
      </c>
      <c r="H25" s="76">
        <f>'Other Input Data'!H46/'Other Input Data'!H25</f>
        <v>0.38951884768617834</v>
      </c>
      <c r="I25" s="76">
        <f>'Other Input Data'!I46/'Other Input Data'!I25</f>
        <v>0.68117269812185066</v>
      </c>
      <c r="J25" s="76">
        <f>'Other Input Data'!J46/'Other Input Data'!J25</f>
        <v>0.41161866931479635</v>
      </c>
      <c r="K25" s="76">
        <f>'Other Input Data'!K46/'Other Input Data'!K25</f>
        <v>0.34421182266009853</v>
      </c>
    </row>
    <row r="26" spans="1:13" s="45" customFormat="1">
      <c r="A26" s="66" t="s">
        <v>47</v>
      </c>
      <c r="B26" s="77">
        <f>'Other Input Data'!B7/'Other Input Data'!B25*365</f>
        <v>74.321506154960176</v>
      </c>
      <c r="C26" s="77">
        <f>'Other Input Data'!C7/'Other Input Data'!C25*365</f>
        <v>84.325652841781874</v>
      </c>
      <c r="D26" s="77">
        <f>'Other Input Data'!D7/'Other Input Data'!D25*365</f>
        <v>109.28690575479567</v>
      </c>
      <c r="E26" s="77">
        <f>'Other Input Data'!E7/'Other Input Data'!E25*365</f>
        <v>114.97021682153921</v>
      </c>
      <c r="F26" s="77">
        <f>'Other Input Data'!F7/'Other Input Data'!F25*365</f>
        <v>107.17559285904608</v>
      </c>
      <c r="G26" s="77">
        <f>'Other Input Data'!G7/'Other Input Data'!G25*365</f>
        <v>149.34018567639257</v>
      </c>
      <c r="H26" s="77">
        <f>'Other Input Data'!H7/'Other Input Data'!H25*365</f>
        <v>118.46000612932882</v>
      </c>
      <c r="I26" s="77">
        <f>'Other Input Data'!I7/'Other Input Data'!I25*365</f>
        <v>161.6834631241411</v>
      </c>
      <c r="J26" s="77">
        <f>'Other Input Data'!J7/'Other Input Data'!J25*365</f>
        <v>153.50297914597817</v>
      </c>
      <c r="K26" s="77">
        <f>'Other Input Data'!K7/'Other Input Data'!K25*365</f>
        <v>172.38608374384236</v>
      </c>
    </row>
    <row r="27" spans="1:13" s="45" customFormat="1">
      <c r="A27" s="66" t="s">
        <v>104</v>
      </c>
      <c r="B27" s="77">
        <f>'Other Input Data'!B6/'Other Input Data'!B15*365</f>
        <v>871.83557046979865</v>
      </c>
      <c r="C27" s="77">
        <f>'Other Input Data'!C6/'Other Input Data'!C15*365</f>
        <v>614.59122902003253</v>
      </c>
      <c r="D27" s="77">
        <f>'Other Input Data'!D6/'Other Input Data'!D15*365</f>
        <v>772.01841903300078</v>
      </c>
      <c r="E27" s="77">
        <f>'Other Input Data'!E6/'Other Input Data'!E15*365</f>
        <v>635.31849577897162</v>
      </c>
      <c r="F27" s="77">
        <f>'Other Input Data'!F6/'Other Input Data'!F15*365</f>
        <v>543.49429323968388</v>
      </c>
      <c r="G27" s="77">
        <f>'Other Input Data'!G6/'Other Input Data'!G15*365</f>
        <v>510.04176610978521</v>
      </c>
      <c r="H27" s="77">
        <f>'Other Input Data'!H6/'Other Input Data'!H15*365</f>
        <v>321.4384422110553</v>
      </c>
      <c r="I27" s="77">
        <f>'Other Input Data'!I6/'Other Input Data'!I15*365</f>
        <v>221.84531059683314</v>
      </c>
      <c r="J27" s="77">
        <f>'Other Input Data'!J6/'Other Input Data'!J15*365</f>
        <v>177.02821869488537</v>
      </c>
      <c r="K27" s="77">
        <f>'Other Input Data'!K6/'Other Input Data'!K15*365</f>
        <v>129.12434325744309</v>
      </c>
    </row>
    <row r="28" spans="1:13" s="45" customFormat="1">
      <c r="A28" s="66" t="s">
        <v>105</v>
      </c>
      <c r="B28" s="73">
        <f t="shared" ref="B28:K28" si="0">365/B27</f>
        <v>0.41865692610283789</v>
      </c>
      <c r="C28" s="73">
        <f t="shared" si="0"/>
        <v>0.59389067524115746</v>
      </c>
      <c r="D28" s="73">
        <f t="shared" si="0"/>
        <v>0.47278664731494918</v>
      </c>
      <c r="E28" s="73">
        <f t="shared" si="0"/>
        <v>0.57451499118165783</v>
      </c>
      <c r="F28" s="73">
        <f t="shared" si="0"/>
        <v>0.67158018867924529</v>
      </c>
      <c r="G28" s="73">
        <f t="shared" si="0"/>
        <v>0.71562766865926553</v>
      </c>
      <c r="H28" s="73">
        <f t="shared" si="0"/>
        <v>1.1355206847360912</v>
      </c>
      <c r="I28" s="73">
        <f t="shared" si="0"/>
        <v>1.6452905811623246</v>
      </c>
      <c r="J28" s="73">
        <f t="shared" si="0"/>
        <v>2.0618181818181816</v>
      </c>
      <c r="K28" s="73">
        <f t="shared" si="0"/>
        <v>2.8267326732673266</v>
      </c>
    </row>
    <row r="29" spans="1:13" s="45" customFormat="1">
      <c r="A29" s="66" t="s">
        <v>106</v>
      </c>
      <c r="B29" s="73">
        <f>('Other Input Data'!B7+'Other Input Data'!B8)/'Other Input Data'!B10</f>
        <v>0.74153997057381071</v>
      </c>
      <c r="C29" s="73">
        <f>('Other Input Data'!C7+'Other Input Data'!C8)/'Other Input Data'!C10</f>
        <v>0.63614838200473545</v>
      </c>
      <c r="D29" s="73">
        <f>('Other Input Data'!D7+'Other Input Data'!D8)/'Other Input Data'!D10</f>
        <v>0.86968680089485462</v>
      </c>
      <c r="E29" s="73">
        <f>('Other Input Data'!E7+'Other Input Data'!E8)/'Other Input Data'!E10</f>
        <v>0.70055639858371277</v>
      </c>
      <c r="F29" s="73">
        <f>('Other Input Data'!F7+'Other Input Data'!F8)/'Other Input Data'!F10</f>
        <v>0.58658658658658647</v>
      </c>
      <c r="G29" s="73">
        <f>('Other Input Data'!G7+'Other Input Data'!G8)/'Other Input Data'!G10</f>
        <v>0.58666666666666667</v>
      </c>
      <c r="H29" s="73">
        <f>('Other Input Data'!H7+'Other Input Data'!H8)/'Other Input Data'!H10</f>
        <v>0.65209686946249257</v>
      </c>
      <c r="I29" s="73">
        <f>('Other Input Data'!I7+'Other Input Data'!I8)/'Other Input Data'!I10</f>
        <v>0.68265440210249673</v>
      </c>
      <c r="J29" s="73">
        <f>('Other Input Data'!J7+'Other Input Data'!J8)/'Other Input Data'!J10</f>
        <v>1.2117812061711082</v>
      </c>
      <c r="K29" s="73">
        <f>('Other Input Data'!K7+'Other Input Data'!K8)/'Other Input Data'!K10</f>
        <v>1.2036474164133739</v>
      </c>
      <c r="M29" s="45" t="s">
        <v>107</v>
      </c>
    </row>
    <row r="30" spans="1:13" s="45" customFormat="1">
      <c r="A30" s="66" t="s">
        <v>108</v>
      </c>
      <c r="B30" s="73">
        <f>'Other Input Data'!B9/'Other Input Data'!B10</f>
        <v>3.0093182932810199</v>
      </c>
      <c r="C30" s="73">
        <f>'Other Input Data'!C9/'Other Input Data'!C10</f>
        <v>2.0974743488555645</v>
      </c>
      <c r="D30" s="73">
        <f>'Other Input Data'!D9/'Other Input Data'!D10</f>
        <v>2.6062639821029085</v>
      </c>
      <c r="E30" s="73">
        <f>'Other Input Data'!E9/'Other Input Data'!E10</f>
        <v>2.3960546282245825</v>
      </c>
      <c r="F30" s="73">
        <f>'Other Input Data'!F9/'Other Input Data'!F10</f>
        <v>2.0595595595595593</v>
      </c>
      <c r="G30" s="73">
        <f>'Other Input Data'!G9/'Other Input Data'!G10</f>
        <v>1.6841379310344828</v>
      </c>
      <c r="H30" s="73">
        <f>'Other Input Data'!H9/'Other Input Data'!H10</f>
        <v>1.7501476668635558</v>
      </c>
      <c r="I30" s="73">
        <f>'Other Input Data'!I9/'Other Input Data'!I10</f>
        <v>1.97634691195795</v>
      </c>
      <c r="J30" s="73">
        <f>'Other Input Data'!J9/'Other Input Data'!J10</f>
        <v>2.161290322580645</v>
      </c>
      <c r="K30" s="73">
        <f>'Other Input Data'!K9/'Other Input Data'!K10</f>
        <v>1.8495440729483283</v>
      </c>
      <c r="L30" s="45" t="s">
        <v>58</v>
      </c>
    </row>
    <row r="31" spans="1:13" s="45" customFormat="1">
      <c r="A31" s="78" t="s">
        <v>109</v>
      </c>
      <c r="B31" s="73">
        <f>'Other Input Data'!B52/'Other Input Data'!B34</f>
        <v>1.0079286422200198</v>
      </c>
      <c r="C31" s="73">
        <f>'Other Input Data'!C52/'Other Input Data'!C34</f>
        <v>1.3849329205366359</v>
      </c>
      <c r="D31" s="73">
        <f>'Other Input Data'!D52/'Other Input Data'!D34</f>
        <v>1.6264441591784338</v>
      </c>
      <c r="E31" s="73">
        <f>'Other Input Data'!E52/'Other Input Data'!E34</f>
        <v>1.7144736842105264</v>
      </c>
      <c r="F31" s="73">
        <f>'Other Input Data'!F52/'Other Input Data'!F34</f>
        <v>2.2603648424543947</v>
      </c>
      <c r="G31" s="73">
        <f>'Other Input Data'!G52/'Other Input Data'!G34</f>
        <v>1.6392405063291138</v>
      </c>
      <c r="H31" s="73">
        <f>'Other Input Data'!H52/'Other Input Data'!H34</f>
        <v>1.3991477272727273</v>
      </c>
      <c r="I31" s="73">
        <f>'Other Input Data'!I52/'Other Input Data'!I34</f>
        <v>2.2834951456310679</v>
      </c>
      <c r="J31" s="73">
        <f>'Other Input Data'!J52/'Other Input Data'!J34</f>
        <v>1.0675675675675675</v>
      </c>
      <c r="K31" s="73">
        <f>'Other Input Data'!K52/'Other Input Data'!K34</f>
        <v>0.52284263959390864</v>
      </c>
    </row>
    <row r="32" spans="1:13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43" t="s">
        <v>58</v>
      </c>
    </row>
    <row r="33" spans="1:14">
      <c r="A33" s="79" t="s">
        <v>110</v>
      </c>
      <c r="B33" s="80">
        <f>'Other Input Data'!B27/'Other Input Data'!B25</f>
        <v>0.78421433743664015</v>
      </c>
      <c r="C33" s="80">
        <f>'Other Input Data'!C27/'Other Input Data'!C25</f>
        <v>0.71628264208909365</v>
      </c>
      <c r="D33" s="80">
        <f>'Other Input Data'!D27/'Other Input Data'!D25</f>
        <v>0.72831526271893243</v>
      </c>
      <c r="E33" s="80">
        <f>'Other Input Data'!E27/'Other Input Data'!E25</f>
        <v>0.68954014772456518</v>
      </c>
      <c r="F33" s="80">
        <f>'Other Input Data'!F27/'Other Input Data'!F25</f>
        <v>0.69650945909938711</v>
      </c>
      <c r="G33" s="80">
        <f>'Other Input Data'!G27/'Other Input Data'!G25</f>
        <v>0.72214854111405835</v>
      </c>
      <c r="H33" s="80">
        <f>'Other Input Data'!H27/'Other Input Data'!H25</f>
        <v>0.75605271222801107</v>
      </c>
      <c r="I33" s="80">
        <f>'Other Input Data'!I27/'Other Input Data'!I25</f>
        <v>0.62391204764086117</v>
      </c>
      <c r="J33" s="80">
        <f>'Other Input Data'!J27/'Other Input Data'!J25</f>
        <v>0.71847070506454813</v>
      </c>
      <c r="K33" s="80">
        <f>'Other Input Data'!K27/'Other Input Data'!K25</f>
        <v>0.64839901477832507</v>
      </c>
      <c r="L33" s="81"/>
      <c r="M33" s="81"/>
      <c r="N33" s="81"/>
    </row>
    <row r="34" spans="1:14">
      <c r="A34" s="66" t="s">
        <v>111</v>
      </c>
      <c r="B34" s="67">
        <f>'Other Input Data'!B28/'Other Input Data'!B25</f>
        <v>0.37798696596669085</v>
      </c>
      <c r="C34" s="67">
        <f>'Other Input Data'!C28/'Other Input Data'!C25</f>
        <v>0.34777265745007685</v>
      </c>
      <c r="D34" s="67">
        <f>'Other Input Data'!D28/'Other Input Data'!D25</f>
        <v>0.39929107589658047</v>
      </c>
      <c r="E34" s="67">
        <f>'Other Input Data'!E28/'Other Input Data'!E25</f>
        <v>0.4334048129616393</v>
      </c>
      <c r="F34" s="67">
        <f>'Other Input Data'!F28/'Other Input Data'!F25</f>
        <v>0.43165467625899279</v>
      </c>
      <c r="G34" s="67">
        <f>'Other Input Data'!G28/'Other Input Data'!G25</f>
        <v>0.4937002652519894</v>
      </c>
      <c r="H34" s="67">
        <f>'Other Input Data'!H28/'Other Input Data'!H25</f>
        <v>0.52589641434262946</v>
      </c>
      <c r="I34" s="67">
        <f>'Other Input Data'!I28/'Other Input Data'!I25</f>
        <v>0.41136051305542837</v>
      </c>
      <c r="J34" s="67">
        <f>'Other Input Data'!J28/'Other Input Data'!J25</f>
        <v>0.4458788480635551</v>
      </c>
      <c r="K34" s="67">
        <f>'Other Input Data'!K28/'Other Input Data'!K25</f>
        <v>0.43103448275862072</v>
      </c>
      <c r="L34" s="81"/>
      <c r="M34" s="81"/>
      <c r="N34" s="81"/>
    </row>
    <row r="35" spans="1:14">
      <c r="A35" s="66" t="s">
        <v>241</v>
      </c>
      <c r="B35" s="67">
        <f>'Profit &amp; Loss'!K21</f>
        <v>0.36683562635771177</v>
      </c>
      <c r="C35" s="67">
        <f>'Profit &amp; Loss'!J21</f>
        <v>0.34423963133640556</v>
      </c>
      <c r="D35" s="67">
        <f>'Profit &amp; Loss'!I21</f>
        <v>0.39428690575479564</v>
      </c>
      <c r="E35" s="67">
        <f>'Profit &amp; Loss'!H21</f>
        <v>0.43030736240171547</v>
      </c>
      <c r="F35" s="67">
        <f>'Profit &amp; Loss'!G21</f>
        <v>0.42952304822808424</v>
      </c>
      <c r="G35" s="67">
        <f>'Profit &amp; Loss'!F21</f>
        <v>0.49171087533156499</v>
      </c>
      <c r="H35" s="67">
        <f>'Profit &amp; Loss'!E21</f>
        <v>0.52129941771376032</v>
      </c>
      <c r="I35" s="67">
        <f>'Profit &amp; Loss'!D21</f>
        <v>0.39945029775538254</v>
      </c>
      <c r="J35" s="67">
        <f>'Profit &amp; Loss'!C21</f>
        <v>0.44438927507447862</v>
      </c>
      <c r="K35" s="67">
        <f>'Profit &amp; Loss'!B21</f>
        <v>0.4285714285714286</v>
      </c>
      <c r="L35" s="81"/>
      <c r="M35" s="81"/>
      <c r="N35" s="81"/>
    </row>
    <row r="36" spans="1:14">
      <c r="A36" s="66" t="s">
        <v>112</v>
      </c>
      <c r="B36" s="67">
        <f>'Other Input Data'!B34/'Other Input Data'!B25</f>
        <v>0.14612599565532222</v>
      </c>
      <c r="C36" s="67">
        <f>'Other Input Data'!C34/'Other Input Data'!C25</f>
        <v>0.14884792626728111</v>
      </c>
      <c r="D36" s="67">
        <f>'Other Input Data'!D34/'Other Input Data'!D25</f>
        <v>0.16242702251876565</v>
      </c>
      <c r="E36" s="67">
        <f>'Other Input Data'!E34/'Other Input Data'!E25</f>
        <v>0.18108172504169645</v>
      </c>
      <c r="F36" s="67">
        <f>'Other Input Data'!F34/'Other Input Data'!F25</f>
        <v>0.16067146282973621</v>
      </c>
      <c r="G36" s="67">
        <f>'Other Input Data'!G34/'Other Input Data'!G25</f>
        <v>0.15716180371352786</v>
      </c>
      <c r="H36" s="67">
        <f>'Other Input Data'!H34/'Other Input Data'!H25</f>
        <v>0.2157523751149249</v>
      </c>
      <c r="I36" s="67">
        <f>'Other Input Data'!I34/'Other Input Data'!I25</f>
        <v>0.23591387998167662</v>
      </c>
      <c r="J36" s="67">
        <f>'Other Input Data'!J34/'Other Input Data'!J25</f>
        <v>0.2204568023833168</v>
      </c>
      <c r="K36" s="67">
        <f>'Other Input Data'!K34/'Other Input Data'!K25</f>
        <v>0.24261083743842365</v>
      </c>
      <c r="L36" s="81"/>
      <c r="M36" s="81"/>
      <c r="N36" s="81"/>
    </row>
    <row r="37" spans="1:14">
      <c r="A37" s="66" t="s">
        <v>113</v>
      </c>
      <c r="B37" s="67">
        <f>'Other Input Data'!B53/'Other Input Data'!B25</f>
        <v>-4.1998551774076378E-3</v>
      </c>
      <c r="C37" s="67">
        <f>'Other Input Data'!C53/'Other Input Data'!C25</f>
        <v>-0.10583717357910911</v>
      </c>
      <c r="D37" s="67">
        <f>'Other Input Data'!D53/'Other Input Data'!D25</f>
        <v>0.10300250208507085</v>
      </c>
      <c r="E37" s="67">
        <f>'Other Input Data'!E53/'Other Input Data'!E25</f>
        <v>0.21848939718846805</v>
      </c>
      <c r="F37" s="67">
        <f>'Other Input Data'!F53/'Other Input Data'!F25</f>
        <v>0.26885158539834791</v>
      </c>
      <c r="G37" s="67">
        <f>'Other Input Data'!G53/'Other Input Data'!G25</f>
        <v>0.14257294429708214</v>
      </c>
      <c r="H37" s="67">
        <f>'Other Input Data'!H53/'Other Input Data'!H25</f>
        <v>2.1452650934722733E-2</v>
      </c>
      <c r="I37" s="67">
        <f>'Other Input Data'!I53/'Other Input Data'!I25</f>
        <v>-0.78515803939532791</v>
      </c>
      <c r="J37" s="67">
        <f>'Other Input Data'!J53/'Other Input Data'!J25</f>
        <v>9.8311817279046643E-2</v>
      </c>
      <c r="K37" s="67">
        <f>'Other Input Data'!K53/'Other Input Data'!K25</f>
        <v>0.1268472906403941</v>
      </c>
      <c r="L37" s="81"/>
      <c r="M37" s="81"/>
      <c r="N37" s="81"/>
    </row>
    <row r="38" spans="1:14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</row>
    <row r="39" spans="1:14">
      <c r="A39" s="66" t="s">
        <v>114</v>
      </c>
      <c r="B39" s="73">
        <f>'Other Input Data'!B25/'Other Input Data'!B48</f>
        <v>0.65893692146197158</v>
      </c>
      <c r="C39" s="73">
        <f>'Other Input Data'!C25/'Other Input Data'!C48</f>
        <v>0.75199260713873162</v>
      </c>
      <c r="D39" s="73">
        <f>'Other Input Data'!D25/'Other Input Data'!D48</f>
        <v>0.67020681945220795</v>
      </c>
      <c r="E39" s="73">
        <f>'Other Input Data'!E25/'Other Input Data'!E48</f>
        <v>0.62819937135159398</v>
      </c>
      <c r="F39" s="73">
        <f>'Other Input Data'!F25/'Other Input Data'!F48</f>
        <v>0.61504424778761058</v>
      </c>
      <c r="G39" s="73">
        <f>'Other Input Data'!G25/'Other Input Data'!G48</f>
        <v>0.54430608193466878</v>
      </c>
      <c r="H39" s="73">
        <f>'Other Input Data'!H25/'Other Input Data'!H48</f>
        <v>0.60865510166013814</v>
      </c>
      <c r="I39" s="73">
        <f>'Other Input Data'!I25/'Other Input Data'!I48</f>
        <v>0.43399602385685881</v>
      </c>
      <c r="J39" s="73">
        <f>'Other Input Data'!J25/'Other Input Data'!J48</f>
        <v>1.3197903014416776</v>
      </c>
      <c r="K39" s="73">
        <f>'Other Input Data'!K25/'Other Input Data'!K48</f>
        <v>1.6</v>
      </c>
    </row>
    <row r="40" spans="1:14" s="45" customFormat="1">
      <c r="A40" s="66" t="s">
        <v>115</v>
      </c>
      <c r="B40" s="73">
        <f>'Other Input Data'!B25/'Other Input Data'!B44</f>
        <v>1.3624704025256511</v>
      </c>
      <c r="C40" s="73">
        <f>'Other Input Data'!C25/'Other Input Data'!C44</f>
        <v>1.8760806916426509</v>
      </c>
      <c r="D40" s="73">
        <f>'Other Input Data'!D25/'Other Input Data'!D44</f>
        <v>1.3128935121817684</v>
      </c>
      <c r="E40" s="73">
        <f>'Other Input Data'!E25/'Other Input Data'!E44</f>
        <v>1.0701172870984192</v>
      </c>
      <c r="F40" s="73">
        <f>'Other Input Data'!F25/'Other Input Data'!F44</f>
        <v>0.94201807228915657</v>
      </c>
      <c r="G40" s="73">
        <f>'Other Input Data'!G25/'Other Input Data'!G44</f>
        <v>0.74414014310387366</v>
      </c>
      <c r="H40" s="73">
        <f>'Other Input Data'!H25/'Other Input Data'!H44</f>
        <v>0.79779951100244506</v>
      </c>
      <c r="I40" s="73">
        <f>'Other Input Data'!I25/'Other Input Data'!I44</f>
        <v>0.62586009174311918</v>
      </c>
      <c r="J40" s="73">
        <f>'Other Input Data'!J25/'Other Input Data'!J44</f>
        <v>4.3311827956989246</v>
      </c>
      <c r="K40" s="73">
        <f>'Other Input Data'!K25/'Other Input Data'!K44</f>
        <v>3.5614035087719298</v>
      </c>
    </row>
    <row r="41" spans="1:14">
      <c r="A41" s="66" t="s">
        <v>116</v>
      </c>
      <c r="B41" s="73">
        <f>'Other Input Data'!B25/'Other Input Data'!B50</f>
        <v>0.63681637923084011</v>
      </c>
      <c r="C41" s="73">
        <f>'Other Input Data'!C25/'Other Input Data'!C50</f>
        <v>0.7285138764547896</v>
      </c>
      <c r="D41" s="73">
        <f>'Other Input Data'!D25/'Other Input Data'!D50</f>
        <v>0.64749561225867425</v>
      </c>
      <c r="E41" s="73">
        <f>'Other Input Data'!E25/'Other Input Data'!E50</f>
        <v>0.60562770562770563</v>
      </c>
      <c r="F41" s="73">
        <f>'Other Input Data'!F25/'Other Input Data'!F50</f>
        <v>0.61514505818718246</v>
      </c>
      <c r="G41" s="73">
        <f>'Other Input Data'!G25/'Other Input Data'!G50</f>
        <v>0.54420786719595815</v>
      </c>
      <c r="H41" s="73">
        <f>'Other Input Data'!H25/'Other Input Data'!H50</f>
        <v>0.60865510166013814</v>
      </c>
      <c r="I41" s="73">
        <f>'Other Input Data'!I25/'Other Input Data'!I50</f>
        <v>0.43390975949115479</v>
      </c>
      <c r="J41" s="73">
        <f>'Other Input Data'!J25/'Other Input Data'!J50</f>
        <v>1.3129074315514995</v>
      </c>
      <c r="K41" s="73">
        <f>'Other Input Data'!K25/'Other Input Data'!K50</f>
        <v>1.5984251968503935</v>
      </c>
    </row>
    <row r="42" spans="1:14">
      <c r="A42" s="66" t="s">
        <v>117</v>
      </c>
      <c r="B42" s="67">
        <f t="shared" ref="B42:K42" si="1">B36*B41</f>
        <v>9.3055427464723769E-2</v>
      </c>
      <c r="C42" s="67">
        <f t="shared" si="1"/>
        <v>0.10843777976723366</v>
      </c>
      <c r="D42" s="67">
        <f t="shared" si="1"/>
        <v>0.10517078439314163</v>
      </c>
      <c r="E42" s="67">
        <f t="shared" si="1"/>
        <v>0.10966810966810966</v>
      </c>
      <c r="F42" s="67">
        <f t="shared" si="1"/>
        <v>9.8836256351417809E-2</v>
      </c>
      <c r="G42" s="67">
        <f t="shared" si="1"/>
        <v>8.5528690003608812E-2</v>
      </c>
      <c r="H42" s="67">
        <f t="shared" si="1"/>
        <v>0.13131878380899087</v>
      </c>
      <c r="I42" s="67">
        <f t="shared" si="1"/>
        <v>0.10236533492347447</v>
      </c>
      <c r="J42" s="67">
        <f t="shared" si="1"/>
        <v>0.28943937418513693</v>
      </c>
      <c r="K42" s="67">
        <f t="shared" si="1"/>
        <v>0.38779527559055116</v>
      </c>
    </row>
    <row r="43" spans="1:14">
      <c r="A43" s="66" t="s">
        <v>118</v>
      </c>
      <c r="B43" s="67">
        <f t="shared" ref="B43:K43" si="2">B36*B41*B19</f>
        <v>0.13279810476441167</v>
      </c>
      <c r="C43" s="67">
        <f t="shared" si="2"/>
        <v>0.14275191514437244</v>
      </c>
      <c r="D43" s="67">
        <f t="shared" si="2"/>
        <v>0.12972522897585345</v>
      </c>
      <c r="E43" s="67">
        <f t="shared" si="2"/>
        <v>0.1640051791109193</v>
      </c>
      <c r="F43" s="67">
        <f t="shared" si="2"/>
        <v>0.14757709251101322</v>
      </c>
      <c r="G43" s="67">
        <f t="shared" si="2"/>
        <v>0.12933151432469306</v>
      </c>
      <c r="H43" s="67">
        <f t="shared" si="2"/>
        <v>0.2103376157753212</v>
      </c>
      <c r="I43" s="67">
        <f t="shared" si="2"/>
        <v>0.18425760286225401</v>
      </c>
      <c r="J43" s="67">
        <f t="shared" si="2"/>
        <v>0.32527472527472534</v>
      </c>
      <c r="K43" s="67">
        <f t="shared" si="2"/>
        <v>0.55182072829131656</v>
      </c>
    </row>
    <row r="44" spans="1:14">
      <c r="A44" s="66" t="s">
        <v>119</v>
      </c>
      <c r="B44" s="67">
        <f>'Other Input Data'!B30/'Other Input Data'!B49</f>
        <v>0.12871164119766429</v>
      </c>
      <c r="C44" s="67">
        <f>'Other Input Data'!C30/'Other Input Data'!C49</f>
        <v>0.11937467294610152</v>
      </c>
      <c r="D44" s="67">
        <f>'Other Input Data'!D30/'Other Input Data'!D49</f>
        <v>0.10361944157187175</v>
      </c>
      <c r="E44" s="67">
        <f>'Other Input Data'!E30/'Other Input Data'!E49</f>
        <v>0.10438556418455916</v>
      </c>
      <c r="F44" s="67">
        <f>'Other Input Data'!F30/'Other Input Data'!F49</f>
        <v>9.5105672969966637E-2</v>
      </c>
      <c r="G44" s="67">
        <f>'Other Input Data'!G30/'Other Input Data'!G49</f>
        <v>9.0834360871352243E-2</v>
      </c>
      <c r="H44" s="67">
        <f>'Other Input Data'!H30/'Other Input Data'!H49</f>
        <v>0.11378408035789651</v>
      </c>
      <c r="I44" s="67">
        <f>'Other Input Data'!I30/'Other Input Data'!I49</f>
        <v>7.5608676405489142E-2</v>
      </c>
      <c r="J44" s="67">
        <f>'Other Input Data'!J30/'Other Input Data'!J49</f>
        <v>8.748099341104916E-2</v>
      </c>
      <c r="K44" s="67">
        <f>'Other Input Data'!K30/'Other Input Data'!K49</f>
        <v>7.2498372042543946E-2</v>
      </c>
    </row>
    <row r="45" spans="1:14">
      <c r="A45" s="66" t="s">
        <v>120</v>
      </c>
      <c r="B45" s="67">
        <f t="shared" ref="B45:K45" si="3">B59*(1-B52)</f>
        <v>0.13961396083512956</v>
      </c>
      <c r="C45" s="67">
        <f t="shared" si="3"/>
        <v>0.13591276497484411</v>
      </c>
      <c r="D45" s="67">
        <f t="shared" si="3"/>
        <v>0.1342837375949564</v>
      </c>
      <c r="E45" s="67">
        <f t="shared" si="3"/>
        <v>0.1338078854969865</v>
      </c>
      <c r="F45" s="67">
        <f t="shared" si="3"/>
        <v>0.12832472959685348</v>
      </c>
      <c r="G45" s="67">
        <f t="shared" si="3"/>
        <v>0.11584100342898392</v>
      </c>
      <c r="H45" s="67">
        <f t="shared" si="3"/>
        <v>0.16159386479038879</v>
      </c>
      <c r="I45" s="67">
        <f t="shared" si="3"/>
        <v>0.1095782448168134</v>
      </c>
      <c r="J45" s="67">
        <f t="shared" si="3"/>
        <v>0.40202010237523705</v>
      </c>
      <c r="K45" s="67">
        <f t="shared" si="3"/>
        <v>0.41197375825836241</v>
      </c>
    </row>
    <row r="46" spans="1:14">
      <c r="A46" s="66" t="s">
        <v>226</v>
      </c>
      <c r="B46" s="67">
        <f>('Other Input Data'!B55-'Other Input Data'!C55)/('Other Input Data'!C48-'Other Input Data'!D48)</f>
        <v>0.19081804743777303</v>
      </c>
      <c r="C46" s="67">
        <f>('Other Input Data'!C55-'Other Input Data'!D55)/('Other Input Data'!D48-'Other Input Data'!E48)</f>
        <v>0.45402606348993141</v>
      </c>
      <c r="D46" s="67">
        <f>('Other Input Data'!D55-'Other Input Data'!E55)/('Other Input Data'!E48-'Other Input Data'!F48)</f>
        <v>0.11565447879817144</v>
      </c>
      <c r="E46" s="67">
        <f>('Other Input Data'!E55-'Other Input Data'!F55)/('Other Input Data'!F48-'Other Input Data'!G48)</f>
        <v>0.19774150268336319</v>
      </c>
      <c r="F46" s="67">
        <f>('Other Input Data'!F55-'Other Input Data'!G55)/('Other Input Data'!G48-'Other Input Data'!H48)</f>
        <v>0.78423611111110969</v>
      </c>
      <c r="G46" s="67">
        <f>('Other Input Data'!G55-'Other Input Data'!H55)/('Other Input Data'!H48-'Other Input Data'!I48)</f>
        <v>-0.67803537504916678</v>
      </c>
      <c r="H46" s="67">
        <f>('Other Input Data'!H55-'Other Input Data'!I55)/('Other Input Data'!I48-'Other Input Data'!J48)</f>
        <v>8.9933258479652653E-2</v>
      </c>
      <c r="I46" s="67">
        <f>('Other Input Data'!I55-'Other Input Data'!J55)/('Other Input Data'!J48-'Other Input Data'!K48)</f>
        <v>-0.12192584108814153</v>
      </c>
      <c r="J46" s="67">
        <f>('Other Input Data'!J55-'Other Input Data'!K55)/('Other Input Data'!K48-'Other Input Data'!L48)</f>
        <v>0.19244267151958028</v>
      </c>
      <c r="K46" s="67"/>
    </row>
    <row r="47" spans="1:14" ht="15" customHeight="1">
      <c r="A47" s="66" t="s">
        <v>227</v>
      </c>
      <c r="B47" s="67">
        <f>('Other Input Data'!B55-'Other Input Data'!E55)/('Other Input Data'!C48-'Other Input Data'!F48)</f>
        <v>0.22271789142307477</v>
      </c>
      <c r="C47" s="67">
        <f>('Other Input Data'!C55-'Other Input Data'!F55)/('Other Input Data'!D48-'Other Input Data'!G48)</f>
        <v>0.24368997299518602</v>
      </c>
      <c r="D47" s="67">
        <f>('Other Input Data'!D55-'Other Input Data'!G55)/('Other Input Data'!E48-'Other Input Data'!H48)</f>
        <v>0.24171168653750605</v>
      </c>
      <c r="E47" s="67">
        <f>('Other Input Data'!E55-'Other Input Data'!H55)/('Other Input Data'!F48-'Other Input Data'!I48)</f>
        <v>2.5807624873220563E-2</v>
      </c>
      <c r="F47" s="67">
        <f>('Other Input Data'!F55-'Other Input Data'!I55)/('Other Input Data'!G48-'Other Input Data'!J48)</f>
        <v>5.7748176481053196E-2</v>
      </c>
      <c r="G47" s="67">
        <f>('Other Input Data'!G55-'Other Input Data'!J55)/('Other Input Data'!H48-'Other Input Data'!K48)</f>
        <v>6.5329783192333655E-3</v>
      </c>
      <c r="H47" s="67">
        <f>('Other Input Data'!H55-'Other Input Data'!K55)/('Other Input Data'!I48-'Other Input Data'!L48)</f>
        <v>8.9095694733406866E-2</v>
      </c>
      <c r="I47" s="177"/>
      <c r="J47" s="178"/>
      <c r="K47" s="179"/>
    </row>
    <row r="48" spans="1:14" ht="15" customHeight="1">
      <c r="A48" s="66" t="s">
        <v>228</v>
      </c>
      <c r="B48" s="67">
        <f>('Other Input Data'!B55-'Other Input Data'!G55)/('Other Input Data'!C48-'Other Input Data'!G48)</f>
        <v>0.26352365070324868</v>
      </c>
      <c r="C48" s="67">
        <f>('Other Input Data'!C55-'Other Input Data'!H55)/('Other Input Data'!D48-'Other Input Data'!H48)</f>
        <v>0.17286467813144907</v>
      </c>
      <c r="D48" s="67">
        <f>('Other Input Data'!D55-'Other Input Data'!I55)/('Other Input Data'!E48-'Other Input Data'!I48)</f>
        <v>0.24818646565774469</v>
      </c>
      <c r="E48" s="67">
        <f>('Other Input Data'!E55-'Other Input Data'!J55)/('Other Input Data'!F48-'Other Input Data'!J48)</f>
        <v>6.1295412320969182E-2</v>
      </c>
      <c r="F48" s="67">
        <f>('Other Input Data'!F55-'Other Input Data'!K55)/('Other Input Data'!G48-'Other Input Data'!K48)</f>
        <v>8.0619561504145426E-2</v>
      </c>
      <c r="G48" s="67">
        <f>('Other Input Data'!G55-'Other Input Data'!L55)/('Other Input Data'!H48-'Other Input Data'!L48)</f>
        <v>0.1197304607349375</v>
      </c>
      <c r="H48" s="144"/>
      <c r="I48" s="146"/>
      <c r="J48" s="146"/>
      <c r="K48" s="147"/>
    </row>
    <row r="49" spans="1:11" ht="15" customHeight="1">
      <c r="A49" s="66" t="s">
        <v>229</v>
      </c>
      <c r="B49" s="67">
        <f>('Other Input Data'!B55-'Other Input Data'!K55)/('Other Input Data'!C48-'Other Input Data'!K48)</f>
        <v>0.1367261621249784</v>
      </c>
      <c r="C49" s="177"/>
      <c r="D49" s="178"/>
      <c r="E49" s="178"/>
      <c r="F49" s="178"/>
      <c r="G49" s="178"/>
      <c r="H49" s="178"/>
      <c r="I49" s="178"/>
      <c r="J49" s="178"/>
      <c r="K49" s="179"/>
    </row>
    <row r="50" spans="1:1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</row>
    <row r="51" spans="1:11">
      <c r="A51" s="142" t="s">
        <v>121</v>
      </c>
      <c r="B51" s="143">
        <f>'Other Input Data'!B71</f>
        <v>1.8327953518398965</v>
      </c>
      <c r="C51" s="143">
        <f>'Other Input Data'!C71</f>
        <v>2.4319270367054608</v>
      </c>
      <c r="D51" s="143">
        <f>'Other Input Data'!D71</f>
        <v>2.4284730660186309</v>
      </c>
      <c r="E51" s="143">
        <f>'Other Input Data'!E71</f>
        <v>2.4710966810966815</v>
      </c>
      <c r="F51" s="143">
        <f>'Other Input Data'!F71</f>
        <v>2.2863301098180626</v>
      </c>
      <c r="G51" s="143">
        <f>'Other Input Data'!G71</f>
        <v>2.1547997112955612</v>
      </c>
      <c r="H51" s="143">
        <f>'Other Input Data'!H71</f>
        <v>2.6999440402909909</v>
      </c>
      <c r="I51" s="143">
        <f>'Other Input Data'!I71</f>
        <v>1.9517392168554957</v>
      </c>
      <c r="J51" s="143">
        <f>'Other Input Data'!J71</f>
        <v>5.9164928292046932</v>
      </c>
      <c r="K51" s="143">
        <f>'Other Input Data'!K71</f>
        <v>5.6919291338582667</v>
      </c>
    </row>
    <row r="52" spans="1:11">
      <c r="A52" s="44" t="s">
        <v>122</v>
      </c>
      <c r="B52" s="82">
        <f>'Other Input Data'!B33/'Other Input Data'!B32</f>
        <v>0.29391182645206443</v>
      </c>
      <c r="C52" s="82">
        <f>'Other Input Data'!C33/'Other Input Data'!C32</f>
        <v>0.35528942115768464</v>
      </c>
      <c r="D52" s="82">
        <f>'Other Input Data'!D33/'Other Input Data'!D32</f>
        <v>0.3606557377049181</v>
      </c>
      <c r="E52" s="82">
        <f>'Other Input Data'!E33/'Other Input Data'!E32</f>
        <v>0.34794275491949911</v>
      </c>
      <c r="F52" s="82">
        <f>'Other Input Data'!F33/'Other Input Data'!F32</f>
        <v>0.34583333333333333</v>
      </c>
      <c r="G52" s="82">
        <f>'Other Input Data'!G33/'Other Input Data'!G32</f>
        <v>0.41911764705882354</v>
      </c>
      <c r="H52" s="82">
        <f>'Other Input Data'!H33/'Other Input Data'!H32</f>
        <v>0.35734072022160668</v>
      </c>
      <c r="I52" s="82">
        <f>'Other Input Data'!I33/'Other Input Data'!I32</f>
        <v>0.35459183673469385</v>
      </c>
      <c r="J52" s="82">
        <f>'Other Input Data'!J33/'Other Input Data'!J32</f>
        <v>0.28912783751493432</v>
      </c>
      <c r="K52" s="82">
        <f>'Other Input Data'!K33/'Other Input Data'!K32</f>
        <v>0.37402190923317685</v>
      </c>
    </row>
    <row r="53" spans="1:11">
      <c r="A53" s="44" t="s">
        <v>123</v>
      </c>
      <c r="B53" s="82">
        <f>('Other Input Data'!B39-'Other Input Data'!C39)/'Other Input Data'!B39</f>
        <v>0</v>
      </c>
      <c r="C53" s="83">
        <f>('Other Input Data'!C39-'Other Input Data'!D39)/'Other Input Data'!C39</f>
        <v>0.33372502937720327</v>
      </c>
      <c r="D53" s="82">
        <f>('Other Input Data'!D39-'Other Input Data'!E39)/'Other Input Data'!D39</f>
        <v>8.4656084656084582E-2</v>
      </c>
      <c r="E53" s="82">
        <f>('Other Input Data'!E39-'Other Input Data'!F39)/'Other Input Data'!E39</f>
        <v>0</v>
      </c>
      <c r="F53" s="83">
        <f>('Other Input Data'!F39-'Other Input Data'!G39)/'Other Input Data'!F39</f>
        <v>0</v>
      </c>
      <c r="G53" s="82">
        <f>('Other Input Data'!G39-'Other Input Data'!H39)/'Other Input Data'!G39</f>
        <v>0</v>
      </c>
      <c r="H53" s="82">
        <f>('Other Input Data'!H39-'Other Input Data'!I39)/'Other Input Data'!H39</f>
        <v>0</v>
      </c>
      <c r="I53" s="82">
        <f>('Other Input Data'!I39-'Other Input Data'!J39)/'Other Input Data'!I39</f>
        <v>0.2851637764932563</v>
      </c>
      <c r="J53" s="82">
        <f>('Other Input Data'!J39-'Other Input Data'!K39)/'Other Input Data'!J39</f>
        <v>4.8517520215633464E-2</v>
      </c>
      <c r="K53" s="82"/>
    </row>
    <row r="54" spans="1:11">
      <c r="A54" s="44" t="s">
        <v>124</v>
      </c>
      <c r="B54" s="84">
        <f>(('Other Input Data'!B6-'Other Input Data'!C6)/'Other Input Data'!C6)/(('Other Input Data'!B25-'Other Input Data'!C25)/'Other Input Data'!C25)</f>
        <v>2.3794130815254988</v>
      </c>
      <c r="C54" s="85">
        <f>(('Other Input Data'!C6-'Other Input Data'!D6)/'Other Input Data'!D6)/(('Other Input Data'!C25-'Other Input Data'!D25)/'Other Input Data'!D25)</f>
        <v>0.35941186133828351</v>
      </c>
      <c r="D54" s="84">
        <f>(('Other Input Data'!D6-'Other Input Data'!E6)/'Other Input Data'!E6)/(('Other Input Data'!D25-'Other Input Data'!E25)/'Other Input Data'!E25)</f>
        <v>1.5076096845712865</v>
      </c>
      <c r="E54" s="84">
        <f>(('Other Input Data'!E6-'Other Input Data'!F6)/'Other Input Data'!F6)/(('Other Input Data'!E25-'Other Input Data'!F25)/'Other Input Data'!F25)</f>
        <v>2.8507936002039784</v>
      </c>
      <c r="F54" s="84">
        <f>(('Other Input Data'!F6-'Other Input Data'!G6)/'Other Input Data'!G6)/(('Other Input Data'!F25-'Other Input Data'!G25)/'Other Input Data'!G25)</f>
        <v>1.8347050555776352</v>
      </c>
      <c r="G54" s="84">
        <f>(('Other Input Data'!G6-'Other Input Data'!H6)/'Other Input Data'!H6)/(('Other Input Data'!G25-'Other Input Data'!H25)/'Other Input Data'!H25)</f>
        <v>-8.8572715669344486</v>
      </c>
      <c r="H54" s="84">
        <f>(('Other Input Data'!H6-'Other Input Data'!I6)/'Other Input Data'!I6)/(('Other Input Data'!H25-'Other Input Data'!I25)/'Other Input Data'!I25)</f>
        <v>0.81824018407184684</v>
      </c>
      <c r="I54" s="84">
        <f>(('Other Input Data'!I6-'Other Input Data'!J6)/'Other Input Data'!J6)/(('Other Input Data'!I25-'Other Input Data'!J25)/'Other Input Data'!J25)</f>
        <v>9.7070683162990985</v>
      </c>
      <c r="J54" s="84">
        <f>(('Other Input Data'!J6-'Other Input Data'!K6)/'Other Input Data'!K6)/(('Other Input Data'!J25-'Other Input Data'!K25)/'Other Input Data'!K25)</f>
        <v>1.5048489464331039</v>
      </c>
      <c r="K54" s="84"/>
    </row>
    <row r="55" spans="1:11">
      <c r="A55" s="44" t="s">
        <v>125</v>
      </c>
      <c r="B55" s="84">
        <f>(('Other Input Data'!B7-'Other Input Data'!C7)/'Other Input Data'!C7)/(('Other Input Data'!B25-'Other Input Data'!C25)/'Other Input Data'!C25)</f>
        <v>-1.0738957716132487</v>
      </c>
      <c r="C55" s="85">
        <f>(('Other Input Data'!C7-'Other Input Data'!D7)/'Other Input Data'!D7)/(('Other Input Data'!C25-'Other Input Data'!D25)/'Other Input Data'!D25)</f>
        <v>0.13250212082700877</v>
      </c>
      <c r="D55" s="84">
        <f>(('Other Input Data'!D7-'Other Input Data'!E7)/'Other Input Data'!E7)/(('Other Input Data'!D25-'Other Input Data'!E25)/'Other Input Data'!E25)</f>
        <v>0.6042067086091536</v>
      </c>
      <c r="E55" s="84">
        <f>(('Other Input Data'!E7-'Other Input Data'!F7)/'Other Input Data'!F7)/(('Other Input Data'!E25-'Other Input Data'!F25)/'Other Input Data'!F25)</f>
        <v>1.6874724088880186</v>
      </c>
      <c r="F55" s="84">
        <f>(('Other Input Data'!F7-'Other Input Data'!G7)/'Other Input Data'!G7)/(('Other Input Data'!F25-'Other Input Data'!G25)/'Other Input Data'!G25)</f>
        <v>-0.43774643798834034</v>
      </c>
      <c r="G55" s="84">
        <f>(('Other Input Data'!G7-'Other Input Data'!H7)/'Other Input Data'!H7)/(('Other Input Data'!G25-'Other Input Data'!H25)/'Other Input Data'!H25)</f>
        <v>-2.1830425923164829</v>
      </c>
      <c r="H55" s="84">
        <f>(('Other Input Data'!H7-'Other Input Data'!I7)/'Other Input Data'!I7)/(('Other Input Data'!H25-'Other Input Data'!I25)/'Other Input Data'!I25)</f>
        <v>0.19230533532498362</v>
      </c>
      <c r="I55" s="84">
        <f>(('Other Input Data'!I7-'Other Input Data'!J7)/'Other Input Data'!J7)/(('Other Input Data'!I25-'Other Input Data'!J25)/'Other Input Data'!J25)</f>
        <v>1.6883815485214098</v>
      </c>
      <c r="J55" s="84">
        <f>(('Other Input Data'!J7-'Other Input Data'!K7)/'Other Input Data'!K7)/(('Other Input Data'!J25-'Other Input Data'!K25)/'Other Input Data'!K25)</f>
        <v>0.43432621268344873</v>
      </c>
      <c r="K55" s="84"/>
    </row>
    <row r="56" spans="1:11">
      <c r="A56" s="44" t="s">
        <v>126</v>
      </c>
      <c r="B56" s="84">
        <f>'Other Input Data'!B23/'Other Input Data'!B29</f>
        <v>1.9442379182156129</v>
      </c>
      <c r="C56" s="84">
        <f>'Other Input Data'!C23/'Other Input Data'!C29</f>
        <v>4.6264236902050122</v>
      </c>
      <c r="D56" s="84">
        <f>'Other Input Data'!D23/'Other Input Data'!D29</f>
        <v>1.8762135922330101</v>
      </c>
      <c r="E56" s="84">
        <f>'Other Input Data'!E23/'Other Input Data'!E29</f>
        <v>0.86160714285714191</v>
      </c>
      <c r="F56" s="84">
        <f>'Other Input Data'!F23/'Other Input Data'!F29</f>
        <v>0.83687943262411402</v>
      </c>
      <c r="G56" s="84">
        <f>'Other Input Data'!G23/'Other Input Data'!G29</f>
        <v>0.90364583333333404</v>
      </c>
      <c r="H56" s="84">
        <f>'Other Input Data'!H23/'Other Input Data'!H29</f>
        <v>2.4864130434782599</v>
      </c>
      <c r="I56" s="84">
        <f>'Other Input Data'!I23/'Other Input Data'!I29</f>
        <v>65.681818181818201</v>
      </c>
      <c r="J56" s="84">
        <f>'Other Input Data'!J23/'Other Input Data'!J29</f>
        <v>7.8857142857142879</v>
      </c>
      <c r="K56" s="84">
        <f>'Other Input Data'!K23/'Other Input Data'!K29</f>
        <v>0</v>
      </c>
    </row>
    <row r="57" spans="1:11">
      <c r="A57" s="44" t="s">
        <v>20</v>
      </c>
      <c r="B57" s="82">
        <f>'Other Input Data'!B35/'Other Input Data'!B34</f>
        <v>0.13974231912784935</v>
      </c>
      <c r="C57" s="82">
        <f>'Other Input Data'!C35/'Other Input Data'!C34</f>
        <v>0.14551083591331268</v>
      </c>
      <c r="D57" s="82">
        <f>'Other Input Data'!D35/'Other Input Data'!D34</f>
        <v>6.1617458279845952E-2</v>
      </c>
      <c r="E57" s="82">
        <f>'Other Input Data'!E35/'Other Input Data'!E34</f>
        <v>0.2</v>
      </c>
      <c r="F57" s="82">
        <f>'Other Input Data'!F35/'Other Input Data'!F34</f>
        <v>0.21558872305140961</v>
      </c>
      <c r="G57" s="82">
        <f>'Other Input Data'!G35/'Other Input Data'!G34</f>
        <v>0.22784810126582278</v>
      </c>
      <c r="H57" s="82">
        <f>'Other Input Data'!H35/'Other Input Data'!H34</f>
        <v>0.15340909090909091</v>
      </c>
      <c r="I57" s="82">
        <f>'Other Input Data'!I35/'Other Input Data'!I34</f>
        <v>0.16699029126213591</v>
      </c>
      <c r="J57" s="82">
        <f>'Other Input Data'!J35/'Other Input Data'!J34</f>
        <v>0.10585585585585584</v>
      </c>
      <c r="K57" s="82">
        <f>'Other Input Data'!K35/'Other Input Data'!K34</f>
        <v>8.8832487309644659E-2</v>
      </c>
    </row>
    <row r="58" spans="1:11">
      <c r="A58" s="44" t="s">
        <v>127</v>
      </c>
      <c r="B58" s="84">
        <f>'Other Input Data'!B8/'Other Input Data'!B50</f>
        <v>9.7758922807341143E-3</v>
      </c>
      <c r="C58" s="84">
        <f>'Other Input Data'!C8/'Other Input Data'!C50</f>
        <v>1.2085944494180842E-2</v>
      </c>
      <c r="D58" s="84">
        <f>'Other Input Data'!D8/'Other Input Data'!D50</f>
        <v>1.60658836235993E-2</v>
      </c>
      <c r="E58" s="84">
        <f>'Other Input Data'!E8/'Other Input Data'!E50</f>
        <v>9.0909090909090922E-3</v>
      </c>
      <c r="F58" s="84">
        <f>'Other Input Data'!F8/'Other Input Data'!F50</f>
        <v>1.1473528929683658E-2</v>
      </c>
      <c r="G58" s="84">
        <f>'Other Input Data'!G8/'Other Input Data'!G50</f>
        <v>7.5784915193071092E-3</v>
      </c>
      <c r="H58" s="84">
        <f>'Other Input Data'!H8/'Other Input Data'!H50</f>
        <v>8.3939563514269736E-3</v>
      </c>
      <c r="I58" s="84">
        <f>'Other Input Data'!I8/'Other Input Data'!I50</f>
        <v>1.4311270125223612E-2</v>
      </c>
      <c r="J58" s="84">
        <f>'Other Input Data'!J8/'Other Input Data'!J50</f>
        <v>1.1082138200782269E-2</v>
      </c>
      <c r="K58" s="84">
        <f>'Other Input Data'!K8/'Other Input Data'!K50</f>
        <v>2.4606299212598423E-2</v>
      </c>
    </row>
    <row r="59" spans="1:11">
      <c r="A59" s="44" t="s">
        <v>128</v>
      </c>
      <c r="B59" s="82">
        <f>'Other Input Data'!B30/'Other Input Data'!B48</f>
        <v>0.19772879091516365</v>
      </c>
      <c r="C59" s="82">
        <f>'Other Input Data'!C30/'Other Input Data'!C48</f>
        <v>0.21081205960494398</v>
      </c>
      <c r="D59" s="82">
        <f>'Other Input Data'!D30/'Other Input Data'!D48</f>
        <v>0.21003353828954721</v>
      </c>
      <c r="E59" s="82">
        <f>'Other Input Data'!E30/'Other Input Data'!E48</f>
        <v>0.205208801077683</v>
      </c>
      <c r="F59" s="82">
        <f>'Other Input Data'!F30/'Other Input Data'!F48</f>
        <v>0.19616519174041297</v>
      </c>
      <c r="G59" s="82">
        <f>'Other Input Data'!G30/'Other Input Data'!G48</f>
        <v>0.19942248691571918</v>
      </c>
      <c r="H59" s="82">
        <f>'Other Input Data'!H30/'Other Input Data'!H48</f>
        <v>0.2514456258160791</v>
      </c>
      <c r="I59" s="82">
        <f>'Other Input Data'!I30/'Other Input Data'!I48</f>
        <v>0.16978131212723657</v>
      </c>
      <c r="J59" s="82">
        <f>'Other Input Data'!J30/'Other Input Data'!J48</f>
        <v>0.56553079947575369</v>
      </c>
      <c r="K59" s="82">
        <f>'Other Input Data'!K30/'Other Input Data'!K48</f>
        <v>0.65812807881773405</v>
      </c>
    </row>
    <row r="60" spans="1:11">
      <c r="A60" s="44" t="s">
        <v>129</v>
      </c>
      <c r="B60" s="82">
        <v>0.1</v>
      </c>
      <c r="C60" s="82">
        <v>0.1</v>
      </c>
      <c r="D60" s="82">
        <v>0.1</v>
      </c>
      <c r="E60" s="82">
        <v>0.1</v>
      </c>
      <c r="F60" s="82">
        <v>0.1</v>
      </c>
      <c r="G60" s="82">
        <v>0.1</v>
      </c>
      <c r="H60" s="82">
        <v>0.1</v>
      </c>
      <c r="I60" s="82">
        <v>0.1</v>
      </c>
      <c r="J60" s="82">
        <v>0.1</v>
      </c>
      <c r="K60" s="82">
        <v>0.1</v>
      </c>
    </row>
    <row r="61" spans="1:11">
      <c r="A61" s="44" t="s">
        <v>86</v>
      </c>
      <c r="B61" s="84">
        <f>'Other Input Data'!B48*(B45-B60)</f>
        <v>4.1511469559132257</v>
      </c>
      <c r="C61" s="84">
        <f>'Other Input Data'!C48*(C45-C60)</f>
        <v>3.1089680638722541</v>
      </c>
      <c r="D61" s="84">
        <f>'Other Input Data'!D48*(D45-D60)</f>
        <v>2.4533442622950798</v>
      </c>
      <c r="E61" s="84">
        <f>'Other Input Data'!E48*(E45-E60)</f>
        <v>2.2587048300536674</v>
      </c>
      <c r="F61" s="84">
        <f>'Other Input Data'!F48*(F45-F60)</f>
        <v>1.7283749999999991</v>
      </c>
      <c r="G61" s="84">
        <f>'Other Input Data'!G48*(G45-G60)</f>
        <v>0.87774999999999848</v>
      </c>
      <c r="H61" s="84">
        <f>'Other Input Data'!H48*(H45-H60)</f>
        <v>3.3020470914127427</v>
      </c>
      <c r="I61" s="84">
        <f>'Other Input Data'!I48*(I45-I60)</f>
        <v>0.48178571428571371</v>
      </c>
      <c r="J61" s="84">
        <f>'Other Input Data'!J48*(J45-J60)</f>
        <v>4.6088267622461165</v>
      </c>
      <c r="K61" s="84">
        <f>'Other Input Data'!K48*(K45-K60)</f>
        <v>3.1665336463223777</v>
      </c>
    </row>
    <row r="62" spans="1:11">
      <c r="A62" s="44" t="s">
        <v>130</v>
      </c>
      <c r="B62" s="82">
        <f>B61/'Other Input Data'!B25</f>
        <v>6.0117986327490602E-2</v>
      </c>
      <c r="C62" s="82">
        <f>C61/'Other Input Data'!C25</f>
        <v>4.7756805896655215E-2</v>
      </c>
      <c r="D62" s="82">
        <f>D61/'Other Input Data'!D25</f>
        <v>5.115396710373394E-2</v>
      </c>
      <c r="E62" s="82">
        <f>E61/'Other Input Data'!E25</f>
        <v>5.3817127235017095E-2</v>
      </c>
      <c r="F62" s="82">
        <f>F61/'Other Input Data'!F25</f>
        <v>4.6053157474020757E-2</v>
      </c>
      <c r="G62" s="82">
        <f>G61/'Other Input Data'!G25</f>
        <v>2.9103116710875281E-2</v>
      </c>
      <c r="H62" s="82">
        <f>H61/'Other Input Data'!H25</f>
        <v>0.10119666231727681</v>
      </c>
      <c r="I62" s="82">
        <f>I61/'Other Input Data'!I25</f>
        <v>2.2069890713958484E-2</v>
      </c>
      <c r="J62" s="82">
        <f>J61/'Other Input Data'!J25</f>
        <v>0.22883946187915175</v>
      </c>
      <c r="K62" s="82">
        <f>K61/'Other Input Data'!K25</f>
        <v>0.19498359891147649</v>
      </c>
    </row>
    <row r="63" spans="1:11" ht="15" customHeight="1">
      <c r="A63" s="86" t="s">
        <v>131</v>
      </c>
      <c r="B63" s="86">
        <f>'Data Sheet'!K17</f>
        <v>0</v>
      </c>
      <c r="C63" s="86">
        <f>'Data Sheet'!J17</f>
        <v>78.36</v>
      </c>
      <c r="D63" s="86">
        <f>'Data Sheet'!I17</f>
        <v>62.68</v>
      </c>
      <c r="E63" s="86">
        <f>'Data Sheet'!H17</f>
        <v>70.69</v>
      </c>
      <c r="F63" s="86">
        <f>'Data Sheet'!G17</f>
        <v>50.7</v>
      </c>
      <c r="G63" s="86">
        <f>'Data Sheet'!F17</f>
        <v>49.69</v>
      </c>
      <c r="H63" s="86">
        <f>'Data Sheet'!E17</f>
        <v>73.39</v>
      </c>
      <c r="I63" s="86">
        <f>'Data Sheet'!D17</f>
        <v>40.549999999999997</v>
      </c>
      <c r="J63" s="86">
        <f>'Data Sheet'!C17</f>
        <v>44.39</v>
      </c>
      <c r="K63" s="86">
        <f>'Data Sheet'!B17</f>
        <v>13.02</v>
      </c>
    </row>
    <row r="64" spans="1:11" ht="15" customHeight="1">
      <c r="A64" s="87" t="s">
        <v>132</v>
      </c>
      <c r="B64" s="87">
        <f t="shared" ref="B64:K64" si="4">B63-C63</f>
        <v>-78.36</v>
      </c>
      <c r="C64" s="87">
        <f t="shared" si="4"/>
        <v>15.68</v>
      </c>
      <c r="D64" s="87">
        <f t="shared" si="4"/>
        <v>-8.009999999999998</v>
      </c>
      <c r="E64" s="87">
        <f t="shared" si="4"/>
        <v>19.989999999999995</v>
      </c>
      <c r="F64" s="87">
        <f t="shared" si="4"/>
        <v>1.0100000000000051</v>
      </c>
      <c r="G64" s="87">
        <f t="shared" si="4"/>
        <v>-23.700000000000003</v>
      </c>
      <c r="H64" s="87">
        <f t="shared" si="4"/>
        <v>32.840000000000003</v>
      </c>
      <c r="I64" s="87">
        <f t="shared" si="4"/>
        <v>-3.8400000000000034</v>
      </c>
      <c r="J64" s="87">
        <f t="shared" si="4"/>
        <v>31.37</v>
      </c>
      <c r="K64" s="87">
        <f t="shared" si="4"/>
        <v>13.02</v>
      </c>
    </row>
    <row r="65" spans="1:11">
      <c r="A65" s="51" t="s">
        <v>133</v>
      </c>
      <c r="B65" s="62">
        <f t="shared" ref="B65:K65" si="5">B64-B61</f>
        <v>-82.511146955913219</v>
      </c>
      <c r="C65" s="62">
        <f t="shared" si="5"/>
        <v>12.571031936127746</v>
      </c>
      <c r="D65" s="62">
        <f t="shared" si="5"/>
        <v>-10.463344262295077</v>
      </c>
      <c r="E65" s="62">
        <f t="shared" si="5"/>
        <v>17.731295169946328</v>
      </c>
      <c r="F65" s="62">
        <f t="shared" si="5"/>
        <v>-0.71837499999999399</v>
      </c>
      <c r="G65" s="62">
        <f t="shared" si="5"/>
        <v>-24.577750000000002</v>
      </c>
      <c r="H65" s="62">
        <f t="shared" si="5"/>
        <v>29.537952908587261</v>
      </c>
      <c r="I65" s="62">
        <f t="shared" si="5"/>
        <v>-4.321785714285717</v>
      </c>
      <c r="J65" s="62">
        <f t="shared" si="5"/>
        <v>26.761173237753884</v>
      </c>
      <c r="K65" s="62">
        <f t="shared" si="5"/>
        <v>9.8534663536776215</v>
      </c>
    </row>
    <row r="66" spans="1:11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>
      <c r="A67" s="88" t="s">
        <v>240</v>
      </c>
      <c r="B67" s="89">
        <f>SUM('Other Input Data'!B23:K23)/SUM('Other Input Data'!B52:K52)</f>
        <v>0.90998990918264411</v>
      </c>
      <c r="C67" s="90"/>
      <c r="D67" s="90"/>
      <c r="E67" s="90"/>
      <c r="F67" s="90"/>
      <c r="G67" s="90"/>
      <c r="H67" s="90"/>
      <c r="I67" s="90"/>
      <c r="J67" s="90"/>
      <c r="K67" s="90"/>
    </row>
    <row r="68" spans="1:11">
      <c r="A68" s="88" t="s">
        <v>134</v>
      </c>
      <c r="B68" s="89">
        <f>SUM('Other Input Data'!B23:H23)/SUM('Other Input Data'!B52:H52)</f>
        <v>0.72659548050658074</v>
      </c>
      <c r="C68" s="91"/>
      <c r="D68" s="91"/>
      <c r="E68" s="91"/>
      <c r="F68" s="91"/>
      <c r="G68" s="91"/>
      <c r="H68" s="91"/>
      <c r="I68" s="91"/>
      <c r="J68" s="91"/>
      <c r="K68" s="91"/>
    </row>
    <row r="69" spans="1:11">
      <c r="A69" s="88" t="s">
        <v>135</v>
      </c>
      <c r="B69" s="89">
        <f>SUM('Other Input Data'!B23:F23)/SUM('Other Input Data'!B52:F52)</f>
        <v>0.72949777495232049</v>
      </c>
      <c r="C69" s="92"/>
      <c r="D69" s="92"/>
      <c r="E69" s="92"/>
      <c r="F69" s="92"/>
      <c r="G69" s="92"/>
      <c r="H69" s="92"/>
      <c r="I69" s="92"/>
      <c r="J69" s="92"/>
      <c r="K69" s="92"/>
    </row>
    <row r="70" spans="1:11">
      <c r="A70" s="88" t="s">
        <v>136</v>
      </c>
      <c r="B70" s="89">
        <f>SUM('Other Input Data'!B23:D23)/SUM('Other Input Data'!B52:D52)</f>
        <v>1.0617760617760619</v>
      </c>
      <c r="C70" s="93"/>
      <c r="D70" s="93"/>
      <c r="E70" s="93"/>
      <c r="F70" s="93"/>
      <c r="G70" s="93"/>
      <c r="H70" s="93"/>
      <c r="I70" s="93"/>
      <c r="J70" s="93"/>
      <c r="K70" s="93"/>
    </row>
    <row r="71" spans="1:11">
      <c r="A71" s="51" t="s">
        <v>137</v>
      </c>
      <c r="B71" s="62">
        <f>SUM('Other Input Data'!B23:K23)/SUM('Other Input Data'!B29:K29)</f>
        <v>2.8876080691642656</v>
      </c>
    </row>
    <row r="73" spans="1:11">
      <c r="A73" s="150" t="s">
        <v>237</v>
      </c>
      <c r="B73" s="154">
        <f>AVERAGE(B34:D34)</f>
        <v>0.37501689977111607</v>
      </c>
    </row>
    <row r="74" spans="1:11">
      <c r="A74" s="150" t="s">
        <v>230</v>
      </c>
      <c r="B74" s="154">
        <f>AVERAGE(B34:F34)</f>
        <v>0.39802203770679606</v>
      </c>
    </row>
    <row r="75" spans="1:11">
      <c r="A75" s="150" t="s">
        <v>231</v>
      </c>
      <c r="B75" s="155">
        <f>AVERAGE(B39:D39)</f>
        <v>0.69371211601763694</v>
      </c>
    </row>
    <row r="76" spans="1:11">
      <c r="A76" s="150" t="s">
        <v>232</v>
      </c>
      <c r="B76" s="155">
        <f>AVERAGE(B39:F39)</f>
        <v>0.66487599343842307</v>
      </c>
    </row>
    <row r="77" spans="1:11">
      <c r="A77" s="150" t="s">
        <v>238</v>
      </c>
      <c r="B77" s="154">
        <f>AVERAGE(B45:D45)</f>
        <v>0.13660348780164336</v>
      </c>
    </row>
    <row r="78" spans="1:11">
      <c r="A78" s="150" t="s">
        <v>239</v>
      </c>
      <c r="B78" s="154">
        <f>AVERAGE(B45:F45)</f>
        <v>0.13438861569975402</v>
      </c>
    </row>
    <row r="79" spans="1:11">
      <c r="A79" s="150" t="s">
        <v>235</v>
      </c>
      <c r="B79" s="155">
        <f>AVERAGE('Other Input Data'!B48:D48)</f>
        <v>87.639999999999986</v>
      </c>
    </row>
    <row r="80" spans="1:11">
      <c r="A80" s="150" t="s">
        <v>236</v>
      </c>
      <c r="B80" s="155">
        <f>AVERAGE('Other Input Data'!B48:F48)</f>
        <v>78.149999999999991</v>
      </c>
    </row>
    <row r="81" spans="1:2">
      <c r="A81" s="150" t="s">
        <v>233</v>
      </c>
      <c r="B81" s="156">
        <f>AVERAGE(B62:D62)</f>
        <v>5.3009586442626579E-2</v>
      </c>
    </row>
    <row r="82" spans="1:2">
      <c r="A82" s="150" t="s">
        <v>234</v>
      </c>
      <c r="B82" s="156">
        <f>AVERAGE(B62:F62)</f>
        <v>5.1779808807383518E-2</v>
      </c>
    </row>
  </sheetData>
  <sheetProtection selectLockedCells="1" selectUnlockedCells="1"/>
  <mergeCells count="8">
    <mergeCell ref="A50:K50"/>
    <mergeCell ref="M4:N4"/>
    <mergeCell ref="F4:K4"/>
    <mergeCell ref="A10:J10"/>
    <mergeCell ref="A32:K32"/>
    <mergeCell ref="A38:K38"/>
    <mergeCell ref="I47:K47"/>
    <mergeCell ref="C49:K49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4"/>
  <sheetViews>
    <sheetView topLeftCell="A4" workbookViewId="0">
      <selection activeCell="A19" sqref="A19"/>
    </sheetView>
  </sheetViews>
  <sheetFormatPr defaultColWidth="9.140625" defaultRowHeight="12.75"/>
  <cols>
    <col min="1" max="1" width="28" style="94" customWidth="1"/>
    <col min="2" max="2" width="9.7109375" style="94" customWidth="1"/>
    <col min="3" max="3" width="10.28515625" style="94" customWidth="1"/>
    <col min="4" max="11" width="9.140625" style="94"/>
    <col min="12" max="12" width="9.140625" style="94" customWidth="1"/>
    <col min="13" max="16384" width="9.140625" style="94"/>
  </cols>
  <sheetData>
    <row r="1" spans="1:12" s="43" customFormat="1" ht="15">
      <c r="A1" s="70" t="str">
        <f>'Data Sheet'!A1</f>
        <v>HESTER BIOSCIENCES LIMITED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43" customFormat="1" ht="15">
      <c r="A2" s="70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5">
      <c r="A3" s="181" t="s">
        <v>138</v>
      </c>
      <c r="B3" s="181"/>
      <c r="C3" s="181"/>
      <c r="D3" s="181"/>
      <c r="E3" s="181"/>
      <c r="F3" s="181"/>
      <c r="G3" s="181"/>
      <c r="H3" s="181"/>
      <c r="I3" s="181"/>
      <c r="J3" s="181"/>
      <c r="K3" s="95"/>
    </row>
    <row r="4" spans="1:12" ht="15">
      <c r="A4" s="64" t="str">
        <f>'Data Sheet'!A1</f>
        <v>HESTER BIOSCIENCES LIMITED</v>
      </c>
      <c r="B4" s="96">
        <f>'Data Sheet'!K$4</f>
        <v>41729</v>
      </c>
      <c r="C4" s="96">
        <f>'Data Sheet'!J$4</f>
        <v>41364</v>
      </c>
      <c r="D4" s="96">
        <f>'Data Sheet'!I$4</f>
        <v>40999</v>
      </c>
      <c r="E4" s="96">
        <f>'Data Sheet'!H$4</f>
        <v>40633</v>
      </c>
      <c r="F4" s="96">
        <f>'Data Sheet'!G$4</f>
        <v>40268</v>
      </c>
      <c r="G4" s="96">
        <f>'Data Sheet'!F$4</f>
        <v>39903</v>
      </c>
      <c r="H4" s="96">
        <f>'Data Sheet'!E$4</f>
        <v>39538</v>
      </c>
      <c r="I4" s="96">
        <f>'Data Sheet'!D$4</f>
        <v>39172</v>
      </c>
      <c r="J4" s="96">
        <f>'Data Sheet'!C$4</f>
        <v>38807</v>
      </c>
      <c r="K4" s="96">
        <f>'Data Sheet'!B$4</f>
        <v>38442</v>
      </c>
    </row>
    <row r="5" spans="1:12">
      <c r="A5" s="97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2">
      <c r="A6" s="99" t="s">
        <v>46</v>
      </c>
      <c r="B6" s="140">
        <v>35.590000000000003</v>
      </c>
      <c r="C6" s="140">
        <v>31.1</v>
      </c>
      <c r="D6" s="140">
        <v>27.56</v>
      </c>
      <c r="E6" s="140">
        <v>22.68</v>
      </c>
      <c r="F6" s="140">
        <v>16.96</v>
      </c>
      <c r="G6" s="140">
        <v>11.71</v>
      </c>
      <c r="H6" s="140">
        <v>7.01</v>
      </c>
      <c r="I6" s="140">
        <v>4.99</v>
      </c>
      <c r="J6" s="140">
        <v>2.75</v>
      </c>
      <c r="K6" s="140">
        <v>2.02</v>
      </c>
    </row>
    <row r="7" spans="1:12">
      <c r="A7" s="99" t="s">
        <v>45</v>
      </c>
      <c r="B7" s="140">
        <v>14.06</v>
      </c>
      <c r="C7" s="140">
        <v>15.04</v>
      </c>
      <c r="D7" s="140">
        <v>14.36</v>
      </c>
      <c r="E7" s="140">
        <v>13.22</v>
      </c>
      <c r="F7" s="140">
        <v>11.02</v>
      </c>
      <c r="G7" s="140">
        <v>12.34</v>
      </c>
      <c r="H7" s="140">
        <v>10.59</v>
      </c>
      <c r="I7" s="140">
        <v>9.67</v>
      </c>
      <c r="J7" s="140">
        <v>8.4700000000000006</v>
      </c>
      <c r="K7" s="140">
        <v>7.67</v>
      </c>
    </row>
    <row r="8" spans="1:12">
      <c r="A8" s="99" t="s">
        <v>139</v>
      </c>
      <c r="B8" s="140">
        <v>1.06</v>
      </c>
      <c r="C8" s="140">
        <v>1.08</v>
      </c>
      <c r="D8" s="140">
        <v>1.19</v>
      </c>
      <c r="E8" s="140">
        <v>0.63</v>
      </c>
      <c r="F8" s="140">
        <v>0.7</v>
      </c>
      <c r="G8" s="140">
        <v>0.42</v>
      </c>
      <c r="H8" s="140">
        <v>0.45</v>
      </c>
      <c r="I8" s="140">
        <v>0.72</v>
      </c>
      <c r="J8" s="140">
        <v>0.17</v>
      </c>
      <c r="K8" s="140">
        <v>0.25</v>
      </c>
    </row>
    <row r="9" spans="1:12">
      <c r="A9" s="99" t="s">
        <v>140</v>
      </c>
      <c r="B9" s="140">
        <v>61.36</v>
      </c>
      <c r="C9" s="140">
        <v>53.15</v>
      </c>
      <c r="D9" s="140">
        <v>46.6</v>
      </c>
      <c r="E9" s="140">
        <v>47.37</v>
      </c>
      <c r="F9" s="140">
        <v>41.15</v>
      </c>
      <c r="G9" s="140">
        <v>36.630000000000003</v>
      </c>
      <c r="H9" s="140">
        <v>29.63</v>
      </c>
      <c r="I9" s="140">
        <v>30.08</v>
      </c>
      <c r="J9" s="140">
        <v>15.41</v>
      </c>
      <c r="K9" s="140">
        <v>12.17</v>
      </c>
    </row>
    <row r="10" spans="1:12">
      <c r="A10" s="99" t="s">
        <v>141</v>
      </c>
      <c r="B10" s="140">
        <v>20.39</v>
      </c>
      <c r="C10" s="140">
        <v>25.34</v>
      </c>
      <c r="D10" s="140">
        <v>17.88</v>
      </c>
      <c r="E10" s="140">
        <v>19.77</v>
      </c>
      <c r="F10" s="140">
        <v>19.98</v>
      </c>
      <c r="G10" s="140">
        <v>21.75</v>
      </c>
      <c r="H10" s="140">
        <v>16.93</v>
      </c>
      <c r="I10" s="140">
        <v>15.22</v>
      </c>
      <c r="J10" s="140">
        <v>7.13</v>
      </c>
      <c r="K10" s="140">
        <v>6.58</v>
      </c>
    </row>
    <row r="11" spans="1:12">
      <c r="A11" s="99" t="s">
        <v>142</v>
      </c>
      <c r="B11" s="140">
        <f>B9-B10</f>
        <v>40.97</v>
      </c>
      <c r="C11" s="140">
        <f t="shared" ref="C11:F11" si="0">C9-C10</f>
        <v>27.81</v>
      </c>
      <c r="D11" s="140">
        <f t="shared" si="0"/>
        <v>28.720000000000002</v>
      </c>
      <c r="E11" s="140">
        <f t="shared" si="0"/>
        <v>27.599999999999998</v>
      </c>
      <c r="F11" s="140">
        <f t="shared" si="0"/>
        <v>21.169999999999998</v>
      </c>
      <c r="G11" s="140">
        <f t="shared" ref="G11" si="1">G9-G10</f>
        <v>14.880000000000003</v>
      </c>
      <c r="H11" s="140">
        <f t="shared" ref="H11" si="2">H9-H10</f>
        <v>12.7</v>
      </c>
      <c r="I11" s="140">
        <f t="shared" ref="I11" si="3">I9-I10</f>
        <v>14.859999999999998</v>
      </c>
      <c r="J11" s="140">
        <f t="shared" ref="J11" si="4">J9-J10</f>
        <v>8.2800000000000011</v>
      </c>
      <c r="K11" s="140">
        <f t="shared" ref="K11" si="5">K9-K10</f>
        <v>5.59</v>
      </c>
      <c r="L11" s="94" t="str">
        <f>IF(B11=B46,"CORRECT", "CHECK MC DATA")</f>
        <v>CHECK MC DATA</v>
      </c>
    </row>
    <row r="12" spans="1:12" ht="12.75" customHeight="1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12" ht="15">
      <c r="A13" s="181" t="s">
        <v>143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00"/>
    </row>
    <row r="14" spans="1:12" ht="15">
      <c r="A14" s="101" t="s">
        <v>144</v>
      </c>
      <c r="B14" s="102">
        <f>'Data Sheet'!K$4</f>
        <v>41729</v>
      </c>
      <c r="C14" s="102">
        <f>'Data Sheet'!J$4</f>
        <v>41364</v>
      </c>
      <c r="D14" s="102">
        <f>'Data Sheet'!I$4</f>
        <v>40999</v>
      </c>
      <c r="E14" s="102">
        <f>'Data Sheet'!H$4</f>
        <v>40633</v>
      </c>
      <c r="F14" s="102">
        <f>'Data Sheet'!G$4</f>
        <v>40268</v>
      </c>
      <c r="G14" s="102">
        <f>'Data Sheet'!F$4</f>
        <v>39903</v>
      </c>
      <c r="H14" s="102">
        <f>'Data Sheet'!E$4</f>
        <v>39538</v>
      </c>
      <c r="I14" s="102">
        <f>'Data Sheet'!D$4</f>
        <v>39172</v>
      </c>
      <c r="J14" s="102">
        <f>'Data Sheet'!C$4</f>
        <v>38807</v>
      </c>
      <c r="K14" s="102">
        <f>'Data Sheet'!B$4</f>
        <v>38442</v>
      </c>
      <c r="L14" s="103"/>
    </row>
    <row r="15" spans="1:12">
      <c r="A15" s="104" t="s">
        <v>145</v>
      </c>
      <c r="B15" s="105">
        <v>14.9</v>
      </c>
      <c r="C15" s="105">
        <v>18.47</v>
      </c>
      <c r="D15" s="105">
        <v>13.03</v>
      </c>
      <c r="E15" s="105">
        <v>13.03</v>
      </c>
      <c r="F15" s="105">
        <v>11.39</v>
      </c>
      <c r="G15" s="105">
        <v>8.3800000000000008</v>
      </c>
      <c r="H15" s="105">
        <v>7.96</v>
      </c>
      <c r="I15" s="105">
        <v>8.2100000000000009</v>
      </c>
      <c r="J15" s="105">
        <v>5.67</v>
      </c>
      <c r="K15" s="105">
        <v>5.71</v>
      </c>
      <c r="L15" s="103"/>
    </row>
    <row r="16" spans="1:12">
      <c r="A16" s="104" t="s">
        <v>146</v>
      </c>
      <c r="B16" s="105">
        <v>9.84</v>
      </c>
      <c r="C16" s="105">
        <v>9.06</v>
      </c>
      <c r="D16" s="105">
        <v>6.87</v>
      </c>
      <c r="E16" s="105">
        <v>5.82</v>
      </c>
      <c r="F16" s="105">
        <v>5</v>
      </c>
      <c r="G16" s="105">
        <v>3.67</v>
      </c>
      <c r="H16" s="105">
        <v>2.99</v>
      </c>
      <c r="I16" s="105">
        <v>1.96</v>
      </c>
      <c r="J16" s="105">
        <v>1.52</v>
      </c>
      <c r="K16" s="105">
        <v>1.39</v>
      </c>
      <c r="L16" s="107"/>
    </row>
    <row r="17" spans="1:12">
      <c r="A17" s="104" t="s">
        <v>147</v>
      </c>
      <c r="B17" s="105">
        <v>0</v>
      </c>
      <c r="C17" s="105">
        <v>0</v>
      </c>
      <c r="D17" s="105">
        <v>0</v>
      </c>
      <c r="E17" s="105">
        <v>4.47</v>
      </c>
      <c r="F17" s="105">
        <v>3.68</v>
      </c>
      <c r="G17" s="105">
        <v>4.0199999999999996</v>
      </c>
      <c r="H17" s="105">
        <v>3.76</v>
      </c>
      <c r="I17" s="105">
        <v>3.21</v>
      </c>
      <c r="J17" s="105">
        <v>2.41</v>
      </c>
      <c r="K17" s="105">
        <v>1.6</v>
      </c>
      <c r="L17" s="107"/>
    </row>
    <row r="18" spans="1:12">
      <c r="A18" s="104" t="s">
        <v>148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7"/>
    </row>
    <row r="19" spans="1:12">
      <c r="A19" s="104" t="s">
        <v>275</v>
      </c>
      <c r="B19" s="105">
        <v>6.86</v>
      </c>
      <c r="C19" s="105">
        <v>5.57</v>
      </c>
      <c r="D19" s="105">
        <v>5.42</v>
      </c>
      <c r="E19" s="105">
        <v>2.2999999999999998</v>
      </c>
      <c r="F19" s="105">
        <v>2.06</v>
      </c>
      <c r="G19" s="105">
        <v>1.06</v>
      </c>
      <c r="H19" s="105">
        <v>0.97</v>
      </c>
      <c r="I19" s="105">
        <v>0.9</v>
      </c>
      <c r="J19" s="105">
        <v>1.22</v>
      </c>
      <c r="K19" s="105">
        <v>0.51</v>
      </c>
      <c r="L19" s="107"/>
    </row>
    <row r="20" spans="1:12">
      <c r="A20" s="104" t="s">
        <v>150</v>
      </c>
      <c r="B20" s="105">
        <v>4.2699999999999996</v>
      </c>
      <c r="C20" s="105">
        <v>3.2</v>
      </c>
      <c r="D20" s="105">
        <v>2.89</v>
      </c>
      <c r="E20" s="105">
        <v>2.2599999999999998</v>
      </c>
      <c r="F20" s="105">
        <v>2.12</v>
      </c>
      <c r="G20" s="105">
        <v>1.67</v>
      </c>
      <c r="H20" s="105">
        <v>1.23</v>
      </c>
      <c r="I20" s="105">
        <v>0.61</v>
      </c>
      <c r="J20" s="105">
        <v>0.59</v>
      </c>
      <c r="K20" s="105">
        <v>0.45</v>
      </c>
      <c r="L20" s="107"/>
    </row>
    <row r="21" spans="1:12">
      <c r="A21" s="104" t="s">
        <v>151</v>
      </c>
      <c r="B21" s="105">
        <v>10.88</v>
      </c>
      <c r="C21" s="105">
        <v>8.86</v>
      </c>
      <c r="D21" s="105">
        <v>6.3</v>
      </c>
      <c r="E21" s="105">
        <v>1.5</v>
      </c>
      <c r="F21" s="105">
        <v>1.18</v>
      </c>
      <c r="G21" s="105">
        <v>0.67</v>
      </c>
      <c r="H21" s="105">
        <v>0.7</v>
      </c>
      <c r="I21" s="105">
        <v>0.47</v>
      </c>
      <c r="J21" s="105">
        <v>0.49</v>
      </c>
      <c r="K21" s="105">
        <v>0.55000000000000004</v>
      </c>
      <c r="L21" s="107"/>
    </row>
    <row r="22" spans="1:12">
      <c r="A22" s="104" t="s">
        <v>152</v>
      </c>
      <c r="B22" s="105"/>
      <c r="C22" s="105"/>
      <c r="D22" s="105"/>
      <c r="E22" s="105"/>
      <c r="F22" s="106"/>
      <c r="G22" s="105"/>
      <c r="H22" s="105"/>
      <c r="I22" s="105"/>
      <c r="J22" s="105"/>
      <c r="K22" s="105"/>
      <c r="L22" s="107"/>
    </row>
    <row r="23" spans="1:12">
      <c r="A23" s="104" t="s">
        <v>153</v>
      </c>
      <c r="B23" s="105">
        <f>(B44-C44)+(B45-C45)+B29</f>
        <v>10.459999999999997</v>
      </c>
      <c r="C23" s="105">
        <f t="shared" ref="C23:J23" si="6">(C44-D44)+(C45-D45)+C29</f>
        <v>20.310000000000002</v>
      </c>
      <c r="D23" s="105">
        <f t="shared" si="6"/>
        <v>7.7300000000000022</v>
      </c>
      <c r="E23" s="105">
        <f t="shared" si="6"/>
        <v>3.8599999999999959</v>
      </c>
      <c r="F23" s="105">
        <f t="shared" si="6"/>
        <v>3.5400000000000027</v>
      </c>
      <c r="G23" s="105">
        <f t="shared" si="6"/>
        <v>3.4700000000000024</v>
      </c>
      <c r="H23" s="105">
        <f t="shared" si="6"/>
        <v>9.1499999999999968</v>
      </c>
      <c r="I23" s="105">
        <f t="shared" si="6"/>
        <v>28.900000000000006</v>
      </c>
      <c r="J23" s="105">
        <f t="shared" si="6"/>
        <v>2.7600000000000007</v>
      </c>
      <c r="K23" s="105"/>
      <c r="L23" s="107"/>
    </row>
    <row r="24" spans="1:12" ht="15">
      <c r="A24" s="151" t="str">
        <f>'Data Sheet'!A1</f>
        <v>HESTER BIOSCIENCES LIMITED</v>
      </c>
      <c r="B24" s="152">
        <f>'Data Sheet'!K$4</f>
        <v>41729</v>
      </c>
      <c r="C24" s="152">
        <f>'Data Sheet'!J$4</f>
        <v>41364</v>
      </c>
      <c r="D24" s="152">
        <f>'Data Sheet'!I$4</f>
        <v>40999</v>
      </c>
      <c r="E24" s="152">
        <f>'Data Sheet'!H$4</f>
        <v>40633</v>
      </c>
      <c r="F24" s="152">
        <f>'Data Sheet'!G$4</f>
        <v>40268</v>
      </c>
      <c r="G24" s="152">
        <f>'Data Sheet'!F$4</f>
        <v>39903</v>
      </c>
      <c r="H24" s="152">
        <f>'Data Sheet'!E$4</f>
        <v>39538</v>
      </c>
      <c r="I24" s="152">
        <f>'Data Sheet'!D$4</f>
        <v>39172</v>
      </c>
      <c r="J24" s="152">
        <f>'Data Sheet'!C$4</f>
        <v>38807</v>
      </c>
      <c r="K24" s="152">
        <f>'Data Sheet'!B$4</f>
        <v>38442</v>
      </c>
      <c r="L24" s="103"/>
    </row>
    <row r="25" spans="1:12">
      <c r="A25" s="141" t="s">
        <v>5</v>
      </c>
      <c r="B25" s="141">
        <f>'Data Sheet'!K6</f>
        <v>69.05</v>
      </c>
      <c r="C25" s="141">
        <f>'Data Sheet'!J6</f>
        <v>65.099999999999994</v>
      </c>
      <c r="D25" s="141">
        <f>'Data Sheet'!I6</f>
        <v>47.96</v>
      </c>
      <c r="E25" s="141">
        <f>'Data Sheet'!H6</f>
        <v>41.97</v>
      </c>
      <c r="F25" s="141">
        <f>'Data Sheet'!G6</f>
        <v>37.53</v>
      </c>
      <c r="G25" s="141">
        <f>'Data Sheet'!F6</f>
        <v>30.16</v>
      </c>
      <c r="H25" s="141">
        <f>'Data Sheet'!E6</f>
        <v>32.630000000000003</v>
      </c>
      <c r="I25" s="141">
        <f>'Data Sheet'!D6</f>
        <v>21.83</v>
      </c>
      <c r="J25" s="141">
        <f>'Data Sheet'!C6</f>
        <v>20.14</v>
      </c>
      <c r="K25" s="141">
        <f>'Data Sheet'!B6</f>
        <v>16.239999999999998</v>
      </c>
    </row>
    <row r="26" spans="1:12">
      <c r="A26" s="141" t="str">
        <f t="shared" ref="A26:K26" si="7">A15</f>
        <v>Raw Materials</v>
      </c>
      <c r="B26" s="141">
        <f t="shared" si="7"/>
        <v>14.9</v>
      </c>
      <c r="C26" s="141">
        <f t="shared" si="7"/>
        <v>18.47</v>
      </c>
      <c r="D26" s="141">
        <f t="shared" si="7"/>
        <v>13.03</v>
      </c>
      <c r="E26" s="141">
        <f t="shared" si="7"/>
        <v>13.03</v>
      </c>
      <c r="F26" s="141">
        <f t="shared" si="7"/>
        <v>11.39</v>
      </c>
      <c r="G26" s="141">
        <f t="shared" si="7"/>
        <v>8.3800000000000008</v>
      </c>
      <c r="H26" s="141">
        <f t="shared" si="7"/>
        <v>7.96</v>
      </c>
      <c r="I26" s="141">
        <f t="shared" si="7"/>
        <v>8.2100000000000009</v>
      </c>
      <c r="J26" s="141">
        <f t="shared" si="7"/>
        <v>5.67</v>
      </c>
      <c r="K26" s="141">
        <f t="shared" si="7"/>
        <v>5.71</v>
      </c>
    </row>
    <row r="27" spans="1:12">
      <c r="A27" s="141" t="s">
        <v>154</v>
      </c>
      <c r="B27" s="141">
        <f t="shared" ref="B27:K27" si="8">B25-B26</f>
        <v>54.15</v>
      </c>
      <c r="C27" s="141">
        <f t="shared" si="8"/>
        <v>46.629999999999995</v>
      </c>
      <c r="D27" s="141">
        <f t="shared" si="8"/>
        <v>34.93</v>
      </c>
      <c r="E27" s="141">
        <f t="shared" si="8"/>
        <v>28.939999999999998</v>
      </c>
      <c r="F27" s="141">
        <f t="shared" si="8"/>
        <v>26.14</v>
      </c>
      <c r="G27" s="141">
        <f t="shared" si="8"/>
        <v>21.78</v>
      </c>
      <c r="H27" s="141">
        <f t="shared" si="8"/>
        <v>24.67</v>
      </c>
      <c r="I27" s="141">
        <f t="shared" si="8"/>
        <v>13.619999999999997</v>
      </c>
      <c r="J27" s="141">
        <f t="shared" si="8"/>
        <v>14.47</v>
      </c>
      <c r="K27" s="141">
        <f t="shared" si="8"/>
        <v>10.529999999999998</v>
      </c>
    </row>
    <row r="28" spans="1:12">
      <c r="A28" s="141" t="s">
        <v>155</v>
      </c>
      <c r="B28" s="141">
        <f>'Data Sheet'!K9</f>
        <v>26.1</v>
      </c>
      <c r="C28" s="141">
        <f>'Data Sheet'!J9</f>
        <v>22.64</v>
      </c>
      <c r="D28" s="141">
        <f>'Data Sheet'!I9</f>
        <v>19.149999999999999</v>
      </c>
      <c r="E28" s="141">
        <f>'Data Sheet'!H9</f>
        <v>18.190000000000001</v>
      </c>
      <c r="F28" s="141">
        <f>'Data Sheet'!G9</f>
        <v>16.2</v>
      </c>
      <c r="G28" s="141">
        <f>'Data Sheet'!F9</f>
        <v>14.89</v>
      </c>
      <c r="H28" s="141">
        <f>'Data Sheet'!E9</f>
        <v>17.16</v>
      </c>
      <c r="I28" s="141">
        <f>'Data Sheet'!D9</f>
        <v>8.98</v>
      </c>
      <c r="J28" s="141">
        <f>'Data Sheet'!C9</f>
        <v>8.98</v>
      </c>
      <c r="K28" s="141">
        <f>'Data Sheet'!B9</f>
        <v>7</v>
      </c>
    </row>
    <row r="29" spans="1:12">
      <c r="A29" s="141" t="s">
        <v>156</v>
      </c>
      <c r="B29" s="141">
        <f>'Data Sheet'!K10</f>
        <v>5.38</v>
      </c>
      <c r="C29" s="141">
        <f>'Data Sheet'!J10</f>
        <v>4.3899999999999997</v>
      </c>
      <c r="D29" s="141">
        <f>'Data Sheet'!I10</f>
        <v>4.12</v>
      </c>
      <c r="E29" s="141">
        <f>'Data Sheet'!H10</f>
        <v>4.4800000000000004</v>
      </c>
      <c r="F29" s="141">
        <f>'Data Sheet'!G10</f>
        <v>4.2300000000000004</v>
      </c>
      <c r="G29" s="141">
        <f>'Data Sheet'!F10</f>
        <v>3.84</v>
      </c>
      <c r="H29" s="141">
        <f>'Data Sheet'!E10</f>
        <v>3.68</v>
      </c>
      <c r="I29" s="141">
        <f>'Data Sheet'!D10</f>
        <v>0.44</v>
      </c>
      <c r="J29" s="141">
        <f>'Data Sheet'!C10</f>
        <v>0.35</v>
      </c>
      <c r="K29" s="141">
        <f>'Data Sheet'!B10</f>
        <v>0.32</v>
      </c>
    </row>
    <row r="30" spans="1:12">
      <c r="A30" s="141" t="s">
        <v>11</v>
      </c>
      <c r="B30" s="141">
        <f>'Data Sheet'!K11</f>
        <v>20.72</v>
      </c>
      <c r="C30" s="141">
        <f>'Data Sheet'!J11</f>
        <v>18.25</v>
      </c>
      <c r="D30" s="141">
        <f>'Data Sheet'!I11</f>
        <v>15.03</v>
      </c>
      <c r="E30" s="141">
        <f>'Data Sheet'!H11</f>
        <v>13.71</v>
      </c>
      <c r="F30" s="141">
        <f>'Data Sheet'!G11</f>
        <v>11.97</v>
      </c>
      <c r="G30" s="141">
        <f>'Data Sheet'!F11</f>
        <v>11.05</v>
      </c>
      <c r="H30" s="141">
        <f>'Data Sheet'!E11</f>
        <v>13.48</v>
      </c>
      <c r="I30" s="141">
        <f>'Data Sheet'!D11</f>
        <v>8.5399999999999991</v>
      </c>
      <c r="J30" s="141">
        <f>'Data Sheet'!C11</f>
        <v>8.6300000000000008</v>
      </c>
      <c r="K30" s="141">
        <f>'Data Sheet'!B11</f>
        <v>6.68</v>
      </c>
    </row>
    <row r="31" spans="1:12">
      <c r="A31" s="141" t="s">
        <v>12</v>
      </c>
      <c r="B31" s="141">
        <f>'Data Sheet'!K12</f>
        <v>6.43</v>
      </c>
      <c r="C31" s="141">
        <f>'Data Sheet'!J12</f>
        <v>3.22</v>
      </c>
      <c r="D31" s="141">
        <f>'Data Sheet'!I12</f>
        <v>2.83</v>
      </c>
      <c r="E31" s="141">
        <f>'Data Sheet'!H12</f>
        <v>2.5299999999999998</v>
      </c>
      <c r="F31" s="141">
        <f>'Data Sheet'!G12</f>
        <v>2.36</v>
      </c>
      <c r="G31" s="141">
        <f>'Data Sheet'!F12</f>
        <v>2.89</v>
      </c>
      <c r="H31" s="141">
        <f>'Data Sheet'!E12</f>
        <v>2.65</v>
      </c>
      <c r="I31" s="141">
        <f>'Data Sheet'!D12</f>
        <v>0.7</v>
      </c>
      <c r="J31" s="141">
        <f>'Data Sheet'!C12</f>
        <v>0.26</v>
      </c>
      <c r="K31" s="141">
        <f>'Data Sheet'!B12</f>
        <v>0.24</v>
      </c>
    </row>
    <row r="32" spans="1:12">
      <c r="A32" s="141" t="s">
        <v>157</v>
      </c>
      <c r="B32" s="141">
        <f>'Data Sheet'!K13</f>
        <v>14.29</v>
      </c>
      <c r="C32" s="141">
        <f>'Data Sheet'!J13</f>
        <v>15.03</v>
      </c>
      <c r="D32" s="141">
        <f>'Data Sheet'!I13</f>
        <v>12.2</v>
      </c>
      <c r="E32" s="141">
        <f>'Data Sheet'!H13</f>
        <v>11.18</v>
      </c>
      <c r="F32" s="141">
        <f>'Data Sheet'!G13</f>
        <v>9.6</v>
      </c>
      <c r="G32" s="141">
        <f>'Data Sheet'!F13</f>
        <v>8.16</v>
      </c>
      <c r="H32" s="141">
        <f>'Data Sheet'!E13</f>
        <v>10.83</v>
      </c>
      <c r="I32" s="141">
        <f>'Data Sheet'!D13</f>
        <v>7.84</v>
      </c>
      <c r="J32" s="141">
        <f>'Data Sheet'!C13</f>
        <v>8.3699999999999992</v>
      </c>
      <c r="K32" s="141">
        <f>'Data Sheet'!B13</f>
        <v>6.39</v>
      </c>
    </row>
    <row r="33" spans="1:11">
      <c r="A33" s="141" t="s">
        <v>14</v>
      </c>
      <c r="B33" s="141">
        <f>'Data Sheet'!K14</f>
        <v>4.2</v>
      </c>
      <c r="C33" s="141">
        <f>'Data Sheet'!J14</f>
        <v>5.34</v>
      </c>
      <c r="D33" s="141">
        <f>'Data Sheet'!I14</f>
        <v>4.4000000000000004</v>
      </c>
      <c r="E33" s="141">
        <f>'Data Sheet'!H14</f>
        <v>3.89</v>
      </c>
      <c r="F33" s="141">
        <f>'Data Sheet'!G14</f>
        <v>3.32</v>
      </c>
      <c r="G33" s="141">
        <f>'Data Sheet'!F14</f>
        <v>3.42</v>
      </c>
      <c r="H33" s="141">
        <f>'Data Sheet'!E14</f>
        <v>3.87</v>
      </c>
      <c r="I33" s="141">
        <f>'Data Sheet'!D14</f>
        <v>2.78</v>
      </c>
      <c r="J33" s="141">
        <f>'Data Sheet'!C14</f>
        <v>2.42</v>
      </c>
      <c r="K33" s="141">
        <f>'Data Sheet'!B14</f>
        <v>2.39</v>
      </c>
    </row>
    <row r="34" spans="1:11">
      <c r="A34" s="141" t="s">
        <v>84</v>
      </c>
      <c r="B34" s="141">
        <f>'Data Sheet'!K15</f>
        <v>10.09</v>
      </c>
      <c r="C34" s="141">
        <f>'Data Sheet'!J15</f>
        <v>9.69</v>
      </c>
      <c r="D34" s="141">
        <f>'Data Sheet'!I15</f>
        <v>7.79</v>
      </c>
      <c r="E34" s="141">
        <f>'Data Sheet'!H15</f>
        <v>7.6</v>
      </c>
      <c r="F34" s="141">
        <f>'Data Sheet'!G15</f>
        <v>6.03</v>
      </c>
      <c r="G34" s="141">
        <f>'Data Sheet'!F15</f>
        <v>4.74</v>
      </c>
      <c r="H34" s="141">
        <f>'Data Sheet'!E15</f>
        <v>7.04</v>
      </c>
      <c r="I34" s="141">
        <f>'Data Sheet'!D15</f>
        <v>5.15</v>
      </c>
      <c r="J34" s="141">
        <f>'Data Sheet'!C15</f>
        <v>4.4400000000000004</v>
      </c>
      <c r="K34" s="141">
        <f>'Data Sheet'!B15</f>
        <v>3.94</v>
      </c>
    </row>
    <row r="35" spans="1:11">
      <c r="A35" s="141" t="s">
        <v>158</v>
      </c>
      <c r="B35" s="141">
        <f>'Data Sheet'!K72</f>
        <v>1.41</v>
      </c>
      <c r="C35" s="141">
        <f>'Data Sheet'!J72</f>
        <v>1.41</v>
      </c>
      <c r="D35" s="141">
        <f>'Data Sheet'!I72</f>
        <v>0.48</v>
      </c>
      <c r="E35" s="141">
        <f>'Data Sheet'!H72</f>
        <v>1.52</v>
      </c>
      <c r="F35" s="141">
        <f>'Data Sheet'!G72</f>
        <v>1.3</v>
      </c>
      <c r="G35" s="141">
        <f>'Data Sheet'!F72</f>
        <v>1.08</v>
      </c>
      <c r="H35" s="141">
        <f>'Data Sheet'!E72</f>
        <v>1.08</v>
      </c>
      <c r="I35" s="141">
        <f>'Data Sheet'!D72</f>
        <v>0.86</v>
      </c>
      <c r="J35" s="141">
        <f>'Data Sheet'!C72</f>
        <v>0.47</v>
      </c>
      <c r="K35" s="141">
        <f>'Data Sheet'!B72</f>
        <v>0.35</v>
      </c>
    </row>
    <row r="36" spans="1:11">
      <c r="A36" s="141" t="s">
        <v>159</v>
      </c>
      <c r="B36" s="141">
        <f>'Data Sheet'!K17</f>
        <v>0</v>
      </c>
      <c r="C36" s="141">
        <f>'Data Sheet'!J17</f>
        <v>78.36</v>
      </c>
      <c r="D36" s="141">
        <f>'Data Sheet'!I17</f>
        <v>62.68</v>
      </c>
      <c r="E36" s="141">
        <f>'Data Sheet'!H17</f>
        <v>70.69</v>
      </c>
      <c r="F36" s="141">
        <f>'Data Sheet'!G17</f>
        <v>50.7</v>
      </c>
      <c r="G36" s="141">
        <f>'Data Sheet'!F17</f>
        <v>49.69</v>
      </c>
      <c r="H36" s="141">
        <f>'Data Sheet'!E17</f>
        <v>73.39</v>
      </c>
      <c r="I36" s="141">
        <f>'Data Sheet'!D17</f>
        <v>40.549999999999997</v>
      </c>
      <c r="J36" s="141">
        <f>'Data Sheet'!C17</f>
        <v>44.39</v>
      </c>
      <c r="K36" s="141">
        <f>'Data Sheet'!B17</f>
        <v>13.02</v>
      </c>
    </row>
    <row r="37" spans="1:11" ht="12.75" customHeight="1">
      <c r="A37" s="153" t="s">
        <v>160</v>
      </c>
      <c r="B37" s="153">
        <f>'Data Sheet'!B63*'Data Sheet'!B61</f>
        <v>501.5</v>
      </c>
      <c r="C37" s="185"/>
      <c r="D37" s="186"/>
      <c r="E37" s="186"/>
      <c r="F37" s="186"/>
      <c r="G37" s="186"/>
      <c r="H37" s="186"/>
      <c r="I37" s="186"/>
      <c r="J37" s="186"/>
      <c r="K37" s="187"/>
    </row>
    <row r="38" spans="1:1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</row>
    <row r="39" spans="1:11">
      <c r="A39" s="148" t="s">
        <v>161</v>
      </c>
      <c r="B39" s="141">
        <f>'Data Sheet'!K38</f>
        <v>8.51</v>
      </c>
      <c r="C39" s="141">
        <f>'Data Sheet'!J38</f>
        <v>8.51</v>
      </c>
      <c r="D39" s="141">
        <f>'Data Sheet'!I38</f>
        <v>5.67</v>
      </c>
      <c r="E39" s="141">
        <f>'Data Sheet'!H38</f>
        <v>5.19</v>
      </c>
      <c r="F39" s="141">
        <f>'Data Sheet'!G38</f>
        <v>5.19</v>
      </c>
      <c r="G39" s="141">
        <f>'Data Sheet'!F38</f>
        <v>5.19</v>
      </c>
      <c r="H39" s="141">
        <f>'Data Sheet'!E38</f>
        <v>5.19</v>
      </c>
      <c r="I39" s="141">
        <f>'Data Sheet'!D38</f>
        <v>5.19</v>
      </c>
      <c r="J39" s="141">
        <f>'Data Sheet'!C38</f>
        <v>3.71</v>
      </c>
      <c r="K39" s="141">
        <f>'Data Sheet'!B38</f>
        <v>3.53</v>
      </c>
    </row>
    <row r="40" spans="1:11">
      <c r="A40" s="148" t="s">
        <v>162</v>
      </c>
      <c r="B40" s="148">
        <f>'Data Sheet'!K39</f>
        <v>67.47</v>
      </c>
      <c r="C40" s="148">
        <f>'Data Sheet'!J39</f>
        <v>59.37</v>
      </c>
      <c r="D40" s="148">
        <f>'Data Sheet'!I39</f>
        <v>54.38</v>
      </c>
      <c r="E40" s="148">
        <f>'Data Sheet'!H39</f>
        <v>41.15</v>
      </c>
      <c r="F40" s="148">
        <f>'Data Sheet'!G39</f>
        <v>35.67</v>
      </c>
      <c r="G40" s="148">
        <f>'Data Sheet'!F39</f>
        <v>31.46</v>
      </c>
      <c r="H40" s="148">
        <f>'Data Sheet'!E39</f>
        <v>28.28</v>
      </c>
      <c r="I40" s="148">
        <f>'Data Sheet'!D39</f>
        <v>22.76</v>
      </c>
      <c r="J40" s="148">
        <f>'Data Sheet'!C39</f>
        <v>9.94</v>
      </c>
      <c r="K40" s="148">
        <f>'Data Sheet'!B39</f>
        <v>3.61</v>
      </c>
    </row>
    <row r="41" spans="1:11">
      <c r="A41" s="148" t="s">
        <v>163</v>
      </c>
      <c r="B41" s="141">
        <f t="shared" ref="B41:K41" si="9">B40+B39</f>
        <v>75.98</v>
      </c>
      <c r="C41" s="141">
        <f t="shared" si="9"/>
        <v>67.88</v>
      </c>
      <c r="D41" s="141">
        <f t="shared" si="9"/>
        <v>60.050000000000004</v>
      </c>
      <c r="E41" s="141">
        <f t="shared" si="9"/>
        <v>46.339999999999996</v>
      </c>
      <c r="F41" s="141">
        <f t="shared" si="9"/>
        <v>40.86</v>
      </c>
      <c r="G41" s="141">
        <f t="shared" si="9"/>
        <v>36.65</v>
      </c>
      <c r="H41" s="141">
        <f t="shared" si="9"/>
        <v>33.47</v>
      </c>
      <c r="I41" s="141">
        <f t="shared" si="9"/>
        <v>27.950000000000003</v>
      </c>
      <c r="J41" s="141">
        <f t="shared" si="9"/>
        <v>13.649999999999999</v>
      </c>
      <c r="K41" s="141">
        <f t="shared" si="9"/>
        <v>7.14</v>
      </c>
    </row>
    <row r="42" spans="1:11">
      <c r="A42" s="148" t="s">
        <v>38</v>
      </c>
      <c r="B42" s="141">
        <f>'Data Sheet'!K40</f>
        <v>31.69</v>
      </c>
      <c r="C42" s="141">
        <f>'Data Sheet'!J40</f>
        <v>21.48</v>
      </c>
      <c r="D42" s="141">
        <f>'Data Sheet'!I40</f>
        <v>14.02</v>
      </c>
      <c r="E42" s="141">
        <f>'Data Sheet'!H40</f>
        <v>21.32</v>
      </c>
      <c r="F42" s="141">
        <f>'Data Sheet'!G40</f>
        <v>20.149999999999999</v>
      </c>
      <c r="G42" s="141">
        <f>'Data Sheet'!F40</f>
        <v>18.77</v>
      </c>
      <c r="H42" s="141">
        <f>'Data Sheet'!E40</f>
        <v>20.14</v>
      </c>
      <c r="I42" s="141">
        <f>'Data Sheet'!D40</f>
        <v>22.36</v>
      </c>
      <c r="J42" s="141">
        <f>'Data Sheet'!C40</f>
        <v>1.69</v>
      </c>
      <c r="K42" s="141">
        <f>'Data Sheet'!B40</f>
        <v>1.61</v>
      </c>
    </row>
    <row r="43" spans="1:11">
      <c r="A43" s="148" t="s">
        <v>39</v>
      </c>
      <c r="B43" s="141">
        <f>'Data Sheet'!K41</f>
        <v>0.76</v>
      </c>
      <c r="C43" s="141">
        <f>'Data Sheet'!J41</f>
        <v>0</v>
      </c>
      <c r="D43" s="141">
        <f>'Data Sheet'!I41</f>
        <v>0</v>
      </c>
      <c r="E43" s="141">
        <f>'Data Sheet'!H41</f>
        <v>0</v>
      </c>
      <c r="F43" s="141">
        <f>'Data Sheet'!G41</f>
        <v>0</v>
      </c>
      <c r="G43" s="141">
        <f>'Data Sheet'!F41</f>
        <v>0</v>
      </c>
      <c r="H43" s="141">
        <f>'Data Sheet'!E41</f>
        <v>0</v>
      </c>
      <c r="I43" s="141">
        <f>'Data Sheet'!D41</f>
        <v>0</v>
      </c>
      <c r="J43" s="141">
        <f>'Data Sheet'!C41</f>
        <v>0</v>
      </c>
      <c r="K43" s="141">
        <f>'Data Sheet'!B41</f>
        <v>0</v>
      </c>
    </row>
    <row r="44" spans="1:11">
      <c r="A44" s="141" t="s">
        <v>164</v>
      </c>
      <c r="B44" s="141">
        <f>'Data Sheet'!K43</f>
        <v>50.68</v>
      </c>
      <c r="C44" s="141">
        <f>'Data Sheet'!J43</f>
        <v>34.700000000000003</v>
      </c>
      <c r="D44" s="141">
        <f>'Data Sheet'!I43</f>
        <v>36.53</v>
      </c>
      <c r="E44" s="141">
        <f>'Data Sheet'!H43</f>
        <v>39.22</v>
      </c>
      <c r="F44" s="141">
        <f>'Data Sheet'!G43</f>
        <v>39.840000000000003</v>
      </c>
      <c r="G44" s="141">
        <f>'Data Sheet'!F43</f>
        <v>40.53</v>
      </c>
      <c r="H44" s="141">
        <f>'Data Sheet'!E43</f>
        <v>40.9</v>
      </c>
      <c r="I44" s="141">
        <f>'Data Sheet'!D43</f>
        <v>34.880000000000003</v>
      </c>
      <c r="J44" s="141">
        <f>'Data Sheet'!C43</f>
        <v>4.6500000000000004</v>
      </c>
      <c r="K44" s="141">
        <f>'Data Sheet'!B43</f>
        <v>4.5599999999999996</v>
      </c>
    </row>
    <row r="45" spans="1:11">
      <c r="A45" s="141" t="s">
        <v>42</v>
      </c>
      <c r="B45" s="141">
        <f>'Data Sheet'!K44</f>
        <v>13.15</v>
      </c>
      <c r="C45" s="141">
        <f>'Data Sheet'!J44</f>
        <v>24.05</v>
      </c>
      <c r="D45" s="141">
        <f>'Data Sheet'!I44</f>
        <v>6.3</v>
      </c>
      <c r="E45" s="141">
        <f>'Data Sheet'!H44</f>
        <v>0</v>
      </c>
      <c r="F45" s="141">
        <f>'Data Sheet'!G44</f>
        <v>0</v>
      </c>
      <c r="G45" s="141">
        <f>'Data Sheet'!F44</f>
        <v>0</v>
      </c>
      <c r="H45" s="141">
        <f>'Data Sheet'!E44</f>
        <v>0</v>
      </c>
      <c r="I45" s="141">
        <f>'Data Sheet'!D44</f>
        <v>0.55000000000000004</v>
      </c>
      <c r="J45" s="141">
        <f>'Data Sheet'!C44</f>
        <v>2.3199999999999998</v>
      </c>
      <c r="K45" s="141">
        <f>'Data Sheet'!B44</f>
        <v>0</v>
      </c>
    </row>
    <row r="46" spans="1:11">
      <c r="A46" s="141" t="s">
        <v>44</v>
      </c>
      <c r="B46" s="141">
        <f>'Data Sheet'!K46</f>
        <v>40.96</v>
      </c>
      <c r="C46" s="141">
        <f>'Data Sheet'!J46</f>
        <v>27.82</v>
      </c>
      <c r="D46" s="141">
        <f>'Data Sheet'!I46</f>
        <v>28.73</v>
      </c>
      <c r="E46" s="141">
        <f>'Data Sheet'!H46</f>
        <v>27.59</v>
      </c>
      <c r="F46" s="141">
        <f>'Data Sheet'!G46</f>
        <v>21.18</v>
      </c>
      <c r="G46" s="141">
        <f>'Data Sheet'!F46</f>
        <v>14.88</v>
      </c>
      <c r="H46" s="141">
        <f>'Data Sheet'!E46</f>
        <v>12.71</v>
      </c>
      <c r="I46" s="141">
        <f>'Data Sheet'!D46</f>
        <v>14.87</v>
      </c>
      <c r="J46" s="141">
        <f>'Data Sheet'!C46</f>
        <v>8.2899999999999991</v>
      </c>
      <c r="K46" s="141">
        <f>'Data Sheet'!B46</f>
        <v>5.59</v>
      </c>
    </row>
    <row r="47" spans="1:11">
      <c r="A47" s="141" t="s">
        <v>165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</row>
    <row r="48" spans="1:11">
      <c r="A48" s="141" t="s">
        <v>166</v>
      </c>
      <c r="B48" s="141">
        <f t="shared" ref="B48:K48" si="10">SUM(B44:B47)</f>
        <v>104.78999999999999</v>
      </c>
      <c r="C48" s="141">
        <f t="shared" si="10"/>
        <v>86.57</v>
      </c>
      <c r="D48" s="141">
        <f t="shared" si="10"/>
        <v>71.56</v>
      </c>
      <c r="E48" s="141">
        <f t="shared" si="10"/>
        <v>66.81</v>
      </c>
      <c r="F48" s="141">
        <f t="shared" si="10"/>
        <v>61.02</v>
      </c>
      <c r="G48" s="141">
        <f t="shared" si="10"/>
        <v>55.410000000000004</v>
      </c>
      <c r="H48" s="141">
        <f t="shared" si="10"/>
        <v>53.61</v>
      </c>
      <c r="I48" s="141">
        <f t="shared" si="10"/>
        <v>50.3</v>
      </c>
      <c r="J48" s="141">
        <f t="shared" si="10"/>
        <v>15.26</v>
      </c>
      <c r="K48" s="141">
        <f t="shared" si="10"/>
        <v>10.149999999999999</v>
      </c>
    </row>
    <row r="49" spans="1:11">
      <c r="A49" s="141" t="s">
        <v>167</v>
      </c>
      <c r="B49" s="141">
        <f>SUM(B39+B40+42+43)</f>
        <v>160.98000000000002</v>
      </c>
      <c r="C49" s="141">
        <f t="shared" ref="C49:K49" si="11">SUM(C39+C40+42+43)</f>
        <v>152.88</v>
      </c>
      <c r="D49" s="141">
        <f t="shared" si="11"/>
        <v>145.05000000000001</v>
      </c>
      <c r="E49" s="141">
        <f t="shared" si="11"/>
        <v>131.34</v>
      </c>
      <c r="F49" s="141">
        <f t="shared" si="11"/>
        <v>125.86</v>
      </c>
      <c r="G49" s="141">
        <f t="shared" si="11"/>
        <v>121.65</v>
      </c>
      <c r="H49" s="141">
        <f t="shared" si="11"/>
        <v>118.47</v>
      </c>
      <c r="I49" s="141">
        <f t="shared" si="11"/>
        <v>112.95</v>
      </c>
      <c r="J49" s="141">
        <f t="shared" si="11"/>
        <v>98.65</v>
      </c>
      <c r="K49" s="141">
        <f t="shared" si="11"/>
        <v>92.14</v>
      </c>
    </row>
    <row r="50" spans="1:11" ht="15">
      <c r="A50" s="141" t="s">
        <v>168</v>
      </c>
      <c r="B50" s="150">
        <f>'Data Sheet'!K47</f>
        <v>108.43</v>
      </c>
      <c r="C50" s="150">
        <f>'Data Sheet'!J47</f>
        <v>89.36</v>
      </c>
      <c r="D50" s="150">
        <f>'Data Sheet'!I47</f>
        <v>74.069999999999993</v>
      </c>
      <c r="E50" s="150">
        <f>'Data Sheet'!H47</f>
        <v>69.3</v>
      </c>
      <c r="F50" s="150">
        <f>'Data Sheet'!G47</f>
        <v>61.01</v>
      </c>
      <c r="G50" s="150">
        <f>'Data Sheet'!F47</f>
        <v>55.42</v>
      </c>
      <c r="H50" s="150">
        <f>'Data Sheet'!E47</f>
        <v>53.61</v>
      </c>
      <c r="I50" s="150">
        <f>'Data Sheet'!D47</f>
        <v>50.31</v>
      </c>
      <c r="J50" s="150">
        <f>'Data Sheet'!C47</f>
        <v>15.34</v>
      </c>
      <c r="K50" s="150">
        <f>'Data Sheet'!B47</f>
        <v>10.16</v>
      </c>
    </row>
    <row r="51" spans="1:11" ht="12.75" customHeight="1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>
      <c r="A52" s="148" t="s">
        <v>169</v>
      </c>
      <c r="B52" s="141">
        <f>'Cash Flow'!K4</f>
        <v>10.17</v>
      </c>
      <c r="C52" s="141">
        <f>'Cash Flow'!J4</f>
        <v>13.42</v>
      </c>
      <c r="D52" s="141">
        <f>'Cash Flow'!I4</f>
        <v>12.67</v>
      </c>
      <c r="E52" s="141">
        <f>'Cash Flow'!H4</f>
        <v>13.03</v>
      </c>
      <c r="F52" s="141">
        <f>'Cash Flow'!G4</f>
        <v>13.63</v>
      </c>
      <c r="G52" s="141">
        <f>'Cash Flow'!F4</f>
        <v>7.77</v>
      </c>
      <c r="H52" s="141">
        <f>'Cash Flow'!E4</f>
        <v>9.85</v>
      </c>
      <c r="I52" s="141">
        <f>'Cash Flow'!D4</f>
        <v>11.76</v>
      </c>
      <c r="J52" s="141">
        <f>'Cash Flow'!C4</f>
        <v>4.74</v>
      </c>
      <c r="K52" s="141">
        <f>'Cash Flow'!B4</f>
        <v>2.06</v>
      </c>
    </row>
    <row r="53" spans="1:11">
      <c r="A53" s="148" t="s">
        <v>170</v>
      </c>
      <c r="B53" s="145">
        <f t="shared" ref="B53:K53" si="12">B52-B23</f>
        <v>-0.28999999999999737</v>
      </c>
      <c r="C53" s="145">
        <f t="shared" si="12"/>
        <v>-6.8900000000000023</v>
      </c>
      <c r="D53" s="145">
        <f t="shared" si="12"/>
        <v>4.9399999999999977</v>
      </c>
      <c r="E53" s="145">
        <f t="shared" si="12"/>
        <v>9.1700000000000035</v>
      </c>
      <c r="F53" s="145">
        <f t="shared" si="12"/>
        <v>10.089999999999998</v>
      </c>
      <c r="G53" s="145">
        <f t="shared" si="12"/>
        <v>4.2999999999999972</v>
      </c>
      <c r="H53" s="145">
        <f t="shared" si="12"/>
        <v>0.70000000000000284</v>
      </c>
      <c r="I53" s="145">
        <f t="shared" si="12"/>
        <v>-17.140000000000008</v>
      </c>
      <c r="J53" s="145">
        <f t="shared" si="12"/>
        <v>1.9799999999999995</v>
      </c>
      <c r="K53" s="145">
        <f t="shared" si="12"/>
        <v>2.06</v>
      </c>
    </row>
    <row r="54" spans="1:11">
      <c r="A54" s="148" t="s">
        <v>122</v>
      </c>
      <c r="B54" s="149">
        <f>B33/B32</f>
        <v>0.29391182645206443</v>
      </c>
      <c r="C54" s="149">
        <f t="shared" ref="C54:K54" si="13">C33/C32</f>
        <v>0.35528942115768464</v>
      </c>
      <c r="D54" s="149">
        <f t="shared" si="13"/>
        <v>0.3606557377049181</v>
      </c>
      <c r="E54" s="149">
        <f t="shared" si="13"/>
        <v>0.34794275491949911</v>
      </c>
      <c r="F54" s="149">
        <f t="shared" si="13"/>
        <v>0.34583333333333333</v>
      </c>
      <c r="G54" s="149">
        <f t="shared" si="13"/>
        <v>0.41911764705882354</v>
      </c>
      <c r="H54" s="149">
        <f t="shared" si="13"/>
        <v>0.35734072022160668</v>
      </c>
      <c r="I54" s="149">
        <f t="shared" si="13"/>
        <v>0.35459183673469385</v>
      </c>
      <c r="J54" s="149">
        <f t="shared" si="13"/>
        <v>0.28912783751493432</v>
      </c>
      <c r="K54" s="149">
        <f t="shared" si="13"/>
        <v>0.37402190923317685</v>
      </c>
    </row>
    <row r="55" spans="1:11">
      <c r="A55" s="148" t="s">
        <v>225</v>
      </c>
      <c r="B55" s="145">
        <f t="shared" ref="B55:K55" si="14">B30*(1-B54)</f>
        <v>14.630146955913226</v>
      </c>
      <c r="C55" s="145">
        <f t="shared" si="14"/>
        <v>11.765968063872254</v>
      </c>
      <c r="D55" s="145">
        <f t="shared" si="14"/>
        <v>9.60934426229508</v>
      </c>
      <c r="E55" s="145">
        <f t="shared" si="14"/>
        <v>8.9397048300536675</v>
      </c>
      <c r="F55" s="145">
        <f t="shared" si="14"/>
        <v>7.8303750000000001</v>
      </c>
      <c r="G55" s="145">
        <f t="shared" si="14"/>
        <v>6.4187499999999993</v>
      </c>
      <c r="H55" s="145">
        <f t="shared" si="14"/>
        <v>8.6630470914127429</v>
      </c>
      <c r="I55" s="145">
        <f t="shared" si="14"/>
        <v>5.5117857142857138</v>
      </c>
      <c r="J55" s="145">
        <f t="shared" si="14"/>
        <v>6.1348267622461172</v>
      </c>
      <c r="K55" s="145">
        <f t="shared" si="14"/>
        <v>4.1815336463223778</v>
      </c>
    </row>
    <row r="56" spans="1:11" ht="12.75" customHeight="1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</row>
    <row r="57" spans="1:11">
      <c r="A57" s="109" t="s">
        <v>171</v>
      </c>
      <c r="B57" s="110">
        <f t="shared" ref="B57:K57" si="15">B36+B35</f>
        <v>1.41</v>
      </c>
      <c r="C57" s="110">
        <f t="shared" si="15"/>
        <v>79.77</v>
      </c>
      <c r="D57" s="110">
        <f t="shared" si="15"/>
        <v>63.16</v>
      </c>
      <c r="E57" s="110">
        <f t="shared" si="15"/>
        <v>72.209999999999994</v>
      </c>
      <c r="F57" s="110">
        <f t="shared" si="15"/>
        <v>52</v>
      </c>
      <c r="G57" s="110">
        <f t="shared" si="15"/>
        <v>50.769999999999996</v>
      </c>
      <c r="H57" s="110">
        <f t="shared" si="15"/>
        <v>74.47</v>
      </c>
      <c r="I57" s="110">
        <f t="shared" si="15"/>
        <v>41.41</v>
      </c>
      <c r="J57" s="110">
        <f t="shared" si="15"/>
        <v>44.86</v>
      </c>
      <c r="K57" s="110">
        <f t="shared" si="15"/>
        <v>13.37</v>
      </c>
    </row>
    <row r="58" spans="1:11">
      <c r="A58" s="110" t="s">
        <v>172</v>
      </c>
      <c r="B58" s="110">
        <f t="shared" ref="B58:K58" si="16">B34-B35</f>
        <v>8.68</v>
      </c>
      <c r="C58" s="110">
        <f t="shared" si="16"/>
        <v>8.2799999999999994</v>
      </c>
      <c r="D58" s="110">
        <f t="shared" si="16"/>
        <v>7.3100000000000005</v>
      </c>
      <c r="E58" s="110">
        <f t="shared" si="16"/>
        <v>6.08</v>
      </c>
      <c r="F58" s="110">
        <f t="shared" si="16"/>
        <v>4.7300000000000004</v>
      </c>
      <c r="G58" s="110">
        <f t="shared" si="16"/>
        <v>3.66</v>
      </c>
      <c r="H58" s="110">
        <f t="shared" si="16"/>
        <v>5.96</v>
      </c>
      <c r="I58" s="110">
        <f t="shared" si="16"/>
        <v>4.29</v>
      </c>
      <c r="J58" s="110">
        <f t="shared" si="16"/>
        <v>3.9700000000000006</v>
      </c>
      <c r="K58" s="110">
        <f t="shared" si="16"/>
        <v>3.59</v>
      </c>
    </row>
    <row r="59" spans="1:11" ht="12.75" customHeight="1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</row>
    <row r="60" spans="1:11">
      <c r="A60" s="110" t="s">
        <v>173</v>
      </c>
      <c r="B60" s="108">
        <f t="shared" ref="B60:K60" si="17">B36/B41</f>
        <v>0</v>
      </c>
      <c r="C60" s="108">
        <f t="shared" si="17"/>
        <v>1.1543901001767827</v>
      </c>
      <c r="D60" s="108">
        <f t="shared" si="17"/>
        <v>1.0437968359700249</v>
      </c>
      <c r="E60" s="108">
        <f t="shared" si="17"/>
        <v>1.5254639620198533</v>
      </c>
      <c r="F60" s="108">
        <f t="shared" si="17"/>
        <v>1.2408223201174744</v>
      </c>
      <c r="G60" s="108">
        <f t="shared" si="17"/>
        <v>1.3557980900409277</v>
      </c>
      <c r="H60" s="108">
        <f t="shared" si="17"/>
        <v>2.192709889453242</v>
      </c>
      <c r="I60" s="108">
        <f t="shared" si="17"/>
        <v>1.4508050089445437</v>
      </c>
      <c r="J60" s="108">
        <f t="shared" si="17"/>
        <v>3.2520146520146525</v>
      </c>
      <c r="K60" s="108">
        <f t="shared" si="17"/>
        <v>1.8235294117647058</v>
      </c>
    </row>
    <row r="61" spans="1:11">
      <c r="A61" s="110" t="s">
        <v>174</v>
      </c>
      <c r="B61" s="108">
        <f t="shared" ref="B61:K61" si="18">B36/B52</f>
        <v>0</v>
      </c>
      <c r="C61" s="108">
        <f t="shared" si="18"/>
        <v>5.8390461997019374</v>
      </c>
      <c r="D61" s="108">
        <f t="shared" si="18"/>
        <v>4.9471191791633782</v>
      </c>
      <c r="E61" s="108">
        <f t="shared" si="18"/>
        <v>5.4251726784343823</v>
      </c>
      <c r="F61" s="108">
        <f t="shared" si="18"/>
        <v>3.71973587674248</v>
      </c>
      <c r="G61" s="108">
        <f t="shared" si="18"/>
        <v>6.3951093951093956</v>
      </c>
      <c r="H61" s="108">
        <f t="shared" si="18"/>
        <v>7.4507614213197977</v>
      </c>
      <c r="I61" s="108">
        <f t="shared" si="18"/>
        <v>3.4481292517006801</v>
      </c>
      <c r="J61" s="108">
        <f t="shared" si="18"/>
        <v>9.3649789029535864</v>
      </c>
      <c r="K61" s="108">
        <f t="shared" si="18"/>
        <v>6.3203883495145625</v>
      </c>
    </row>
    <row r="62" spans="1:11">
      <c r="A62" s="110" t="s">
        <v>175</v>
      </c>
      <c r="B62" s="108">
        <f t="shared" ref="B62:K62" si="19">B36/B25</f>
        <v>0</v>
      </c>
      <c r="C62" s="108">
        <f t="shared" si="19"/>
        <v>1.2036866359447005</v>
      </c>
      <c r="D62" s="108">
        <f t="shared" si="19"/>
        <v>1.3069224353628024</v>
      </c>
      <c r="E62" s="108">
        <f t="shared" si="19"/>
        <v>1.6842983083154635</v>
      </c>
      <c r="F62" s="108">
        <f t="shared" si="19"/>
        <v>1.3509192645883294</v>
      </c>
      <c r="G62" s="108">
        <f t="shared" si="19"/>
        <v>1.6475464190981433</v>
      </c>
      <c r="H62" s="108">
        <f t="shared" si="19"/>
        <v>2.249157217284707</v>
      </c>
      <c r="I62" s="108">
        <f t="shared" si="19"/>
        <v>1.8575355016032982</v>
      </c>
      <c r="J62" s="108">
        <f t="shared" si="19"/>
        <v>2.2040714995034758</v>
      </c>
      <c r="K62" s="108">
        <f t="shared" si="19"/>
        <v>0.80172413793103459</v>
      </c>
    </row>
    <row r="63" spans="1:11">
      <c r="A63" s="110" t="s">
        <v>68</v>
      </c>
      <c r="B63" s="108">
        <f t="shared" ref="B63:K63" si="20">(B36+B42+B43-B8)/B28</f>
        <v>1.2026819923371648</v>
      </c>
      <c r="C63" s="108">
        <f t="shared" si="20"/>
        <v>4.362190812720848</v>
      </c>
      <c r="D63" s="108">
        <f t="shared" si="20"/>
        <v>3.9430809399477811</v>
      </c>
      <c r="E63" s="108">
        <f t="shared" si="20"/>
        <v>5.0236393622869704</v>
      </c>
      <c r="F63" s="108">
        <f t="shared" si="20"/>
        <v>4.3302469135802468</v>
      </c>
      <c r="G63" s="108">
        <f t="shared" si="20"/>
        <v>4.5695097380792475</v>
      </c>
      <c r="H63" s="108">
        <f t="shared" si="20"/>
        <v>5.4242424242424239</v>
      </c>
      <c r="I63" s="108">
        <f t="shared" si="20"/>
        <v>6.9253897550111354</v>
      </c>
      <c r="J63" s="108">
        <f t="shared" si="20"/>
        <v>5.1124721603563472</v>
      </c>
      <c r="K63" s="108">
        <f t="shared" si="20"/>
        <v>2.0542857142857143</v>
      </c>
    </row>
    <row r="64" spans="1:11">
      <c r="A64" s="110" t="s">
        <v>176</v>
      </c>
      <c r="B64" s="111" t="e">
        <f t="shared" ref="B64:K64" si="21">B35/B36</f>
        <v>#DIV/0!</v>
      </c>
      <c r="C64" s="111">
        <f t="shared" si="21"/>
        <v>1.7993874425727412E-2</v>
      </c>
      <c r="D64" s="111">
        <f t="shared" si="21"/>
        <v>7.6579451180599873E-3</v>
      </c>
      <c r="E64" s="111">
        <f t="shared" si="21"/>
        <v>2.1502334134955441E-2</v>
      </c>
      <c r="F64" s="111">
        <f t="shared" si="21"/>
        <v>2.564102564102564E-2</v>
      </c>
      <c r="G64" s="111">
        <f t="shared" si="21"/>
        <v>2.1734755484000806E-2</v>
      </c>
      <c r="H64" s="111">
        <f t="shared" si="21"/>
        <v>1.4715901348957625E-2</v>
      </c>
      <c r="I64" s="111">
        <f t="shared" si="21"/>
        <v>2.1208384710234281E-2</v>
      </c>
      <c r="J64" s="111">
        <f t="shared" si="21"/>
        <v>1.0587970263572876E-2</v>
      </c>
      <c r="K64" s="111">
        <f t="shared" si="21"/>
        <v>2.6881720430107527E-2</v>
      </c>
    </row>
    <row r="65" spans="1:12">
      <c r="A65" s="180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94" t="s">
        <v>177</v>
      </c>
    </row>
    <row r="66" spans="1:12" ht="12.75" customHeight="1">
      <c r="A66" s="141" t="s">
        <v>178</v>
      </c>
      <c r="B66" s="145">
        <f>B46/B50</f>
        <v>0.37775523379138615</v>
      </c>
      <c r="C66" s="145">
        <f t="shared" ref="C66:K66" si="22">C46/C50</f>
        <v>0.31132497761862132</v>
      </c>
      <c r="D66" s="145">
        <f t="shared" si="22"/>
        <v>0.38787633319832593</v>
      </c>
      <c r="E66" s="145">
        <f t="shared" si="22"/>
        <v>0.39812409812409816</v>
      </c>
      <c r="F66" s="145">
        <f t="shared" si="22"/>
        <v>0.34715620390099983</v>
      </c>
      <c r="G66" s="145">
        <f t="shared" si="22"/>
        <v>0.26849512811259474</v>
      </c>
      <c r="H66" s="145">
        <f t="shared" si="22"/>
        <v>0.23708263383697073</v>
      </c>
      <c r="I66" s="145">
        <f t="shared" si="22"/>
        <v>0.29556748161399321</v>
      </c>
      <c r="J66" s="145">
        <f t="shared" si="22"/>
        <v>0.54041720990873532</v>
      </c>
      <c r="K66" s="145">
        <f t="shared" si="22"/>
        <v>0.55019685039370081</v>
      </c>
      <c r="L66" s="141">
        <v>1.2</v>
      </c>
    </row>
    <row r="67" spans="1:12" ht="12.75" customHeight="1">
      <c r="A67" s="141" t="s">
        <v>179</v>
      </c>
      <c r="B67" s="145">
        <f>B58/B50</f>
        <v>8.005164622336991E-2</v>
      </c>
      <c r="C67" s="145">
        <f t="shared" ref="C67:K67" si="23">C58/C50</f>
        <v>9.2658907788719783E-2</v>
      </c>
      <c r="D67" s="145">
        <f t="shared" si="23"/>
        <v>9.8690427973538566E-2</v>
      </c>
      <c r="E67" s="145">
        <f t="shared" si="23"/>
        <v>8.7734487734487734E-2</v>
      </c>
      <c r="F67" s="145">
        <f t="shared" si="23"/>
        <v>7.7528274053433877E-2</v>
      </c>
      <c r="G67" s="145">
        <f t="shared" si="23"/>
        <v>6.6041140382533378E-2</v>
      </c>
      <c r="H67" s="145">
        <f t="shared" si="23"/>
        <v>0.11117328856556613</v>
      </c>
      <c r="I67" s="145">
        <f t="shared" si="23"/>
        <v>8.5271317829457363E-2</v>
      </c>
      <c r="J67" s="145">
        <f t="shared" si="23"/>
        <v>0.25880052151238597</v>
      </c>
      <c r="K67" s="145">
        <f t="shared" si="23"/>
        <v>0.35334645669291337</v>
      </c>
      <c r="L67" s="141">
        <v>1.4</v>
      </c>
    </row>
    <row r="68" spans="1:12" ht="12.75" customHeight="1">
      <c r="A68" s="141" t="s">
        <v>180</v>
      </c>
      <c r="B68" s="145">
        <f t="shared" ref="B68:K68" si="24">B30/B50</f>
        <v>0.19109102646868945</v>
      </c>
      <c r="C68" s="145">
        <f t="shared" si="24"/>
        <v>0.2042300805729633</v>
      </c>
      <c r="D68" s="145">
        <f t="shared" si="24"/>
        <v>0.2029161603888214</v>
      </c>
      <c r="E68" s="145">
        <f t="shared" si="24"/>
        <v>0.19783549783549786</v>
      </c>
      <c r="F68" s="145">
        <f t="shared" si="24"/>
        <v>0.19619734469759056</v>
      </c>
      <c r="G68" s="145">
        <f t="shared" si="24"/>
        <v>0.19938650306748468</v>
      </c>
      <c r="H68" s="145">
        <f t="shared" si="24"/>
        <v>0.2514456258160791</v>
      </c>
      <c r="I68" s="145">
        <f t="shared" si="24"/>
        <v>0.16974756509640229</v>
      </c>
      <c r="J68" s="145">
        <f t="shared" si="24"/>
        <v>0.56258148631029992</v>
      </c>
      <c r="K68" s="145">
        <f t="shared" si="24"/>
        <v>0.65748031496062986</v>
      </c>
      <c r="L68" s="141">
        <v>3.3</v>
      </c>
    </row>
    <row r="69" spans="1:12" ht="12.75" customHeight="1">
      <c r="A69" s="141" t="s">
        <v>181</v>
      </c>
      <c r="B69" s="145">
        <f>B36/B50</f>
        <v>0</v>
      </c>
      <c r="C69" s="145">
        <f t="shared" ref="C69:K69" si="25">C36/C50</f>
        <v>0.87690241718889883</v>
      </c>
      <c r="D69" s="145">
        <f t="shared" si="25"/>
        <v>0.84622654245983542</v>
      </c>
      <c r="E69" s="145">
        <f t="shared" si="25"/>
        <v>1.0200577200577201</v>
      </c>
      <c r="F69" s="145">
        <f t="shared" si="25"/>
        <v>0.8310113096213736</v>
      </c>
      <c r="G69" s="145">
        <f t="shared" si="25"/>
        <v>0.89660772284373869</v>
      </c>
      <c r="H69" s="145">
        <f t="shared" si="25"/>
        <v>1.3689610147360567</v>
      </c>
      <c r="I69" s="145">
        <f t="shared" si="25"/>
        <v>0.80600278274696868</v>
      </c>
      <c r="J69" s="145">
        <f t="shared" si="25"/>
        <v>2.8937418513689699</v>
      </c>
      <c r="K69" s="145">
        <f t="shared" si="25"/>
        <v>1.2814960629921259</v>
      </c>
      <c r="L69" s="141">
        <v>0.6</v>
      </c>
    </row>
    <row r="70" spans="1:12" ht="12.75" customHeight="1">
      <c r="A70" s="141" t="s">
        <v>182</v>
      </c>
      <c r="B70" s="145">
        <f t="shared" ref="B70:K70" si="26">B25/B50</f>
        <v>0.63681637923084011</v>
      </c>
      <c r="C70" s="145">
        <f t="shared" si="26"/>
        <v>0.7285138764547896</v>
      </c>
      <c r="D70" s="145">
        <f t="shared" si="26"/>
        <v>0.64749561225867425</v>
      </c>
      <c r="E70" s="145">
        <f t="shared" si="26"/>
        <v>0.60562770562770563</v>
      </c>
      <c r="F70" s="145">
        <f t="shared" si="26"/>
        <v>0.61514505818718246</v>
      </c>
      <c r="G70" s="145">
        <f t="shared" si="26"/>
        <v>0.54420786719595815</v>
      </c>
      <c r="H70" s="145">
        <f t="shared" si="26"/>
        <v>0.60865510166013814</v>
      </c>
      <c r="I70" s="145">
        <f t="shared" si="26"/>
        <v>0.43390975949115479</v>
      </c>
      <c r="J70" s="145">
        <f t="shared" si="26"/>
        <v>1.3129074315514995</v>
      </c>
      <c r="K70" s="145">
        <f t="shared" si="26"/>
        <v>1.5984251968503935</v>
      </c>
      <c r="L70" s="141">
        <v>1</v>
      </c>
    </row>
    <row r="71" spans="1:12" ht="12.75" customHeight="1">
      <c r="A71" s="141" t="s">
        <v>121</v>
      </c>
      <c r="B71" s="145">
        <f>$L$66*B66+$L$67*B67+$L$68*B68+$L$69*B69+$L$70*B70</f>
        <v>1.8327953518398965</v>
      </c>
      <c r="C71" s="145">
        <f t="shared" ref="C71:K71" si="27">$L$66*C66+$L$67*C67+$L$68*C68+$L$69*C69+$L$70*C70</f>
        <v>2.4319270367054608</v>
      </c>
      <c r="D71" s="145">
        <f t="shared" si="27"/>
        <v>2.4284730660186309</v>
      </c>
      <c r="E71" s="145">
        <f t="shared" si="27"/>
        <v>2.4710966810966815</v>
      </c>
      <c r="F71" s="145">
        <f t="shared" si="27"/>
        <v>2.2863301098180626</v>
      </c>
      <c r="G71" s="145">
        <f t="shared" si="27"/>
        <v>2.1547997112955612</v>
      </c>
      <c r="H71" s="145">
        <f t="shared" si="27"/>
        <v>2.6999440402909909</v>
      </c>
      <c r="I71" s="145">
        <f t="shared" si="27"/>
        <v>1.9517392168554957</v>
      </c>
      <c r="J71" s="145">
        <f t="shared" si="27"/>
        <v>5.9164928292046932</v>
      </c>
      <c r="K71" s="145">
        <f t="shared" si="27"/>
        <v>5.6919291338582667</v>
      </c>
      <c r="L71" s="141"/>
    </row>
    <row r="72" spans="1:12">
      <c r="A72" s="94" t="s">
        <v>183</v>
      </c>
    </row>
    <row r="73" spans="1:12">
      <c r="A73" s="94" t="s">
        <v>184</v>
      </c>
    </row>
    <row r="74" spans="1:12">
      <c r="A74" s="94" t="s">
        <v>185</v>
      </c>
    </row>
  </sheetData>
  <sheetProtection selectLockedCells="1" selectUnlockedCells="1"/>
  <mergeCells count="9">
    <mergeCell ref="A65:K65"/>
    <mergeCell ref="A59:K59"/>
    <mergeCell ref="A3:J3"/>
    <mergeCell ref="A12:K12"/>
    <mergeCell ref="A13:J13"/>
    <mergeCell ref="A38:K38"/>
    <mergeCell ref="A51:K51"/>
    <mergeCell ref="A56:K56"/>
    <mergeCell ref="C37:K37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2"/>
  <sheetViews>
    <sheetView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ColWidth="9.140625" defaultRowHeight="15"/>
  <cols>
    <col min="1" max="1" width="27.85546875" style="31" customWidth="1"/>
    <col min="2" max="11" width="13.7109375" style="31" customWidth="1"/>
    <col min="12" max="16384" width="9.140625" style="31"/>
  </cols>
  <sheetData>
    <row r="1" spans="1:11">
      <c r="A1" s="32" t="s">
        <v>186</v>
      </c>
      <c r="E1" s="188" t="s">
        <v>187</v>
      </c>
      <c r="F1" s="188"/>
      <c r="G1" s="188"/>
      <c r="H1" s="188"/>
      <c r="I1" s="188"/>
      <c r="J1" s="188"/>
      <c r="K1" s="188"/>
    </row>
    <row r="2" spans="1:11">
      <c r="A2" s="32"/>
    </row>
    <row r="3" spans="1:11">
      <c r="A3" s="32" t="s">
        <v>188</v>
      </c>
    </row>
    <row r="4" spans="1:11" s="114" customFormat="1">
      <c r="A4" s="112" t="s">
        <v>189</v>
      </c>
      <c r="B4" s="113">
        <v>38442</v>
      </c>
      <c r="C4" s="113">
        <v>38807</v>
      </c>
      <c r="D4" s="113">
        <v>39172</v>
      </c>
      <c r="E4" s="113">
        <v>39538</v>
      </c>
      <c r="F4" s="113">
        <v>39903</v>
      </c>
      <c r="G4" s="113">
        <v>40268</v>
      </c>
      <c r="H4" s="113">
        <v>40633</v>
      </c>
      <c r="I4" s="113">
        <v>40999</v>
      </c>
      <c r="J4" s="113">
        <v>41364</v>
      </c>
      <c r="K4" s="113">
        <v>41729</v>
      </c>
    </row>
    <row r="5" spans="1:11">
      <c r="A5" s="115" t="s">
        <v>190</v>
      </c>
    </row>
    <row r="6" spans="1:11">
      <c r="A6" s="116" t="s">
        <v>5</v>
      </c>
      <c r="B6" s="31">
        <v>16.239999999999998</v>
      </c>
      <c r="C6" s="31">
        <v>20.14</v>
      </c>
      <c r="D6" s="31">
        <v>21.83</v>
      </c>
      <c r="E6" s="31">
        <v>32.630000000000003</v>
      </c>
      <c r="F6" s="31">
        <v>30.16</v>
      </c>
      <c r="G6" s="31">
        <v>37.53</v>
      </c>
      <c r="H6" s="31">
        <v>41.97</v>
      </c>
      <c r="I6" s="31">
        <v>47.96</v>
      </c>
      <c r="J6" s="31">
        <v>65.099999999999994</v>
      </c>
      <c r="K6" s="31">
        <v>69.05</v>
      </c>
    </row>
    <row r="7" spans="1:11">
      <c r="A7" s="116" t="s">
        <v>7</v>
      </c>
      <c r="B7" s="31">
        <v>6.96</v>
      </c>
      <c r="C7" s="31">
        <v>8.9499999999999993</v>
      </c>
      <c r="D7" s="31">
        <v>8.7200000000000006</v>
      </c>
      <c r="E7" s="31">
        <v>17.010000000000002</v>
      </c>
      <c r="F7" s="31">
        <v>14.83</v>
      </c>
      <c r="G7" s="31">
        <v>16.12</v>
      </c>
      <c r="H7" s="31">
        <v>18.059999999999999</v>
      </c>
      <c r="I7" s="31">
        <v>18.91</v>
      </c>
      <c r="J7" s="31">
        <v>22.41</v>
      </c>
      <c r="K7" s="31">
        <v>25.33</v>
      </c>
    </row>
    <row r="8" spans="1:11">
      <c r="A8" s="115" t="s">
        <v>8</v>
      </c>
      <c r="B8" s="31">
        <v>0.04</v>
      </c>
      <c r="C8" s="31">
        <v>0.03</v>
      </c>
      <c r="D8" s="31">
        <v>0.26</v>
      </c>
      <c r="E8" s="31">
        <v>0.15</v>
      </c>
      <c r="F8" s="31">
        <v>0.06</v>
      </c>
      <c r="G8" s="31">
        <v>0.08</v>
      </c>
      <c r="H8" s="31">
        <v>0.13</v>
      </c>
      <c r="I8" s="31">
        <v>0.24</v>
      </c>
      <c r="J8" s="31">
        <v>0.23</v>
      </c>
      <c r="K8" s="31">
        <v>0.77</v>
      </c>
    </row>
    <row r="9" spans="1:11">
      <c r="A9" s="115" t="s">
        <v>9</v>
      </c>
      <c r="B9" s="31">
        <v>7</v>
      </c>
      <c r="C9" s="31">
        <v>8.98</v>
      </c>
      <c r="D9" s="31">
        <v>8.98</v>
      </c>
      <c r="E9" s="31">
        <v>17.16</v>
      </c>
      <c r="F9" s="31">
        <v>14.89</v>
      </c>
      <c r="G9" s="31">
        <v>16.2</v>
      </c>
      <c r="H9" s="31">
        <v>18.190000000000001</v>
      </c>
      <c r="I9" s="31">
        <v>19.149999999999999</v>
      </c>
      <c r="J9" s="31">
        <v>22.64</v>
      </c>
      <c r="K9" s="31">
        <v>26.1</v>
      </c>
    </row>
    <row r="10" spans="1:11">
      <c r="A10" s="115" t="s">
        <v>10</v>
      </c>
      <c r="B10" s="31">
        <v>0.32</v>
      </c>
      <c r="C10" s="31">
        <v>0.35</v>
      </c>
      <c r="D10" s="31">
        <v>0.44</v>
      </c>
      <c r="E10" s="31">
        <v>3.68</v>
      </c>
      <c r="F10" s="31">
        <v>3.84</v>
      </c>
      <c r="G10" s="31">
        <v>4.2300000000000004</v>
      </c>
      <c r="H10" s="31">
        <v>4.4800000000000004</v>
      </c>
      <c r="I10" s="31">
        <v>4.12</v>
      </c>
      <c r="J10" s="31">
        <v>4.3899999999999997</v>
      </c>
      <c r="K10" s="31">
        <v>5.38</v>
      </c>
    </row>
    <row r="11" spans="1:11">
      <c r="A11" s="115" t="s">
        <v>11</v>
      </c>
      <c r="B11" s="31">
        <v>6.68</v>
      </c>
      <c r="C11" s="31">
        <v>8.6300000000000008</v>
      </c>
      <c r="D11" s="31">
        <v>8.5399999999999991</v>
      </c>
      <c r="E11" s="31">
        <v>13.48</v>
      </c>
      <c r="F11" s="31">
        <v>11.05</v>
      </c>
      <c r="G11" s="31">
        <v>11.97</v>
      </c>
      <c r="H11" s="31">
        <v>13.71</v>
      </c>
      <c r="I11" s="31">
        <v>15.03</v>
      </c>
      <c r="J11" s="31">
        <v>18.25</v>
      </c>
      <c r="K11" s="31">
        <v>20.72</v>
      </c>
    </row>
    <row r="12" spans="1:11">
      <c r="A12" s="115" t="s">
        <v>12</v>
      </c>
      <c r="B12" s="31">
        <v>0.24</v>
      </c>
      <c r="C12" s="31">
        <v>0.26</v>
      </c>
      <c r="D12" s="31">
        <v>0.7</v>
      </c>
      <c r="E12" s="31">
        <v>2.65</v>
      </c>
      <c r="F12" s="31">
        <v>2.89</v>
      </c>
      <c r="G12" s="31">
        <v>2.36</v>
      </c>
      <c r="H12" s="31">
        <v>2.5299999999999998</v>
      </c>
      <c r="I12" s="31">
        <v>2.83</v>
      </c>
      <c r="J12" s="31">
        <v>3.22</v>
      </c>
      <c r="K12" s="31">
        <v>6.43</v>
      </c>
    </row>
    <row r="13" spans="1:11">
      <c r="A13" s="115" t="s">
        <v>13</v>
      </c>
      <c r="B13" s="31">
        <v>6.39</v>
      </c>
      <c r="C13" s="31">
        <v>8.3699999999999992</v>
      </c>
      <c r="D13" s="31">
        <v>7.84</v>
      </c>
      <c r="E13" s="31">
        <v>10.83</v>
      </c>
      <c r="F13" s="31">
        <v>8.16</v>
      </c>
      <c r="G13" s="31">
        <v>9.6</v>
      </c>
      <c r="H13" s="31">
        <v>11.18</v>
      </c>
      <c r="I13" s="31">
        <v>12.2</v>
      </c>
      <c r="J13" s="31">
        <v>15.03</v>
      </c>
      <c r="K13" s="31">
        <v>14.29</v>
      </c>
    </row>
    <row r="14" spans="1:11">
      <c r="A14" s="115" t="s">
        <v>14</v>
      </c>
      <c r="B14" s="31">
        <v>2.39</v>
      </c>
      <c r="C14" s="31">
        <v>2.42</v>
      </c>
      <c r="D14" s="31">
        <v>2.78</v>
      </c>
      <c r="E14" s="31">
        <v>3.87</v>
      </c>
      <c r="F14" s="31">
        <v>3.42</v>
      </c>
      <c r="G14" s="31">
        <v>3.32</v>
      </c>
      <c r="H14" s="31">
        <v>3.89</v>
      </c>
      <c r="I14" s="31">
        <v>4.4000000000000004</v>
      </c>
      <c r="J14" s="31">
        <v>5.34</v>
      </c>
      <c r="K14" s="31">
        <v>4.2</v>
      </c>
    </row>
    <row r="15" spans="1:11">
      <c r="A15" s="116" t="s">
        <v>15</v>
      </c>
      <c r="B15" s="31">
        <v>3.94</v>
      </c>
      <c r="C15" s="31">
        <v>4.4400000000000004</v>
      </c>
      <c r="D15" s="31">
        <v>5.15</v>
      </c>
      <c r="E15" s="31">
        <v>7.04</v>
      </c>
      <c r="F15" s="31">
        <v>4.74</v>
      </c>
      <c r="G15" s="31">
        <v>6.03</v>
      </c>
      <c r="H15" s="31">
        <v>7.6</v>
      </c>
      <c r="I15" s="31">
        <v>7.79</v>
      </c>
      <c r="J15" s="31">
        <v>9.69</v>
      </c>
      <c r="K15" s="31">
        <v>10.09</v>
      </c>
    </row>
    <row r="16" spans="1:11">
      <c r="A16" s="115" t="s">
        <v>20</v>
      </c>
      <c r="B16" s="138">
        <f>B72/B15</f>
        <v>8.8832487309644659E-2</v>
      </c>
      <c r="C16" s="138">
        <f t="shared" ref="C16:K16" si="0">C72/C15</f>
        <v>0.10585585585585584</v>
      </c>
      <c r="D16" s="138">
        <f t="shared" si="0"/>
        <v>0.16699029126213591</v>
      </c>
      <c r="E16" s="138">
        <f t="shared" si="0"/>
        <v>0.15340909090909091</v>
      </c>
      <c r="F16" s="138">
        <f t="shared" si="0"/>
        <v>0.22784810126582278</v>
      </c>
      <c r="G16" s="138">
        <f t="shared" si="0"/>
        <v>0.21558872305140961</v>
      </c>
      <c r="H16" s="138">
        <f t="shared" si="0"/>
        <v>0.2</v>
      </c>
      <c r="I16" s="138">
        <f t="shared" si="0"/>
        <v>6.1617458279845952E-2</v>
      </c>
      <c r="J16" s="138">
        <f t="shared" si="0"/>
        <v>0.14551083591331268</v>
      </c>
      <c r="K16" s="138">
        <f t="shared" si="0"/>
        <v>0.13974231912784935</v>
      </c>
    </row>
    <row r="17" spans="1:11">
      <c r="A17" s="115" t="s">
        <v>159</v>
      </c>
      <c r="B17" s="31">
        <v>13.02</v>
      </c>
      <c r="C17" s="31">
        <v>44.39</v>
      </c>
      <c r="D17" s="31">
        <v>40.549999999999997</v>
      </c>
      <c r="E17" s="31">
        <v>73.39</v>
      </c>
      <c r="F17" s="31">
        <v>49.69</v>
      </c>
      <c r="G17" s="31">
        <v>50.7</v>
      </c>
      <c r="H17" s="31">
        <v>70.69</v>
      </c>
      <c r="I17" s="31">
        <v>62.68</v>
      </c>
      <c r="J17" s="31">
        <v>78.36</v>
      </c>
      <c r="K17" s="31">
        <v>0</v>
      </c>
    </row>
    <row r="18" spans="1:11">
      <c r="A18" s="116"/>
    </row>
    <row r="19" spans="1:11">
      <c r="A19" s="32"/>
    </row>
    <row r="20" spans="1:11">
      <c r="A20" s="32" t="s">
        <v>191</v>
      </c>
    </row>
    <row r="21" spans="1:11" s="114" customFormat="1">
      <c r="A21" s="112" t="s">
        <v>189</v>
      </c>
      <c r="B21" s="113">
        <v>41182</v>
      </c>
      <c r="C21" s="113">
        <v>41274</v>
      </c>
      <c r="D21" s="113">
        <v>41364</v>
      </c>
      <c r="E21" s="113">
        <v>41455</v>
      </c>
      <c r="F21" s="113">
        <v>41547</v>
      </c>
      <c r="G21" s="113">
        <v>41639</v>
      </c>
      <c r="H21" s="113">
        <v>41729</v>
      </c>
      <c r="I21" s="113">
        <v>41820</v>
      </c>
      <c r="J21" s="113">
        <v>41912</v>
      </c>
      <c r="K21" s="113">
        <v>42004</v>
      </c>
    </row>
    <row r="22" spans="1:11">
      <c r="A22" s="115" t="s">
        <v>190</v>
      </c>
    </row>
    <row r="23" spans="1:11">
      <c r="A23" s="116" t="s">
        <v>5</v>
      </c>
      <c r="B23" s="31">
        <v>15.54</v>
      </c>
      <c r="C23" s="31">
        <v>18.7</v>
      </c>
      <c r="D23" s="31">
        <v>17.02</v>
      </c>
      <c r="E23" s="31">
        <v>16.04</v>
      </c>
      <c r="F23" s="31">
        <v>15.3</v>
      </c>
      <c r="G23" s="31">
        <v>15.86</v>
      </c>
      <c r="H23" s="31">
        <v>21.85</v>
      </c>
      <c r="I23" s="31">
        <v>23.3</v>
      </c>
      <c r="J23" s="31">
        <v>21.49</v>
      </c>
      <c r="K23" s="31">
        <v>21.88</v>
      </c>
    </row>
    <row r="24" spans="1:11">
      <c r="A24" s="115" t="s">
        <v>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</row>
    <row r="25" spans="1:11">
      <c r="A25" s="116" t="s">
        <v>7</v>
      </c>
      <c r="B25" s="31">
        <v>5.89</v>
      </c>
      <c r="C25" s="31">
        <v>7.09</v>
      </c>
      <c r="D25" s="31">
        <v>3.98</v>
      </c>
      <c r="E25" s="31">
        <v>5.47</v>
      </c>
      <c r="F25" s="31">
        <v>5.16</v>
      </c>
      <c r="G25" s="31">
        <v>5.01</v>
      </c>
      <c r="H25" s="31">
        <v>9.6999999999999993</v>
      </c>
      <c r="I25" s="31">
        <v>7.29</v>
      </c>
      <c r="J25" s="31">
        <v>5.51</v>
      </c>
      <c r="K25" s="31">
        <v>6.33</v>
      </c>
    </row>
    <row r="26" spans="1:11">
      <c r="A26" s="115" t="s">
        <v>8</v>
      </c>
      <c r="B26" s="31">
        <v>0.01</v>
      </c>
      <c r="C26" s="31">
        <v>0.02</v>
      </c>
      <c r="D26" s="31">
        <v>0.18</v>
      </c>
      <c r="E26" s="31">
        <v>0.03</v>
      </c>
      <c r="F26" s="31">
        <v>0.03</v>
      </c>
      <c r="G26" s="31">
        <v>0.09</v>
      </c>
      <c r="H26" s="31">
        <v>0.63</v>
      </c>
      <c r="I26" s="31">
        <v>0.02</v>
      </c>
      <c r="J26" s="31">
        <v>0.02</v>
      </c>
      <c r="K26" s="31">
        <v>0.02</v>
      </c>
    </row>
    <row r="27" spans="1:11">
      <c r="A27" s="115" t="s">
        <v>9</v>
      </c>
      <c r="B27" s="31">
        <v>5.9</v>
      </c>
      <c r="C27" s="31">
        <v>7.11</v>
      </c>
      <c r="D27" s="31">
        <v>4.16</v>
      </c>
      <c r="E27" s="31">
        <v>5.5</v>
      </c>
      <c r="F27" s="31">
        <v>5.19</v>
      </c>
      <c r="G27" s="31">
        <v>5.0999999999999996</v>
      </c>
      <c r="H27" s="31">
        <v>10.33</v>
      </c>
      <c r="I27" s="31">
        <v>7.31</v>
      </c>
      <c r="J27" s="31">
        <v>5.53</v>
      </c>
      <c r="K27" s="31">
        <v>6.35</v>
      </c>
    </row>
    <row r="28" spans="1:11">
      <c r="A28" s="115" t="s">
        <v>10</v>
      </c>
      <c r="B28" s="31">
        <v>0.98</v>
      </c>
      <c r="C28" s="31">
        <v>1.1299999999999999</v>
      </c>
      <c r="D28" s="31">
        <v>0.96</v>
      </c>
      <c r="E28" s="31">
        <v>0.94</v>
      </c>
      <c r="F28" s="31">
        <v>1.27</v>
      </c>
      <c r="G28" s="31">
        <v>1.63</v>
      </c>
      <c r="H28" s="31">
        <v>1.54</v>
      </c>
      <c r="I28" s="31">
        <v>0.83</v>
      </c>
      <c r="J28" s="31">
        <v>0.85</v>
      </c>
      <c r="K28" s="31">
        <v>0.85</v>
      </c>
    </row>
    <row r="29" spans="1:11">
      <c r="A29" s="115" t="s">
        <v>11</v>
      </c>
      <c r="B29" s="31">
        <v>4.92</v>
      </c>
      <c r="C29" s="31">
        <v>5.98</v>
      </c>
      <c r="D29" s="31">
        <v>3.2</v>
      </c>
      <c r="E29" s="31">
        <v>4.5599999999999996</v>
      </c>
      <c r="F29" s="31">
        <v>3.92</v>
      </c>
      <c r="G29" s="31">
        <v>3.47</v>
      </c>
      <c r="H29" s="31">
        <v>8.7899999999999991</v>
      </c>
      <c r="I29" s="31">
        <v>6.48</v>
      </c>
      <c r="J29" s="31">
        <v>4.68</v>
      </c>
      <c r="K29" s="31">
        <v>5.5</v>
      </c>
    </row>
    <row r="30" spans="1:11">
      <c r="A30" s="115" t="s">
        <v>12</v>
      </c>
      <c r="B30" s="31">
        <v>0.83</v>
      </c>
      <c r="C30" s="31">
        <v>0.83</v>
      </c>
      <c r="D30" s="31">
        <v>0.9</v>
      </c>
      <c r="E30" s="31">
        <v>0.92</v>
      </c>
      <c r="F30" s="31">
        <v>1.01</v>
      </c>
      <c r="G30" s="31">
        <v>0.92</v>
      </c>
      <c r="H30" s="31">
        <v>3.58</v>
      </c>
      <c r="I30" s="31">
        <v>0.97</v>
      </c>
      <c r="J30" s="31">
        <v>1.0900000000000001</v>
      </c>
      <c r="K30" s="31">
        <v>0.96</v>
      </c>
    </row>
    <row r="31" spans="1:11">
      <c r="A31" s="115" t="s">
        <v>13</v>
      </c>
      <c r="B31" s="31">
        <v>4.09</v>
      </c>
      <c r="C31" s="31">
        <v>5.15</v>
      </c>
      <c r="D31" s="31">
        <v>2.2999999999999998</v>
      </c>
      <c r="E31" s="31">
        <v>3.64</v>
      </c>
      <c r="F31" s="31">
        <v>2.91</v>
      </c>
      <c r="G31" s="31">
        <v>2.5499999999999998</v>
      </c>
      <c r="H31" s="31">
        <v>5.21</v>
      </c>
      <c r="I31" s="31">
        <v>5.51</v>
      </c>
      <c r="J31" s="31">
        <v>3.59</v>
      </c>
      <c r="K31" s="31">
        <v>4.54</v>
      </c>
    </row>
    <row r="32" spans="1:11">
      <c r="A32" s="115" t="s">
        <v>14</v>
      </c>
      <c r="B32" s="31">
        <v>1.74</v>
      </c>
      <c r="C32" s="31">
        <v>2.38</v>
      </c>
      <c r="D32" s="31">
        <v>0.28999999999999998</v>
      </c>
      <c r="E32" s="31">
        <v>1.65</v>
      </c>
      <c r="F32" s="31">
        <v>1.26</v>
      </c>
      <c r="G32" s="31">
        <v>0</v>
      </c>
      <c r="H32" s="31">
        <v>1.29</v>
      </c>
      <c r="I32" s="31">
        <v>1.1599999999999999</v>
      </c>
      <c r="J32" s="31">
        <v>0.84</v>
      </c>
      <c r="K32" s="31">
        <v>1.17</v>
      </c>
    </row>
    <row r="33" spans="1:11">
      <c r="A33" s="116" t="s">
        <v>15</v>
      </c>
      <c r="B33" s="31">
        <v>2.35</v>
      </c>
      <c r="C33" s="31">
        <v>2.77</v>
      </c>
      <c r="D33" s="31">
        <v>2</v>
      </c>
      <c r="E33" s="31">
        <v>1.98</v>
      </c>
      <c r="F33" s="31">
        <v>1.65</v>
      </c>
      <c r="G33" s="31">
        <v>2.5499999999999998</v>
      </c>
      <c r="H33" s="31">
        <v>3.92</v>
      </c>
      <c r="I33" s="31">
        <v>4.34</v>
      </c>
      <c r="J33" s="31">
        <v>2.74</v>
      </c>
      <c r="K33" s="31">
        <v>3.37</v>
      </c>
    </row>
    <row r="34" spans="1:11">
      <c r="A34" s="116"/>
    </row>
    <row r="35" spans="1:11">
      <c r="A35" s="116"/>
    </row>
    <row r="36" spans="1:11">
      <c r="A36" s="116" t="s">
        <v>192</v>
      </c>
    </row>
    <row r="37" spans="1:11" s="114" customFormat="1">
      <c r="A37" s="112" t="s">
        <v>189</v>
      </c>
      <c r="B37" s="113">
        <v>38442</v>
      </c>
      <c r="C37" s="113">
        <v>38807</v>
      </c>
      <c r="D37" s="113">
        <v>39172</v>
      </c>
      <c r="E37" s="113">
        <v>39538</v>
      </c>
      <c r="F37" s="113">
        <v>39903</v>
      </c>
      <c r="G37" s="113">
        <v>40268</v>
      </c>
      <c r="H37" s="113">
        <v>40633</v>
      </c>
      <c r="I37" s="113">
        <v>40999</v>
      </c>
      <c r="J37" s="113">
        <v>41364</v>
      </c>
      <c r="K37" s="113">
        <v>41729</v>
      </c>
    </row>
    <row r="38" spans="1:11">
      <c r="A38" s="115" t="s">
        <v>36</v>
      </c>
      <c r="B38" s="31">
        <v>3.53</v>
      </c>
      <c r="C38" s="31">
        <v>3.71</v>
      </c>
      <c r="D38" s="31">
        <v>5.19</v>
      </c>
      <c r="E38" s="31">
        <v>5.19</v>
      </c>
      <c r="F38" s="31">
        <v>5.19</v>
      </c>
      <c r="G38" s="31">
        <v>5.19</v>
      </c>
      <c r="H38" s="31">
        <v>5.19</v>
      </c>
      <c r="I38" s="31">
        <v>5.67</v>
      </c>
      <c r="J38" s="31">
        <v>8.51</v>
      </c>
      <c r="K38" s="31">
        <v>8.51</v>
      </c>
    </row>
    <row r="39" spans="1:11">
      <c r="A39" s="115" t="s">
        <v>37</v>
      </c>
      <c r="B39" s="31">
        <v>3.61</v>
      </c>
      <c r="C39" s="31">
        <v>9.94</v>
      </c>
      <c r="D39" s="31">
        <v>22.76</v>
      </c>
      <c r="E39" s="31">
        <v>28.28</v>
      </c>
      <c r="F39" s="31">
        <v>31.46</v>
      </c>
      <c r="G39" s="31">
        <v>35.67</v>
      </c>
      <c r="H39" s="31">
        <v>41.15</v>
      </c>
      <c r="I39" s="31">
        <v>54.38</v>
      </c>
      <c r="J39" s="31">
        <v>59.37</v>
      </c>
      <c r="K39" s="31">
        <v>67.47</v>
      </c>
    </row>
    <row r="40" spans="1:11">
      <c r="A40" s="115" t="s">
        <v>38</v>
      </c>
      <c r="B40" s="31">
        <v>1.61</v>
      </c>
      <c r="C40" s="31">
        <v>1.69</v>
      </c>
      <c r="D40" s="31">
        <v>22.36</v>
      </c>
      <c r="E40" s="31">
        <v>20.14</v>
      </c>
      <c r="F40" s="31">
        <v>18.77</v>
      </c>
      <c r="G40" s="31">
        <v>20.149999999999999</v>
      </c>
      <c r="H40" s="31">
        <v>21.32</v>
      </c>
      <c r="I40" s="31">
        <v>14.02</v>
      </c>
      <c r="J40" s="31">
        <v>21.48</v>
      </c>
      <c r="K40" s="31">
        <v>31.69</v>
      </c>
    </row>
    <row r="41" spans="1:11">
      <c r="A41" s="115" t="s">
        <v>39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0.76</v>
      </c>
    </row>
    <row r="42" spans="1:11">
      <c r="A42" s="116" t="s">
        <v>40</v>
      </c>
      <c r="B42" s="31">
        <v>10.16</v>
      </c>
      <c r="C42" s="31">
        <v>15.34</v>
      </c>
      <c r="D42" s="31">
        <v>50.31</v>
      </c>
      <c r="E42" s="31">
        <v>53.61</v>
      </c>
      <c r="F42" s="31">
        <v>55.42</v>
      </c>
      <c r="G42" s="31">
        <v>61.01</v>
      </c>
      <c r="H42" s="31">
        <v>69.3</v>
      </c>
      <c r="I42" s="31">
        <v>74.069999999999993</v>
      </c>
      <c r="J42" s="31">
        <v>89.36</v>
      </c>
      <c r="K42" s="31">
        <v>108.43</v>
      </c>
    </row>
    <row r="43" spans="1:11">
      <c r="A43" s="115" t="s">
        <v>41</v>
      </c>
      <c r="B43" s="31">
        <v>4.5599999999999996</v>
      </c>
      <c r="C43" s="31">
        <v>4.6500000000000004</v>
      </c>
      <c r="D43" s="31">
        <v>34.880000000000003</v>
      </c>
      <c r="E43" s="31">
        <v>40.9</v>
      </c>
      <c r="F43" s="31">
        <v>40.53</v>
      </c>
      <c r="G43" s="31">
        <v>39.840000000000003</v>
      </c>
      <c r="H43" s="31">
        <v>39.22</v>
      </c>
      <c r="I43" s="31">
        <v>36.53</v>
      </c>
      <c r="J43" s="31">
        <v>34.700000000000003</v>
      </c>
      <c r="K43" s="31">
        <v>50.68</v>
      </c>
    </row>
    <row r="44" spans="1:11">
      <c r="A44" s="115" t="s">
        <v>42</v>
      </c>
      <c r="B44" s="31">
        <v>0</v>
      </c>
      <c r="C44" s="31">
        <v>2.3199999999999998</v>
      </c>
      <c r="D44" s="31">
        <v>0.55000000000000004</v>
      </c>
      <c r="E44" s="31">
        <v>0</v>
      </c>
      <c r="F44" s="31">
        <v>0</v>
      </c>
      <c r="G44" s="31">
        <v>0</v>
      </c>
      <c r="H44" s="31">
        <v>0</v>
      </c>
      <c r="I44" s="31">
        <v>6.3</v>
      </c>
      <c r="J44" s="31">
        <v>24.05</v>
      </c>
      <c r="K44" s="31">
        <v>13.15</v>
      </c>
    </row>
    <row r="45" spans="1:11">
      <c r="A45" s="115" t="s">
        <v>43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2.5</v>
      </c>
      <c r="I45" s="31">
        <v>2.5</v>
      </c>
      <c r="J45" s="31">
        <v>2.78</v>
      </c>
      <c r="K45" s="31">
        <v>3.63</v>
      </c>
    </row>
    <row r="46" spans="1:11">
      <c r="A46" s="115" t="s">
        <v>44</v>
      </c>
      <c r="B46" s="31">
        <v>5.59</v>
      </c>
      <c r="C46" s="31">
        <v>8.2899999999999991</v>
      </c>
      <c r="D46" s="31">
        <v>14.87</v>
      </c>
      <c r="E46" s="31">
        <v>12.71</v>
      </c>
      <c r="F46" s="31">
        <v>14.88</v>
      </c>
      <c r="G46" s="31">
        <v>21.18</v>
      </c>
      <c r="H46" s="31">
        <v>27.59</v>
      </c>
      <c r="I46" s="31">
        <v>28.73</v>
      </c>
      <c r="J46" s="31">
        <v>27.82</v>
      </c>
      <c r="K46" s="31">
        <v>40.96</v>
      </c>
    </row>
    <row r="47" spans="1:11">
      <c r="A47" s="116" t="s">
        <v>40</v>
      </c>
      <c r="B47" s="31">
        <v>10.16</v>
      </c>
      <c r="C47" s="31">
        <v>15.34</v>
      </c>
      <c r="D47" s="31">
        <v>50.31</v>
      </c>
      <c r="E47" s="31">
        <v>53.61</v>
      </c>
      <c r="F47" s="31">
        <v>55.42</v>
      </c>
      <c r="G47" s="31">
        <v>61.01</v>
      </c>
      <c r="H47" s="31">
        <v>69.3</v>
      </c>
      <c r="I47" s="31">
        <v>74.069999999999993</v>
      </c>
      <c r="J47" s="31">
        <v>89.36</v>
      </c>
      <c r="K47" s="31">
        <v>108.43</v>
      </c>
    </row>
    <row r="48" spans="1:11">
      <c r="A48" s="115" t="s">
        <v>193</v>
      </c>
      <c r="B48" s="31">
        <v>35.270000000000003</v>
      </c>
      <c r="C48" s="31">
        <v>37.08</v>
      </c>
      <c r="D48" s="31">
        <v>51.91</v>
      </c>
      <c r="E48" s="31">
        <v>51.91</v>
      </c>
      <c r="F48" s="31">
        <v>51.91</v>
      </c>
      <c r="G48" s="31">
        <v>51.91</v>
      </c>
      <c r="H48" s="31">
        <v>51.91</v>
      </c>
      <c r="I48" s="31">
        <v>56.71</v>
      </c>
      <c r="J48" s="31">
        <v>85.07</v>
      </c>
      <c r="K48" s="31">
        <v>85.07</v>
      </c>
    </row>
    <row r="51" spans="1:11">
      <c r="A51" s="32" t="s">
        <v>194</v>
      </c>
    </row>
    <row r="52" spans="1:11" s="114" customFormat="1">
      <c r="A52" s="112" t="s">
        <v>189</v>
      </c>
      <c r="B52" s="113">
        <v>38442</v>
      </c>
      <c r="C52" s="113">
        <v>38807</v>
      </c>
      <c r="D52" s="113">
        <v>39172</v>
      </c>
      <c r="E52" s="113">
        <v>39538</v>
      </c>
      <c r="F52" s="113">
        <v>39903</v>
      </c>
      <c r="G52" s="113">
        <v>40268</v>
      </c>
      <c r="H52" s="113">
        <v>40633</v>
      </c>
      <c r="I52" s="113">
        <v>40999</v>
      </c>
      <c r="J52" s="113">
        <v>41364</v>
      </c>
      <c r="K52" s="113">
        <v>41729</v>
      </c>
    </row>
    <row r="53" spans="1:11" s="32" customFormat="1">
      <c r="A53" s="32" t="s">
        <v>53</v>
      </c>
      <c r="B53" s="32">
        <v>2.06</v>
      </c>
      <c r="C53" s="32">
        <v>4.74</v>
      </c>
      <c r="D53" s="32">
        <v>11.76</v>
      </c>
      <c r="E53" s="32">
        <v>9.85</v>
      </c>
      <c r="F53" s="32">
        <v>7.77</v>
      </c>
      <c r="G53" s="32">
        <v>13.63</v>
      </c>
      <c r="H53" s="32">
        <v>13.03</v>
      </c>
      <c r="I53" s="32">
        <v>12.67</v>
      </c>
      <c r="J53" s="32">
        <v>13.42</v>
      </c>
      <c r="K53" s="32">
        <v>10.17</v>
      </c>
    </row>
    <row r="54" spans="1:11">
      <c r="A54" s="115" t="s">
        <v>54</v>
      </c>
      <c r="B54" s="31">
        <v>-0.8</v>
      </c>
      <c r="C54" s="31">
        <v>-2.83</v>
      </c>
      <c r="D54" s="31">
        <v>-28.56</v>
      </c>
      <c r="E54" s="31">
        <v>-9.0399999999999991</v>
      </c>
      <c r="F54" s="31">
        <v>-3.38</v>
      </c>
      <c r="G54" s="31">
        <v>-3.46</v>
      </c>
      <c r="H54" s="31">
        <v>-6.23</v>
      </c>
      <c r="I54" s="31">
        <v>-7.35</v>
      </c>
      <c r="J54" s="31">
        <v>-17.52</v>
      </c>
      <c r="K54" s="31">
        <v>-12.78</v>
      </c>
    </row>
    <row r="55" spans="1:11">
      <c r="A55" s="115" t="s">
        <v>55</v>
      </c>
      <c r="B55" s="31">
        <v>-0.32</v>
      </c>
      <c r="C55" s="31">
        <v>-2.71</v>
      </c>
      <c r="D55" s="31">
        <v>17.510000000000002</v>
      </c>
      <c r="E55" s="31">
        <v>-7.06</v>
      </c>
      <c r="F55" s="31">
        <v>-4.4000000000000004</v>
      </c>
      <c r="G55" s="31">
        <v>-9.8699999999999992</v>
      </c>
      <c r="H55" s="31">
        <v>-6.85</v>
      </c>
      <c r="I55" s="31">
        <v>-5.03</v>
      </c>
      <c r="J55" s="31">
        <v>3.94</v>
      </c>
      <c r="K55" s="31">
        <v>2.54</v>
      </c>
    </row>
    <row r="56" spans="1:11" s="32" customFormat="1">
      <c r="A56" s="116" t="s">
        <v>56</v>
      </c>
      <c r="B56" s="32">
        <v>0.93</v>
      </c>
      <c r="C56" s="32">
        <v>-0.8</v>
      </c>
      <c r="D56" s="32">
        <v>0.71</v>
      </c>
      <c r="E56" s="32">
        <v>-6.25</v>
      </c>
      <c r="F56" s="32">
        <v>0</v>
      </c>
      <c r="G56" s="32">
        <v>0.31</v>
      </c>
      <c r="H56" s="32">
        <v>-0.05</v>
      </c>
      <c r="I56" s="32">
        <v>0.28000000000000003</v>
      </c>
      <c r="J56" s="32">
        <v>-0.16</v>
      </c>
      <c r="K56" s="32">
        <v>-0.06</v>
      </c>
    </row>
    <row r="57" spans="1:11">
      <c r="A57" s="115" t="s">
        <v>57</v>
      </c>
      <c r="B57" s="31">
        <v>0.98</v>
      </c>
      <c r="C57" s="31">
        <v>0.17</v>
      </c>
      <c r="D57" s="31">
        <v>0.88</v>
      </c>
      <c r="E57" s="31">
        <v>0.65</v>
      </c>
      <c r="F57" s="31">
        <v>0.65</v>
      </c>
      <c r="G57" s="31">
        <v>0.96</v>
      </c>
      <c r="H57" s="31">
        <v>0.91</v>
      </c>
      <c r="I57" s="31">
        <v>1.19</v>
      </c>
      <c r="J57" s="31">
        <v>0.75</v>
      </c>
      <c r="K57" s="31">
        <v>0.69</v>
      </c>
    </row>
    <row r="58" spans="1:11">
      <c r="A58" s="116"/>
    </row>
    <row r="59" spans="1:11">
      <c r="A59" s="116"/>
    </row>
    <row r="60" spans="1:11">
      <c r="A60" s="116" t="s">
        <v>195</v>
      </c>
    </row>
    <row r="61" spans="1:11">
      <c r="A61" s="115" t="s">
        <v>196</v>
      </c>
      <c r="B61" s="31">
        <v>0.85</v>
      </c>
    </row>
    <row r="62" spans="1:11">
      <c r="A62" s="115" t="s">
        <v>197</v>
      </c>
      <c r="B62" s="31">
        <v>10</v>
      </c>
    </row>
    <row r="63" spans="1:11">
      <c r="A63" s="115" t="s">
        <v>198</v>
      </c>
      <c r="B63" s="31">
        <v>590</v>
      </c>
    </row>
    <row r="64" spans="1:11">
      <c r="A64" s="115" t="s">
        <v>199</v>
      </c>
      <c r="B64" s="31">
        <v>34.93</v>
      </c>
    </row>
    <row r="65" spans="1:11" s="114" customFormat="1">
      <c r="A65" s="112" t="s">
        <v>189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>
      <c r="A66" s="115" t="s">
        <v>45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  <c r="G66" s="31">
        <v>11.02</v>
      </c>
      <c r="H66" s="31">
        <v>13.22</v>
      </c>
      <c r="I66" s="31">
        <v>14.36</v>
      </c>
      <c r="J66" s="31">
        <v>15.04</v>
      </c>
      <c r="K66" s="31">
        <v>14.06</v>
      </c>
    </row>
    <row r="67" spans="1:11">
      <c r="A67" s="115" t="s">
        <v>46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  <c r="G67" s="31">
        <v>16.96</v>
      </c>
      <c r="H67" s="31">
        <v>22.68</v>
      </c>
      <c r="I67" s="31">
        <v>27.56</v>
      </c>
      <c r="J67" s="31">
        <v>31.1</v>
      </c>
      <c r="K67" s="31">
        <v>35.590000000000003</v>
      </c>
    </row>
    <row r="68" spans="1:11">
      <c r="A68" s="115"/>
    </row>
    <row r="69" spans="1:11">
      <c r="A69" s="31" t="s">
        <v>200</v>
      </c>
      <c r="B69" s="31">
        <f t="shared" ref="B69:K69" si="1">B17/B15</f>
        <v>3.3045685279187818</v>
      </c>
      <c r="C69" s="31">
        <f t="shared" si="1"/>
        <v>9.9977477477477468</v>
      </c>
      <c r="D69" s="31">
        <f t="shared" si="1"/>
        <v>7.873786407766989</v>
      </c>
      <c r="E69" s="31">
        <f t="shared" si="1"/>
        <v>10.424715909090908</v>
      </c>
      <c r="F69" s="31">
        <f t="shared" si="1"/>
        <v>10.483122362869198</v>
      </c>
      <c r="G69" s="31">
        <f t="shared" si="1"/>
        <v>8.4079601990049753</v>
      </c>
      <c r="H69" s="31">
        <f t="shared" si="1"/>
        <v>9.3013157894736835</v>
      </c>
      <c r="I69" s="31">
        <f t="shared" si="1"/>
        <v>8.0462130937098841</v>
      </c>
      <c r="J69" s="31">
        <f t="shared" si="1"/>
        <v>8.086687306501549</v>
      </c>
      <c r="K69" s="31">
        <f t="shared" si="1"/>
        <v>0</v>
      </c>
    </row>
    <row r="71" spans="1:11">
      <c r="A71" s="31" t="s">
        <v>201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0.7</v>
      </c>
      <c r="H71" s="31">
        <v>0.63</v>
      </c>
      <c r="I71" s="31">
        <v>1.19</v>
      </c>
      <c r="J71" s="31">
        <v>1.08</v>
      </c>
      <c r="K71" s="31">
        <v>1.06</v>
      </c>
    </row>
    <row r="72" spans="1:11">
      <c r="A72" s="31" t="s">
        <v>202</v>
      </c>
      <c r="B72" s="31">
        <v>0.35</v>
      </c>
      <c r="C72" s="31">
        <v>0.47</v>
      </c>
      <c r="D72" s="31">
        <v>0.86</v>
      </c>
      <c r="E72" s="31">
        <v>1.08</v>
      </c>
      <c r="F72" s="31">
        <v>1.08</v>
      </c>
      <c r="G72" s="31">
        <v>1.3</v>
      </c>
      <c r="H72" s="31">
        <v>1.52</v>
      </c>
      <c r="I72" s="31">
        <v>0.48</v>
      </c>
      <c r="J72" s="31">
        <v>1.41</v>
      </c>
      <c r="K72" s="31">
        <v>1.41</v>
      </c>
    </row>
  </sheetData>
  <sheetProtection selectLockedCells="1" selectUnlockedCells="1"/>
  <mergeCells count="1">
    <mergeCell ref="E1:K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62"/>
  <sheetViews>
    <sheetView topLeftCell="A10" workbookViewId="0">
      <selection activeCell="A25" sqref="A25"/>
    </sheetView>
  </sheetViews>
  <sheetFormatPr defaultColWidth="8.7109375" defaultRowHeight="12.75"/>
  <cols>
    <col min="1" max="1" width="30.42578125" customWidth="1"/>
    <col min="2" max="4" width="10.140625" customWidth="1"/>
    <col min="5" max="5" width="12.140625" customWidth="1"/>
    <col min="6" max="8" width="10.7109375" customWidth="1"/>
    <col min="9" max="9" width="10.140625" customWidth="1"/>
    <col min="10" max="10" width="11.140625" customWidth="1"/>
    <col min="11" max="11" width="10.7109375" customWidth="1"/>
    <col min="12" max="12" width="11.7109375" customWidth="1"/>
  </cols>
  <sheetData>
    <row r="1" spans="1:18" s="43" customFormat="1" ht="15">
      <c r="A1" s="70" t="str">
        <f>'Data Sheet'!A1</f>
        <v>HESTER BIOSCIENCES LIMITED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8" s="43" customFormat="1" ht="15">
      <c r="A2" s="70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8" ht="15">
      <c r="A3" s="101" t="s">
        <v>203</v>
      </c>
      <c r="B3" s="102">
        <f>'Data Sheet'!K$4</f>
        <v>41729</v>
      </c>
      <c r="C3" s="102">
        <f>'Data Sheet'!J$4</f>
        <v>41364</v>
      </c>
      <c r="D3" s="102">
        <f>'Data Sheet'!I$4</f>
        <v>40999</v>
      </c>
      <c r="E3" s="102">
        <f>'Data Sheet'!H$4</f>
        <v>40633</v>
      </c>
      <c r="F3" s="102">
        <f>'Data Sheet'!G$4</f>
        <v>40268</v>
      </c>
      <c r="G3" s="102">
        <f>'Data Sheet'!F$4</f>
        <v>39903</v>
      </c>
      <c r="H3" s="102">
        <f>'Data Sheet'!E$4</f>
        <v>39538</v>
      </c>
      <c r="I3" s="102">
        <f>'Data Sheet'!D$4</f>
        <v>39172</v>
      </c>
      <c r="J3" s="102">
        <f>'Data Sheet'!C$4</f>
        <v>38807</v>
      </c>
      <c r="K3" s="102">
        <f>'Data Sheet'!B$4</f>
        <v>38442</v>
      </c>
      <c r="L3" s="102" t="s">
        <v>204</v>
      </c>
      <c r="M3" s="94"/>
      <c r="N3" s="94"/>
      <c r="O3" s="94"/>
      <c r="P3" s="94"/>
      <c r="Q3" s="94"/>
      <c r="R3" s="94"/>
    </row>
    <row r="4" spans="1:18">
      <c r="A4" s="110" t="s">
        <v>145</v>
      </c>
      <c r="B4" s="108">
        <f>'Other Input Data'!B15</f>
        <v>14.9</v>
      </c>
      <c r="C4" s="108">
        <f>'Other Input Data'!C15</f>
        <v>18.47</v>
      </c>
      <c r="D4" s="108">
        <f>'Other Input Data'!D15</f>
        <v>13.03</v>
      </c>
      <c r="E4" s="108">
        <f>'Other Input Data'!E15</f>
        <v>13.03</v>
      </c>
      <c r="F4" s="108">
        <f>'Other Input Data'!F15</f>
        <v>11.39</v>
      </c>
      <c r="G4" s="108">
        <f>'Other Input Data'!G15</f>
        <v>8.3800000000000008</v>
      </c>
      <c r="H4" s="108">
        <f>'Other Input Data'!H15</f>
        <v>7.96</v>
      </c>
      <c r="I4" s="108">
        <f>'Other Input Data'!I15</f>
        <v>8.2100000000000009</v>
      </c>
      <c r="J4" s="108">
        <f>'Other Input Data'!J15</f>
        <v>5.67</v>
      </c>
      <c r="K4" s="108">
        <f>'Other Input Data'!K15</f>
        <v>5.71</v>
      </c>
      <c r="L4" s="117">
        <f t="shared" ref="L4:L11" si="0">(B4/J4)^(1/8)-1</f>
        <v>0.12836706446587276</v>
      </c>
      <c r="M4" s="94"/>
      <c r="N4" s="94"/>
      <c r="O4" s="94"/>
      <c r="P4" s="94"/>
      <c r="Q4" s="94"/>
      <c r="R4" s="94"/>
    </row>
    <row r="5" spans="1:18">
      <c r="A5" s="110" t="s">
        <v>146</v>
      </c>
      <c r="B5" s="108">
        <f>'Other Input Data'!B16</f>
        <v>9.84</v>
      </c>
      <c r="C5" s="108">
        <f>'Other Input Data'!C16</f>
        <v>9.06</v>
      </c>
      <c r="D5" s="108">
        <f>'Other Input Data'!D16</f>
        <v>6.87</v>
      </c>
      <c r="E5" s="108">
        <f>'Other Input Data'!E16</f>
        <v>5.82</v>
      </c>
      <c r="F5" s="108">
        <f>'Other Input Data'!F16</f>
        <v>5</v>
      </c>
      <c r="G5" s="108">
        <f>'Other Input Data'!G16</f>
        <v>3.67</v>
      </c>
      <c r="H5" s="108">
        <f>'Other Input Data'!H16</f>
        <v>2.99</v>
      </c>
      <c r="I5" s="108">
        <f>'Other Input Data'!I16</f>
        <v>1.96</v>
      </c>
      <c r="J5" s="108">
        <f>'Other Input Data'!J16</f>
        <v>1.52</v>
      </c>
      <c r="K5" s="108">
        <f>'Other Input Data'!K16</f>
        <v>1.39</v>
      </c>
      <c r="L5" s="117">
        <f t="shared" si="0"/>
        <v>0.26297262939086741</v>
      </c>
      <c r="M5" s="94"/>
      <c r="N5" s="94"/>
      <c r="O5" s="94"/>
      <c r="P5" s="94"/>
      <c r="Q5" s="94"/>
      <c r="R5" s="94"/>
    </row>
    <row r="6" spans="1:18">
      <c r="A6" s="110" t="s">
        <v>147</v>
      </c>
      <c r="B6" s="108">
        <f>'Other Input Data'!B17</f>
        <v>0</v>
      </c>
      <c r="C6" s="108">
        <f>'Other Input Data'!C17</f>
        <v>0</v>
      </c>
      <c r="D6" s="108">
        <f>'Other Input Data'!D17</f>
        <v>0</v>
      </c>
      <c r="E6" s="108">
        <f>'Other Input Data'!E17</f>
        <v>4.47</v>
      </c>
      <c r="F6" s="108">
        <f>'Other Input Data'!F17</f>
        <v>3.68</v>
      </c>
      <c r="G6" s="108">
        <f>'Other Input Data'!G17</f>
        <v>4.0199999999999996</v>
      </c>
      <c r="H6" s="108">
        <f>'Other Input Data'!H17</f>
        <v>3.76</v>
      </c>
      <c r="I6" s="108">
        <f>'Other Input Data'!I17</f>
        <v>3.21</v>
      </c>
      <c r="J6" s="108">
        <f>'Other Input Data'!J17</f>
        <v>2.41</v>
      </c>
      <c r="K6" s="108">
        <f>'Other Input Data'!K17</f>
        <v>1.6</v>
      </c>
      <c r="L6" s="117">
        <f t="shared" si="0"/>
        <v>-1</v>
      </c>
      <c r="M6" s="94"/>
      <c r="N6" s="94"/>
      <c r="O6" s="94"/>
      <c r="P6" s="94"/>
      <c r="Q6" s="94"/>
      <c r="R6" s="94"/>
    </row>
    <row r="7" spans="1:18">
      <c r="A7" s="110" t="s">
        <v>148</v>
      </c>
      <c r="B7" s="108">
        <f>'Other Input Data'!B18</f>
        <v>0</v>
      </c>
      <c r="C7" s="108">
        <f>'Other Input Data'!C18</f>
        <v>0</v>
      </c>
      <c r="D7" s="108">
        <f>'Other Input Data'!D18</f>
        <v>0</v>
      </c>
      <c r="E7" s="108">
        <f>'Other Input Data'!E18</f>
        <v>0</v>
      </c>
      <c r="F7" s="108">
        <f>'Other Input Data'!F18</f>
        <v>0</v>
      </c>
      <c r="G7" s="108">
        <f>'Other Input Data'!G18</f>
        <v>0</v>
      </c>
      <c r="H7" s="108">
        <f>'Other Input Data'!H18</f>
        <v>0</v>
      </c>
      <c r="I7" s="108">
        <f>'Other Input Data'!I18</f>
        <v>0</v>
      </c>
      <c r="J7" s="108">
        <f>'Other Input Data'!J18</f>
        <v>0</v>
      </c>
      <c r="K7" s="108">
        <f>'Other Input Data'!K18</f>
        <v>0</v>
      </c>
      <c r="L7" s="117" t="e">
        <f t="shared" si="0"/>
        <v>#DIV/0!</v>
      </c>
      <c r="M7" s="94"/>
      <c r="N7" s="94"/>
      <c r="O7" s="94"/>
      <c r="P7" s="94"/>
      <c r="Q7" s="94"/>
      <c r="R7" s="94"/>
    </row>
    <row r="8" spans="1:18">
      <c r="A8" s="110" t="s">
        <v>275</v>
      </c>
      <c r="B8" s="108">
        <f>'Other Input Data'!B19</f>
        <v>6.86</v>
      </c>
      <c r="C8" s="108">
        <f>'Other Input Data'!C19</f>
        <v>5.57</v>
      </c>
      <c r="D8" s="108">
        <f>'Other Input Data'!D19</f>
        <v>5.42</v>
      </c>
      <c r="E8" s="108">
        <f>'Other Input Data'!E19</f>
        <v>2.2999999999999998</v>
      </c>
      <c r="F8" s="108">
        <f>'Other Input Data'!F19</f>
        <v>2.06</v>
      </c>
      <c r="G8" s="108">
        <f>'Other Input Data'!G19</f>
        <v>1.06</v>
      </c>
      <c r="H8" s="108">
        <f>'Other Input Data'!H19</f>
        <v>0.97</v>
      </c>
      <c r="I8" s="108">
        <f>'Other Input Data'!I19</f>
        <v>0.9</v>
      </c>
      <c r="J8" s="108">
        <f>'Other Input Data'!J19</f>
        <v>1.22</v>
      </c>
      <c r="K8" s="108">
        <f>'Other Input Data'!K19</f>
        <v>0.51</v>
      </c>
      <c r="L8" s="117">
        <f t="shared" si="0"/>
        <v>0.24092500448078402</v>
      </c>
      <c r="M8" s="94"/>
      <c r="N8" s="94"/>
      <c r="O8" s="94"/>
      <c r="P8" s="94"/>
      <c r="Q8" s="94"/>
      <c r="R8" s="94"/>
    </row>
    <row r="9" spans="1:18">
      <c r="A9" s="110" t="s">
        <v>205</v>
      </c>
      <c r="B9" s="108">
        <f>'Other Input Data'!B20</f>
        <v>4.2699999999999996</v>
      </c>
      <c r="C9" s="108">
        <f>'Other Input Data'!C20</f>
        <v>3.2</v>
      </c>
      <c r="D9" s="108">
        <f>'Other Input Data'!D20</f>
        <v>2.89</v>
      </c>
      <c r="E9" s="108">
        <f>'Other Input Data'!E20</f>
        <v>2.2599999999999998</v>
      </c>
      <c r="F9" s="108">
        <f>'Other Input Data'!F20</f>
        <v>2.12</v>
      </c>
      <c r="G9" s="108">
        <f>'Other Input Data'!G20</f>
        <v>1.67</v>
      </c>
      <c r="H9" s="108">
        <f>'Other Input Data'!H20</f>
        <v>1.23</v>
      </c>
      <c r="I9" s="108">
        <f>'Other Input Data'!I20</f>
        <v>0.61</v>
      </c>
      <c r="J9" s="108">
        <f>'Other Input Data'!J20</f>
        <v>0.59</v>
      </c>
      <c r="K9" s="108">
        <f>'Other Input Data'!K20</f>
        <v>0.45</v>
      </c>
      <c r="L9" s="117">
        <f t="shared" si="0"/>
        <v>0.28069874198882561</v>
      </c>
      <c r="M9" s="94"/>
      <c r="N9" s="94"/>
      <c r="O9" s="94"/>
      <c r="P9" s="94"/>
      <c r="Q9" s="94"/>
      <c r="R9" s="94"/>
    </row>
    <row r="10" spans="1:18">
      <c r="A10" s="110" t="s">
        <v>151</v>
      </c>
      <c r="B10" s="108">
        <f>'Other Input Data'!B21</f>
        <v>10.88</v>
      </c>
      <c r="C10" s="108">
        <f>'Other Input Data'!C21</f>
        <v>8.86</v>
      </c>
      <c r="D10" s="108">
        <f>'Other Input Data'!D21</f>
        <v>6.3</v>
      </c>
      <c r="E10" s="108">
        <f>'Other Input Data'!E21</f>
        <v>1.5</v>
      </c>
      <c r="F10" s="108">
        <f>'Other Input Data'!F21</f>
        <v>1.18</v>
      </c>
      <c r="G10" s="108">
        <f>'Other Input Data'!G21</f>
        <v>0.67</v>
      </c>
      <c r="H10" s="108">
        <f>'Other Input Data'!H21</f>
        <v>0.7</v>
      </c>
      <c r="I10" s="108">
        <f>'Other Input Data'!I21</f>
        <v>0.47</v>
      </c>
      <c r="J10" s="108">
        <f>'Other Input Data'!J21</f>
        <v>0.49</v>
      </c>
      <c r="K10" s="108">
        <f>'Other Input Data'!K21</f>
        <v>0.55000000000000004</v>
      </c>
      <c r="L10" s="117">
        <f t="shared" si="0"/>
        <v>0.47334380691660694</v>
      </c>
      <c r="M10" s="94"/>
      <c r="N10" s="94"/>
      <c r="O10" s="94"/>
      <c r="P10" s="94"/>
      <c r="Q10" s="94"/>
      <c r="R10" s="94"/>
    </row>
    <row r="11" spans="1:18">
      <c r="A11" s="110" t="s">
        <v>206</v>
      </c>
      <c r="B11" s="108">
        <f t="shared" ref="B11:J11" si="1">SUM(B5:B10)</f>
        <v>31.85</v>
      </c>
      <c r="C11" s="108">
        <f t="shared" si="1"/>
        <v>26.69</v>
      </c>
      <c r="D11" s="108">
        <f t="shared" si="1"/>
        <v>21.48</v>
      </c>
      <c r="E11" s="108">
        <f t="shared" si="1"/>
        <v>16.350000000000001</v>
      </c>
      <c r="F11" s="108">
        <f t="shared" si="1"/>
        <v>14.04</v>
      </c>
      <c r="G11" s="108">
        <f t="shared" si="1"/>
        <v>11.09</v>
      </c>
      <c r="H11" s="108">
        <f t="shared" si="1"/>
        <v>9.6499999999999986</v>
      </c>
      <c r="I11" s="108">
        <f t="shared" si="1"/>
        <v>7.15</v>
      </c>
      <c r="J11" s="108">
        <f t="shared" si="1"/>
        <v>6.23</v>
      </c>
      <c r="K11" s="108"/>
      <c r="L11" s="117">
        <f t="shared" si="0"/>
        <v>0.2262461977172352</v>
      </c>
      <c r="M11" s="94"/>
      <c r="N11" s="94"/>
      <c r="O11" s="94"/>
      <c r="P11" s="94"/>
      <c r="Q11" s="94"/>
      <c r="R11" s="94"/>
    </row>
    <row r="12" spans="1:18" ht="12.75" customHeight="1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94"/>
      <c r="N12" s="94"/>
      <c r="O12" s="94"/>
      <c r="P12" s="94"/>
      <c r="Q12" s="94"/>
      <c r="R12" s="94"/>
    </row>
    <row r="13" spans="1:18">
      <c r="A13" s="110" t="s">
        <v>5</v>
      </c>
      <c r="B13" s="110">
        <f>'Other Input Data'!B25</f>
        <v>69.05</v>
      </c>
      <c r="C13" s="110">
        <f>'Other Input Data'!C25</f>
        <v>65.099999999999994</v>
      </c>
      <c r="D13" s="110">
        <f>'Other Input Data'!D25</f>
        <v>47.96</v>
      </c>
      <c r="E13" s="110">
        <f>'Other Input Data'!E25</f>
        <v>41.97</v>
      </c>
      <c r="F13" s="110">
        <f>'Other Input Data'!F25</f>
        <v>37.53</v>
      </c>
      <c r="G13" s="110">
        <f>'Other Input Data'!G25</f>
        <v>30.16</v>
      </c>
      <c r="H13" s="110">
        <f>'Other Input Data'!H25</f>
        <v>32.630000000000003</v>
      </c>
      <c r="I13" s="110">
        <f>'Other Input Data'!I25</f>
        <v>21.83</v>
      </c>
      <c r="J13" s="110">
        <f>'Other Input Data'!J25</f>
        <v>20.14</v>
      </c>
      <c r="K13" s="110">
        <f>'Other Input Data'!K25</f>
        <v>16.239999999999998</v>
      </c>
      <c r="L13" s="117">
        <f>(B13/J13)^(1/8)-1</f>
        <v>0.1665088206295573</v>
      </c>
      <c r="M13" s="94"/>
      <c r="N13" s="94"/>
      <c r="O13" s="94"/>
      <c r="P13" s="94"/>
      <c r="Q13" s="94"/>
      <c r="R13" s="94"/>
    </row>
    <row r="14" spans="1:18">
      <c r="A14" s="110" t="s">
        <v>207</v>
      </c>
      <c r="B14" s="118">
        <f>'Other Input Data'!B15</f>
        <v>14.9</v>
      </c>
      <c r="C14" s="118">
        <f>'Other Input Data'!C15</f>
        <v>18.47</v>
      </c>
      <c r="D14" s="118">
        <f>'Other Input Data'!D15</f>
        <v>13.03</v>
      </c>
      <c r="E14" s="118">
        <f>'Other Input Data'!E15</f>
        <v>13.03</v>
      </c>
      <c r="F14" s="118">
        <f>'Other Input Data'!F15</f>
        <v>11.39</v>
      </c>
      <c r="G14" s="118">
        <f>'Other Input Data'!G15</f>
        <v>8.3800000000000008</v>
      </c>
      <c r="H14" s="118">
        <f>'Other Input Data'!H15</f>
        <v>7.96</v>
      </c>
      <c r="I14" s="118">
        <f>'Other Input Data'!I15</f>
        <v>8.2100000000000009</v>
      </c>
      <c r="J14" s="119">
        <f>'Other Input Data'!J15</f>
        <v>5.67</v>
      </c>
      <c r="K14" s="119">
        <f>'Other Input Data'!K15</f>
        <v>5.71</v>
      </c>
      <c r="L14" s="117">
        <f>(B14/J14)^(1/8)-1</f>
        <v>0.12836706446587276</v>
      </c>
      <c r="M14" s="94"/>
      <c r="N14" s="94"/>
      <c r="O14" s="94"/>
      <c r="P14" s="94"/>
      <c r="Q14" s="94"/>
      <c r="R14" s="94"/>
    </row>
    <row r="15" spans="1:18">
      <c r="A15" s="110" t="s">
        <v>154</v>
      </c>
      <c r="B15" s="118">
        <f t="shared" ref="B15:K15" si="2">B13-B14</f>
        <v>54.15</v>
      </c>
      <c r="C15" s="118">
        <f t="shared" si="2"/>
        <v>46.629999999999995</v>
      </c>
      <c r="D15" s="118">
        <f t="shared" si="2"/>
        <v>34.93</v>
      </c>
      <c r="E15" s="118">
        <f t="shared" si="2"/>
        <v>28.939999999999998</v>
      </c>
      <c r="F15" s="118">
        <f t="shared" si="2"/>
        <v>26.14</v>
      </c>
      <c r="G15" s="118">
        <f t="shared" si="2"/>
        <v>21.78</v>
      </c>
      <c r="H15" s="118">
        <f t="shared" si="2"/>
        <v>24.67</v>
      </c>
      <c r="I15" s="118">
        <f t="shared" si="2"/>
        <v>13.619999999999997</v>
      </c>
      <c r="J15" s="118">
        <f t="shared" si="2"/>
        <v>14.47</v>
      </c>
      <c r="K15" s="118">
        <f t="shared" si="2"/>
        <v>10.529999999999998</v>
      </c>
      <c r="L15" s="117">
        <f>(B15/J15)^(1/8)-1</f>
        <v>0.17934600773329312</v>
      </c>
      <c r="M15" s="94"/>
      <c r="N15" s="94"/>
      <c r="O15" s="94"/>
      <c r="P15" s="94"/>
      <c r="Q15" s="94"/>
      <c r="R15" s="94"/>
    </row>
    <row r="16" spans="1:18">
      <c r="A16" s="110" t="s">
        <v>208</v>
      </c>
      <c r="B16" s="111">
        <f t="shared" ref="B16:K16" si="3">B15/B13</f>
        <v>0.78421433743664015</v>
      </c>
      <c r="C16" s="111">
        <f t="shared" si="3"/>
        <v>0.71628264208909365</v>
      </c>
      <c r="D16" s="111">
        <f t="shared" si="3"/>
        <v>0.72831526271893243</v>
      </c>
      <c r="E16" s="111">
        <f t="shared" si="3"/>
        <v>0.68954014772456518</v>
      </c>
      <c r="F16" s="111">
        <f t="shared" si="3"/>
        <v>0.69650945909938711</v>
      </c>
      <c r="G16" s="111">
        <f t="shared" si="3"/>
        <v>0.72214854111405835</v>
      </c>
      <c r="H16" s="111">
        <f t="shared" si="3"/>
        <v>0.75605271222801107</v>
      </c>
      <c r="I16" s="111">
        <f t="shared" si="3"/>
        <v>0.62391204764086117</v>
      </c>
      <c r="J16" s="111">
        <f t="shared" si="3"/>
        <v>0.71847070506454813</v>
      </c>
      <c r="K16" s="111">
        <f t="shared" si="3"/>
        <v>0.64839901477832507</v>
      </c>
      <c r="L16" s="110"/>
      <c r="M16" s="120"/>
      <c r="N16" s="94"/>
      <c r="O16" s="94"/>
      <c r="P16" s="94"/>
      <c r="Q16" s="94"/>
      <c r="R16" s="94"/>
    </row>
    <row r="17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5">
      <c r="A18" s="101" t="s">
        <v>209</v>
      </c>
      <c r="B18" s="102">
        <f>'Data Sheet'!K$4</f>
        <v>41729</v>
      </c>
      <c r="C18" s="102">
        <f>'Data Sheet'!J$4</f>
        <v>41364</v>
      </c>
      <c r="D18" s="102">
        <f>'Data Sheet'!I$4</f>
        <v>40999</v>
      </c>
      <c r="E18" s="102">
        <f>'Data Sheet'!H$4</f>
        <v>40633</v>
      </c>
      <c r="F18" s="102">
        <f>'Data Sheet'!G$4</f>
        <v>40268</v>
      </c>
      <c r="G18" s="102">
        <f>'Data Sheet'!F$4</f>
        <v>39903</v>
      </c>
      <c r="H18" s="102">
        <f>'Data Sheet'!E$4</f>
        <v>39538</v>
      </c>
      <c r="I18" s="102">
        <f>'Data Sheet'!D$4</f>
        <v>39172</v>
      </c>
      <c r="J18" s="102">
        <f>'Data Sheet'!C$4</f>
        <v>38807</v>
      </c>
      <c r="K18" s="102">
        <f>'Data Sheet'!B$4</f>
        <v>38442</v>
      </c>
      <c r="L18" s="102" t="s">
        <v>210</v>
      </c>
      <c r="M18" s="102" t="s">
        <v>211</v>
      </c>
      <c r="N18" s="94"/>
      <c r="O18" s="94"/>
      <c r="P18" s="94"/>
      <c r="Q18" s="94"/>
      <c r="R18" s="94"/>
    </row>
    <row r="19" spans="1:18">
      <c r="A19" s="110" t="s">
        <v>145</v>
      </c>
      <c r="B19" s="111">
        <f t="shared" ref="B19:J19" si="4">B4/B$13</f>
        <v>0.2157856625633599</v>
      </c>
      <c r="C19" s="111">
        <f t="shared" si="4"/>
        <v>0.2837173579109063</v>
      </c>
      <c r="D19" s="111">
        <f t="shared" si="4"/>
        <v>0.27168473728106751</v>
      </c>
      <c r="E19" s="111">
        <f t="shared" si="4"/>
        <v>0.31045985227543482</v>
      </c>
      <c r="F19" s="111">
        <f t="shared" si="4"/>
        <v>0.30349054090061284</v>
      </c>
      <c r="G19" s="111">
        <f t="shared" si="4"/>
        <v>0.27785145888594165</v>
      </c>
      <c r="H19" s="111">
        <f t="shared" si="4"/>
        <v>0.24394728777198896</v>
      </c>
      <c r="I19" s="111">
        <f t="shared" si="4"/>
        <v>0.37608795235913889</v>
      </c>
      <c r="J19" s="111">
        <f t="shared" si="4"/>
        <v>0.28152929493545181</v>
      </c>
      <c r="K19" s="111"/>
      <c r="L19" s="121"/>
      <c r="M19" s="121"/>
      <c r="N19" s="94"/>
      <c r="O19" s="94"/>
      <c r="P19" s="94"/>
      <c r="Q19" s="94"/>
      <c r="R19" s="94"/>
    </row>
    <row r="20" spans="1:18">
      <c r="A20" s="110" t="s">
        <v>146</v>
      </c>
      <c r="B20" s="111">
        <f t="shared" ref="B20:J20" si="5">B5/B$13</f>
        <v>0.14250543084721218</v>
      </c>
      <c r="C20" s="111">
        <f t="shared" si="5"/>
        <v>0.13917050691244243</v>
      </c>
      <c r="D20" s="111">
        <f t="shared" si="5"/>
        <v>0.1432443703085905</v>
      </c>
      <c r="E20" s="111">
        <f t="shared" si="5"/>
        <v>0.13867047891350967</v>
      </c>
      <c r="F20" s="111">
        <f t="shared" si="5"/>
        <v>0.1332267519317879</v>
      </c>
      <c r="G20" s="111">
        <f t="shared" si="5"/>
        <v>0.12168435013262599</v>
      </c>
      <c r="H20" s="111">
        <f t="shared" si="5"/>
        <v>9.1633466135458169E-2</v>
      </c>
      <c r="I20" s="111">
        <f t="shared" si="5"/>
        <v>8.9784699954191485E-2</v>
      </c>
      <c r="J20" s="111">
        <f t="shared" si="5"/>
        <v>7.5471698113207544E-2</v>
      </c>
      <c r="K20" s="111"/>
      <c r="L20" s="111">
        <f t="shared" ref="L20:L26" si="6">MAX(A20:J20)-MIN(A20:J20)</f>
        <v>6.7772672195382952E-2</v>
      </c>
      <c r="M20" s="111" t="e">
        <f t="shared" ref="M20:M26" si="7">NA()</f>
        <v>#N/A</v>
      </c>
      <c r="N20" s="94"/>
      <c r="O20" s="94"/>
      <c r="P20" s="94"/>
      <c r="Q20" s="94"/>
      <c r="R20" s="94"/>
    </row>
    <row r="21" spans="1:18">
      <c r="A21" s="110" t="s">
        <v>212</v>
      </c>
      <c r="B21" s="111">
        <f t="shared" ref="B21:J21" si="8">B6/B$13</f>
        <v>0</v>
      </c>
      <c r="C21" s="111">
        <f t="shared" si="8"/>
        <v>0</v>
      </c>
      <c r="D21" s="111">
        <f t="shared" si="8"/>
        <v>0</v>
      </c>
      <c r="E21" s="111">
        <f t="shared" si="8"/>
        <v>0.10650464617583988</v>
      </c>
      <c r="F21" s="111">
        <f t="shared" si="8"/>
        <v>9.8054889421795896E-2</v>
      </c>
      <c r="G21" s="111">
        <f t="shared" si="8"/>
        <v>0.13328912466843501</v>
      </c>
      <c r="H21" s="111">
        <f t="shared" si="8"/>
        <v>0.11523138216365307</v>
      </c>
      <c r="I21" s="111">
        <f t="shared" si="8"/>
        <v>0.14704535043518097</v>
      </c>
      <c r="J21" s="111">
        <f t="shared" si="8"/>
        <v>0.11966236345580934</v>
      </c>
      <c r="K21" s="111"/>
      <c r="L21" s="117">
        <f t="shared" si="6"/>
        <v>0.14704535043518097</v>
      </c>
      <c r="M21" s="117" t="e">
        <f t="shared" si="7"/>
        <v>#N/A</v>
      </c>
      <c r="N21" s="94"/>
      <c r="O21" s="94"/>
      <c r="P21" s="94"/>
      <c r="Q21" s="94"/>
      <c r="R21" s="94"/>
    </row>
    <row r="22" spans="1:18">
      <c r="A22" s="110" t="s">
        <v>148</v>
      </c>
      <c r="B22" s="117">
        <f t="shared" ref="B22:J22" si="9">B7/B$13</f>
        <v>0</v>
      </c>
      <c r="C22" s="117">
        <f t="shared" si="9"/>
        <v>0</v>
      </c>
      <c r="D22" s="117">
        <f t="shared" si="9"/>
        <v>0</v>
      </c>
      <c r="E22" s="117">
        <f t="shared" si="9"/>
        <v>0</v>
      </c>
      <c r="F22" s="111">
        <f t="shared" si="9"/>
        <v>0</v>
      </c>
      <c r="G22" s="111">
        <f t="shared" si="9"/>
        <v>0</v>
      </c>
      <c r="H22" s="111">
        <f t="shared" si="9"/>
        <v>0</v>
      </c>
      <c r="I22" s="111">
        <f t="shared" si="9"/>
        <v>0</v>
      </c>
      <c r="J22" s="111">
        <f t="shared" si="9"/>
        <v>0</v>
      </c>
      <c r="K22" s="111"/>
      <c r="L22" s="111">
        <f t="shared" si="6"/>
        <v>0</v>
      </c>
      <c r="M22" s="111" t="e">
        <f t="shared" si="7"/>
        <v>#N/A</v>
      </c>
      <c r="N22" s="94"/>
      <c r="O22" s="94"/>
      <c r="P22" s="94"/>
      <c r="Q22" s="94"/>
      <c r="R22" s="94"/>
    </row>
    <row r="23" spans="1:18">
      <c r="A23" s="110" t="s">
        <v>275</v>
      </c>
      <c r="B23" s="111">
        <f t="shared" ref="B23:J23" si="10">B8/B$13</f>
        <v>9.9348298334540203E-2</v>
      </c>
      <c r="C23" s="111">
        <f t="shared" si="10"/>
        <v>8.556067588325654E-2</v>
      </c>
      <c r="D23" s="111">
        <f t="shared" si="10"/>
        <v>0.11301084236864054</v>
      </c>
      <c r="E23" s="111">
        <f t="shared" si="10"/>
        <v>5.480104836788182E-2</v>
      </c>
      <c r="F23" s="111">
        <f t="shared" si="10"/>
        <v>5.4889421795896613E-2</v>
      </c>
      <c r="G23" s="111">
        <f t="shared" si="10"/>
        <v>3.5145888594164461E-2</v>
      </c>
      <c r="H23" s="111">
        <f t="shared" si="10"/>
        <v>2.9727244866687094E-2</v>
      </c>
      <c r="I23" s="111">
        <f t="shared" si="10"/>
        <v>4.1227668346312418E-2</v>
      </c>
      <c r="J23" s="111">
        <f t="shared" si="10"/>
        <v>6.0575968222442898E-2</v>
      </c>
      <c r="K23" s="111"/>
      <c r="L23" s="117">
        <f t="shared" si="6"/>
        <v>8.3283597501953438E-2</v>
      </c>
      <c r="M23" s="117" t="e">
        <f t="shared" si="7"/>
        <v>#N/A</v>
      </c>
      <c r="N23" s="94"/>
      <c r="O23" s="94"/>
      <c r="P23" s="94"/>
      <c r="Q23" s="94"/>
      <c r="R23" s="94"/>
    </row>
    <row r="24" spans="1:18">
      <c r="A24" s="110" t="s">
        <v>213</v>
      </c>
      <c r="B24" s="111">
        <f t="shared" ref="B24:J24" si="11">B9/B$13</f>
        <v>6.1839246922519908E-2</v>
      </c>
      <c r="C24" s="111">
        <f t="shared" si="11"/>
        <v>4.9155145929339485E-2</v>
      </c>
      <c r="D24" s="111">
        <f t="shared" si="11"/>
        <v>6.0258548790658881E-2</v>
      </c>
      <c r="E24" s="111">
        <f t="shared" si="11"/>
        <v>5.3847986657136047E-2</v>
      </c>
      <c r="F24" s="111">
        <f t="shared" si="11"/>
        <v>5.6488142819078074E-2</v>
      </c>
      <c r="G24" s="111">
        <f t="shared" si="11"/>
        <v>5.5371352785145884E-2</v>
      </c>
      <c r="H24" s="111">
        <f t="shared" si="11"/>
        <v>3.7695372356726937E-2</v>
      </c>
      <c r="I24" s="111">
        <f t="shared" si="11"/>
        <v>2.7943197434722861E-2</v>
      </c>
      <c r="J24" s="111">
        <f t="shared" si="11"/>
        <v>2.9294935451837138E-2</v>
      </c>
      <c r="K24" s="111"/>
      <c r="L24" s="111">
        <f t="shared" si="6"/>
        <v>3.389604948779705E-2</v>
      </c>
      <c r="M24" s="111" t="e">
        <f t="shared" si="7"/>
        <v>#N/A</v>
      </c>
      <c r="N24" s="94"/>
      <c r="O24" s="94"/>
      <c r="P24" s="94"/>
      <c r="Q24" s="94"/>
      <c r="R24" s="94"/>
    </row>
    <row r="25" spans="1:18">
      <c r="A25" s="110" t="s">
        <v>214</v>
      </c>
      <c r="B25" s="111">
        <f t="shared" ref="B25:J25" si="12">B10/B$13</f>
        <v>0.15756698044895007</v>
      </c>
      <c r="C25" s="111">
        <f t="shared" si="12"/>
        <v>0.13609831029185868</v>
      </c>
      <c r="D25" s="111">
        <f t="shared" si="12"/>
        <v>0.13135946622185155</v>
      </c>
      <c r="E25" s="111">
        <f t="shared" si="12"/>
        <v>3.5739814152966405E-2</v>
      </c>
      <c r="F25" s="111">
        <f t="shared" si="12"/>
        <v>3.1441513455901945E-2</v>
      </c>
      <c r="G25" s="111">
        <f t="shared" si="12"/>
        <v>2.2214854111405835E-2</v>
      </c>
      <c r="H25" s="111">
        <f t="shared" si="12"/>
        <v>2.1452650934722643E-2</v>
      </c>
      <c r="I25" s="111">
        <f t="shared" si="12"/>
        <v>2.1530004580852038E-2</v>
      </c>
      <c r="J25" s="111">
        <f t="shared" si="12"/>
        <v>2.4329692154915591E-2</v>
      </c>
      <c r="K25" s="111"/>
      <c r="L25" s="111">
        <f t="shared" si="6"/>
        <v>0.13611432951422742</v>
      </c>
      <c r="M25" s="111" t="e">
        <f t="shared" si="7"/>
        <v>#N/A</v>
      </c>
      <c r="N25" s="94"/>
      <c r="O25" s="94"/>
      <c r="P25" s="94"/>
      <c r="Q25" s="94"/>
      <c r="R25" s="94"/>
    </row>
    <row r="26" spans="1:18">
      <c r="A26" s="110" t="s">
        <v>40</v>
      </c>
      <c r="B26" s="111">
        <f t="shared" ref="B26:J26" si="13">B11/B$13</f>
        <v>0.46125995655322233</v>
      </c>
      <c r="C26" s="111">
        <f t="shared" si="13"/>
        <v>0.40998463901689713</v>
      </c>
      <c r="D26" s="111">
        <f t="shared" si="13"/>
        <v>0.44787322768974147</v>
      </c>
      <c r="E26" s="111">
        <f t="shared" si="13"/>
        <v>0.38956397426733386</v>
      </c>
      <c r="F26" s="111">
        <f t="shared" si="13"/>
        <v>0.37410071942446038</v>
      </c>
      <c r="G26" s="111">
        <f t="shared" si="13"/>
        <v>0.3677055702917772</v>
      </c>
      <c r="H26" s="111">
        <f t="shared" si="13"/>
        <v>0.29574011645724785</v>
      </c>
      <c r="I26" s="111">
        <f t="shared" si="13"/>
        <v>0.32753092075125978</v>
      </c>
      <c r="J26" s="111">
        <f t="shared" si="13"/>
        <v>0.30933465739821253</v>
      </c>
      <c r="K26" s="111"/>
      <c r="L26" s="111">
        <f t="shared" si="6"/>
        <v>0.16551984009597448</v>
      </c>
      <c r="M26" s="111" t="e">
        <f t="shared" si="7"/>
        <v>#N/A</v>
      </c>
      <c r="N26" s="94"/>
      <c r="O26" s="94"/>
      <c r="P26" s="94"/>
      <c r="Q26" s="94"/>
      <c r="R26" s="94"/>
    </row>
    <row r="27" spans="1:18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1:18" ht="15">
      <c r="A28" s="101" t="s">
        <v>215</v>
      </c>
      <c r="B28" s="102">
        <f>'Data Sheet'!K$4</f>
        <v>41729</v>
      </c>
      <c r="C28" s="102">
        <f>'Data Sheet'!J$4</f>
        <v>41364</v>
      </c>
      <c r="D28" s="102">
        <f>'Data Sheet'!I$4</f>
        <v>40999</v>
      </c>
      <c r="E28" s="102">
        <f>'Data Sheet'!H$4</f>
        <v>40633</v>
      </c>
      <c r="F28" s="102">
        <f>'Data Sheet'!G$4</f>
        <v>40268</v>
      </c>
      <c r="G28" s="102">
        <f>'Data Sheet'!F$4</f>
        <v>39903</v>
      </c>
      <c r="H28" s="102">
        <f>'Data Sheet'!E$4</f>
        <v>39538</v>
      </c>
      <c r="I28" s="102">
        <f>'Data Sheet'!D$4</f>
        <v>39172</v>
      </c>
      <c r="J28" s="102">
        <f>'Data Sheet'!C$4</f>
        <v>38807</v>
      </c>
      <c r="K28" s="102">
        <f>'Data Sheet'!B$4</f>
        <v>38442</v>
      </c>
      <c r="L28" s="102" t="s">
        <v>210</v>
      </c>
      <c r="M28" s="102" t="s">
        <v>211</v>
      </c>
      <c r="N28" s="94"/>
      <c r="O28" s="94"/>
      <c r="P28" s="94"/>
      <c r="Q28" s="94"/>
      <c r="R28" s="94"/>
    </row>
    <row r="29" spans="1:18">
      <c r="A29" s="110" t="s">
        <v>216</v>
      </c>
      <c r="B29" s="111">
        <f t="shared" ref="B29:K29" si="14">(B5+B6+B7)/B$15</f>
        <v>0.18171745152354571</v>
      </c>
      <c r="C29" s="111">
        <f t="shared" si="14"/>
        <v>0.1942955179069269</v>
      </c>
      <c r="D29" s="111">
        <f t="shared" si="14"/>
        <v>0.19667907243057545</v>
      </c>
      <c r="E29" s="111">
        <f t="shared" si="14"/>
        <v>0.35556323427781616</v>
      </c>
      <c r="F29" s="111">
        <f t="shared" si="14"/>
        <v>0.33205814843152254</v>
      </c>
      <c r="G29" s="111">
        <f t="shared" si="14"/>
        <v>0.35307621671258033</v>
      </c>
      <c r="H29" s="111">
        <f t="shared" si="14"/>
        <v>0.27361167409809484</v>
      </c>
      <c r="I29" s="111">
        <f t="shared" si="14"/>
        <v>0.37958883994126291</v>
      </c>
      <c r="J29" s="111">
        <f t="shared" si="14"/>
        <v>0.27159640635798205</v>
      </c>
      <c r="K29" s="111">
        <f t="shared" si="14"/>
        <v>0.28395061728395071</v>
      </c>
      <c r="L29" s="111">
        <f>MAX(A29:J29)-MIN(A29:J29)</f>
        <v>0.1978713884177172</v>
      </c>
      <c r="M29" s="111" t="e">
        <f>NA()</f>
        <v>#N/A</v>
      </c>
      <c r="N29" s="94"/>
      <c r="O29" s="94"/>
      <c r="P29" s="94"/>
      <c r="Q29" s="94"/>
      <c r="R29" s="94"/>
    </row>
    <row r="30" spans="1:18">
      <c r="A30" s="110" t="s">
        <v>275</v>
      </c>
      <c r="B30" s="111">
        <f t="shared" ref="B30:J30" si="15">B8/B$15</f>
        <v>0.12668513388734998</v>
      </c>
      <c r="C30" s="111">
        <f t="shared" si="15"/>
        <v>0.11945099721209523</v>
      </c>
      <c r="D30" s="111">
        <f t="shared" si="15"/>
        <v>0.15516747781276841</v>
      </c>
      <c r="E30" s="111">
        <f t="shared" si="15"/>
        <v>7.9474775397373881E-2</v>
      </c>
      <c r="F30" s="111">
        <f t="shared" si="15"/>
        <v>7.8806426931905121E-2</v>
      </c>
      <c r="G30" s="111">
        <f t="shared" si="15"/>
        <v>4.8668503213957756E-2</v>
      </c>
      <c r="H30" s="111">
        <f t="shared" si="15"/>
        <v>3.9319010944466957E-2</v>
      </c>
      <c r="I30" s="111">
        <f t="shared" si="15"/>
        <v>6.6079295154185036E-2</v>
      </c>
      <c r="J30" s="111">
        <f t="shared" si="15"/>
        <v>8.4312370421561852E-2</v>
      </c>
      <c r="K30" s="110"/>
      <c r="L30" s="111">
        <f>MAX(A30:J30)-MIN(A30:J30)</f>
        <v>0.11584846686830144</v>
      </c>
      <c r="M30" s="111" t="e">
        <f>NA()</f>
        <v>#N/A</v>
      </c>
      <c r="N30" s="94"/>
      <c r="O30" s="94"/>
      <c r="P30" s="94"/>
      <c r="Q30" s="94"/>
      <c r="R30" s="94"/>
    </row>
    <row r="31" spans="1:18">
      <c r="A31" s="110" t="s">
        <v>10</v>
      </c>
      <c r="B31" s="111">
        <f>'Other Input Data'!B29/B$15</f>
        <v>9.935364727608495E-2</v>
      </c>
      <c r="C31" s="111">
        <f>'Other Input Data'!C29/C$15</f>
        <v>9.414539995710916E-2</v>
      </c>
      <c r="D31" s="111">
        <f>'Other Input Data'!D29/D$15</f>
        <v>0.11795018608645863</v>
      </c>
      <c r="E31" s="111">
        <f>'Other Input Data'!E29/E$15</f>
        <v>0.15480304077401524</v>
      </c>
      <c r="F31" s="111">
        <f>'Other Input Data'!F29/F$15</f>
        <v>0.16182096403978577</v>
      </c>
      <c r="G31" s="111">
        <f>'Other Input Data'!G29/G$15</f>
        <v>0.17630853994490356</v>
      </c>
      <c r="H31" s="111">
        <f>'Other Input Data'!H29/H$15</f>
        <v>0.14916903121199837</v>
      </c>
      <c r="I31" s="111">
        <f>'Other Input Data'!I29/I$15</f>
        <v>3.2305433186490463E-2</v>
      </c>
      <c r="J31" s="111">
        <f>'Other Input Data'!J29/J$15</f>
        <v>2.4187975120939873E-2</v>
      </c>
      <c r="K31" s="111">
        <f>'Other Input Data'!K29/K$15</f>
        <v>3.0389363722697064E-2</v>
      </c>
      <c r="L31" s="111">
        <f>MAX(A31:J31)-MIN(A31:J31)</f>
        <v>0.15212056482396369</v>
      </c>
      <c r="M31" s="111" t="e">
        <f>NA()</f>
        <v>#N/A</v>
      </c>
      <c r="N31" s="94"/>
      <c r="O31" s="94"/>
      <c r="P31" s="94"/>
      <c r="Q31" s="94"/>
      <c r="R31" s="94"/>
    </row>
    <row r="32" spans="1:18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2"/>
      <c r="M32" s="122"/>
      <c r="N32" s="94"/>
      <c r="O32" s="94"/>
      <c r="P32" s="94"/>
      <c r="Q32" s="94"/>
      <c r="R32" s="94"/>
    </row>
    <row r="33" spans="1:18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2"/>
      <c r="M33" s="122"/>
      <c r="N33" s="94"/>
      <c r="O33" s="94"/>
      <c r="P33" s="94"/>
      <c r="Q33" s="94"/>
      <c r="R33" s="94"/>
    </row>
    <row r="34" spans="1:18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2"/>
      <c r="M34" s="122"/>
      <c r="N34" s="94"/>
      <c r="O34" s="94"/>
      <c r="P34" s="94"/>
      <c r="Q34" s="94"/>
      <c r="R34" s="94"/>
    </row>
    <row r="35" spans="1:18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2"/>
      <c r="M35" s="122"/>
      <c r="N35" s="94"/>
      <c r="O35" s="94"/>
      <c r="P35" s="94"/>
      <c r="Q35" s="94"/>
      <c r="R35" s="94"/>
    </row>
    <row r="36" spans="1:18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2"/>
      <c r="M36" s="122"/>
      <c r="N36" s="94"/>
      <c r="O36" s="94"/>
      <c r="P36" s="94"/>
      <c r="Q36" s="94"/>
      <c r="R36" s="94"/>
    </row>
    <row r="37" spans="1:18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94"/>
      <c r="M37" s="94"/>
      <c r="N37" s="94"/>
      <c r="O37" s="94"/>
      <c r="P37" s="94"/>
      <c r="Q37" s="94"/>
      <c r="R37" s="94"/>
    </row>
    <row r="38" spans="1:18" ht="15">
      <c r="A38" s="124" t="s">
        <v>217</v>
      </c>
      <c r="B38" s="96">
        <f>'Data Sheet'!K$4</f>
        <v>41729</v>
      </c>
      <c r="C38" s="96">
        <f>'Data Sheet'!J$4</f>
        <v>41364</v>
      </c>
      <c r="D38" s="96">
        <f>'Data Sheet'!I$4</f>
        <v>40999</v>
      </c>
      <c r="E38" s="96">
        <f>'Data Sheet'!H$4</f>
        <v>40633</v>
      </c>
      <c r="F38" s="96">
        <f>'Data Sheet'!G$4</f>
        <v>40268</v>
      </c>
      <c r="G38" s="96">
        <f>'Data Sheet'!F$4</f>
        <v>39903</v>
      </c>
      <c r="H38" s="96">
        <f>'Data Sheet'!E$4</f>
        <v>39538</v>
      </c>
      <c r="I38" s="96">
        <f>'Data Sheet'!D$4</f>
        <v>39172</v>
      </c>
      <c r="J38" s="96">
        <f>'Data Sheet'!C$4</f>
        <v>38807</v>
      </c>
      <c r="K38" s="96">
        <f>'Data Sheet'!B$4</f>
        <v>38442</v>
      </c>
      <c r="L38" s="96" t="s">
        <v>52</v>
      </c>
      <c r="M38" s="94"/>
      <c r="N38" s="94"/>
      <c r="O38" s="94"/>
      <c r="P38" s="94"/>
      <c r="Q38" s="94"/>
      <c r="R38" s="94"/>
    </row>
    <row r="39" spans="1:18">
      <c r="A39" s="94" t="s">
        <v>146</v>
      </c>
      <c r="B39" s="120">
        <f t="shared" ref="B39:I45" si="16">(B5-C5)/C5</f>
        <v>8.6092715231788006E-2</v>
      </c>
      <c r="C39" s="120">
        <f t="shared" si="16"/>
        <v>0.31877729257641929</v>
      </c>
      <c r="D39" s="120">
        <f t="shared" si="16"/>
        <v>0.18041237113402059</v>
      </c>
      <c r="E39" s="120">
        <f t="shared" si="16"/>
        <v>0.16400000000000006</v>
      </c>
      <c r="F39" s="120">
        <f t="shared" si="16"/>
        <v>0.36239782016348776</v>
      </c>
      <c r="G39" s="120">
        <f t="shared" si="16"/>
        <v>0.22742474916387947</v>
      </c>
      <c r="H39" s="120">
        <f t="shared" si="16"/>
        <v>0.52551020408163274</v>
      </c>
      <c r="I39" s="120">
        <f t="shared" si="16"/>
        <v>0.28947368421052627</v>
      </c>
      <c r="J39" s="94"/>
      <c r="K39" s="94"/>
      <c r="L39" s="107">
        <f t="shared" ref="L39:L45" si="17">AVERAGE(B39:I39)</f>
        <v>0.26926110457021923</v>
      </c>
      <c r="M39" s="94"/>
      <c r="N39" s="94"/>
      <c r="O39" s="94"/>
      <c r="P39" s="94"/>
      <c r="Q39" s="94"/>
      <c r="R39" s="94"/>
    </row>
    <row r="40" spans="1:18">
      <c r="A40" s="94" t="s">
        <v>147</v>
      </c>
      <c r="B40" s="120" t="e">
        <f t="shared" si="16"/>
        <v>#DIV/0!</v>
      </c>
      <c r="C40" s="120" t="e">
        <f t="shared" si="16"/>
        <v>#DIV/0!</v>
      </c>
      <c r="D40" s="120">
        <f t="shared" si="16"/>
        <v>-1</v>
      </c>
      <c r="E40" s="120">
        <f t="shared" si="16"/>
        <v>0.21467391304347813</v>
      </c>
      <c r="F40" s="120">
        <f t="shared" si="16"/>
        <v>-8.4577114427860561E-2</v>
      </c>
      <c r="G40" s="120">
        <f t="shared" si="16"/>
        <v>6.9148936170212713E-2</v>
      </c>
      <c r="H40" s="120">
        <f t="shared" si="16"/>
        <v>0.17133956386292828</v>
      </c>
      <c r="I40" s="120">
        <f t="shared" si="16"/>
        <v>0.3319502074688796</v>
      </c>
      <c r="J40" s="94"/>
      <c r="K40" s="94"/>
      <c r="L40" s="107" t="e">
        <f t="shared" si="17"/>
        <v>#DIV/0!</v>
      </c>
      <c r="M40" s="94"/>
      <c r="N40" s="94"/>
      <c r="O40" s="94"/>
      <c r="P40" s="94"/>
      <c r="Q40" s="94"/>
      <c r="R40" s="94"/>
    </row>
    <row r="41" spans="1:18">
      <c r="A41" s="94" t="s">
        <v>148</v>
      </c>
      <c r="B41" s="120" t="e">
        <f t="shared" si="16"/>
        <v>#DIV/0!</v>
      </c>
      <c r="C41" s="120" t="e">
        <f t="shared" si="16"/>
        <v>#DIV/0!</v>
      </c>
      <c r="D41" s="120" t="e">
        <f t="shared" si="16"/>
        <v>#DIV/0!</v>
      </c>
      <c r="E41" s="120" t="e">
        <f t="shared" si="16"/>
        <v>#DIV/0!</v>
      </c>
      <c r="F41" s="120" t="e">
        <f t="shared" si="16"/>
        <v>#DIV/0!</v>
      </c>
      <c r="G41" s="120" t="e">
        <f t="shared" si="16"/>
        <v>#DIV/0!</v>
      </c>
      <c r="H41" s="120" t="e">
        <f t="shared" si="16"/>
        <v>#DIV/0!</v>
      </c>
      <c r="I41" s="120" t="e">
        <f t="shared" si="16"/>
        <v>#DIV/0!</v>
      </c>
      <c r="J41" s="94"/>
      <c r="K41" s="94"/>
      <c r="L41" s="107" t="e">
        <f t="shared" si="17"/>
        <v>#DIV/0!</v>
      </c>
      <c r="M41" s="94"/>
      <c r="N41" s="94"/>
      <c r="O41" s="94"/>
      <c r="P41" s="94"/>
      <c r="Q41" s="94"/>
      <c r="R41" s="94"/>
    </row>
    <row r="42" spans="1:18">
      <c r="A42" s="94" t="s">
        <v>149</v>
      </c>
      <c r="B42" s="120">
        <f t="shared" si="16"/>
        <v>0.23159784560143626</v>
      </c>
      <c r="C42" s="120">
        <f t="shared" si="16"/>
        <v>2.7675276752767593E-2</v>
      </c>
      <c r="D42" s="120">
        <f t="shared" si="16"/>
        <v>1.3565217391304349</v>
      </c>
      <c r="E42" s="120">
        <f t="shared" si="16"/>
        <v>0.11650485436893192</v>
      </c>
      <c r="F42" s="120">
        <f t="shared" si="16"/>
        <v>0.94339622641509424</v>
      </c>
      <c r="G42" s="120">
        <f t="shared" si="16"/>
        <v>9.2783505154639262E-2</v>
      </c>
      <c r="H42" s="120">
        <f t="shared" si="16"/>
        <v>7.7777777777777724E-2</v>
      </c>
      <c r="I42" s="120">
        <f t="shared" si="16"/>
        <v>-0.26229508196721307</v>
      </c>
      <c r="J42" s="94"/>
      <c r="K42" s="94"/>
      <c r="L42" s="107">
        <f t="shared" si="17"/>
        <v>0.32299526790423366</v>
      </c>
      <c r="M42" s="94"/>
      <c r="N42" s="94"/>
      <c r="O42" s="94"/>
      <c r="P42" s="94"/>
      <c r="Q42" s="94"/>
      <c r="R42" s="94"/>
    </row>
    <row r="43" spans="1:18">
      <c r="A43" s="94" t="s">
        <v>205</v>
      </c>
      <c r="B43" s="120">
        <f t="shared" si="16"/>
        <v>0.33437499999999981</v>
      </c>
      <c r="C43" s="120">
        <f t="shared" si="16"/>
        <v>0.10726643598615919</v>
      </c>
      <c r="D43" s="120">
        <f t="shared" si="16"/>
        <v>0.27876106194690281</v>
      </c>
      <c r="E43" s="120">
        <f t="shared" si="16"/>
        <v>6.603773584905645E-2</v>
      </c>
      <c r="F43" s="120">
        <f t="shared" si="16"/>
        <v>0.2694610778443115</v>
      </c>
      <c r="G43" s="120">
        <f t="shared" si="16"/>
        <v>0.35772357723577231</v>
      </c>
      <c r="H43" s="120">
        <f t="shared" si="16"/>
        <v>1.0163934426229508</v>
      </c>
      <c r="I43" s="120">
        <f t="shared" si="16"/>
        <v>3.3898305084745797E-2</v>
      </c>
      <c r="J43" s="94"/>
      <c r="K43" s="94"/>
      <c r="L43" s="107">
        <f t="shared" si="17"/>
        <v>0.30798957957123735</v>
      </c>
      <c r="M43" s="94"/>
      <c r="N43" s="94"/>
      <c r="O43" s="94"/>
      <c r="P43" s="94"/>
      <c r="Q43" s="94"/>
      <c r="R43" s="94"/>
    </row>
    <row r="44" spans="1:18">
      <c r="A44" s="94" t="s">
        <v>151</v>
      </c>
      <c r="B44" s="120">
        <f t="shared" si="16"/>
        <v>0.2279909706546277</v>
      </c>
      <c r="C44" s="120">
        <f t="shared" si="16"/>
        <v>0.40634920634920629</v>
      </c>
      <c r="D44" s="120">
        <f t="shared" si="16"/>
        <v>3.1999999999999997</v>
      </c>
      <c r="E44" s="120">
        <f t="shared" si="16"/>
        <v>0.27118644067796616</v>
      </c>
      <c r="F44" s="120">
        <f t="shared" si="16"/>
        <v>0.76119402985074602</v>
      </c>
      <c r="G44" s="120">
        <f t="shared" si="16"/>
        <v>-4.285714285714274E-2</v>
      </c>
      <c r="H44" s="120">
        <f t="shared" si="16"/>
        <v>0.48936170212765956</v>
      </c>
      <c r="I44" s="120">
        <f t="shared" si="16"/>
        <v>-4.0816326530612283E-2</v>
      </c>
      <c r="J44" s="94"/>
      <c r="K44" s="94"/>
      <c r="L44" s="107">
        <f t="shared" si="17"/>
        <v>0.65905111003405636</v>
      </c>
      <c r="M44" s="94"/>
      <c r="N44" s="94"/>
      <c r="O44" s="94"/>
      <c r="P44" s="94"/>
      <c r="Q44" s="94"/>
      <c r="R44" s="94"/>
    </row>
    <row r="45" spans="1:18">
      <c r="A45" s="94" t="s">
        <v>40</v>
      </c>
      <c r="B45" s="120">
        <f t="shared" si="16"/>
        <v>0.19333083551892094</v>
      </c>
      <c r="C45" s="120">
        <f t="shared" si="16"/>
        <v>0.24255121042830544</v>
      </c>
      <c r="D45" s="120">
        <f t="shared" si="16"/>
        <v>0.31376146788990816</v>
      </c>
      <c r="E45" s="120">
        <f t="shared" si="16"/>
        <v>0.16452991452991469</v>
      </c>
      <c r="F45" s="120">
        <f t="shared" si="16"/>
        <v>0.26600541027953106</v>
      </c>
      <c r="G45" s="120">
        <f t="shared" si="16"/>
        <v>0.14922279792746129</v>
      </c>
      <c r="H45" s="120">
        <f t="shared" si="16"/>
        <v>0.34965034965034936</v>
      </c>
      <c r="I45" s="120">
        <f t="shared" si="16"/>
        <v>0.14767255216693417</v>
      </c>
      <c r="J45" s="94"/>
      <c r="K45" s="94"/>
      <c r="L45" s="107">
        <f t="shared" si="17"/>
        <v>0.22834056729891566</v>
      </c>
      <c r="M45" s="94"/>
      <c r="N45" s="94"/>
      <c r="O45" s="94"/>
      <c r="P45" s="94"/>
      <c r="Q45" s="94"/>
      <c r="R45" s="94"/>
    </row>
    <row r="46" spans="1:18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1:18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1:18">
      <c r="A48" s="125" t="s">
        <v>218</v>
      </c>
      <c r="B48" s="125"/>
      <c r="C48" s="125" t="s">
        <v>204</v>
      </c>
      <c r="D48" s="125" t="s">
        <v>219</v>
      </c>
      <c r="E48" s="125" t="s">
        <v>220</v>
      </c>
      <c r="F48" s="125"/>
      <c r="G48" s="125"/>
      <c r="H48" s="125">
        <v>2002</v>
      </c>
      <c r="I48" s="125" t="s">
        <v>221</v>
      </c>
      <c r="J48" s="125" t="s">
        <v>222</v>
      </c>
      <c r="K48" s="125"/>
      <c r="L48" s="94"/>
      <c r="M48" s="94"/>
      <c r="N48" s="94"/>
      <c r="O48" s="94"/>
      <c r="P48" s="94"/>
      <c r="Q48" s="94"/>
      <c r="R48" s="94"/>
    </row>
    <row r="49" spans="1:18">
      <c r="A49" s="126" t="str">
        <f t="shared" ref="A49:B55" si="18">A5</f>
        <v>Employee cost</v>
      </c>
      <c r="B49" s="127">
        <f t="shared" si="18"/>
        <v>9.84</v>
      </c>
      <c r="C49" s="120">
        <f t="shared" ref="C49:C55" si="19">L5</f>
        <v>0.26297262939086741</v>
      </c>
      <c r="D49" s="120">
        <f t="shared" ref="D49:D54" si="20">B49/$B$55</f>
        <v>0.30894819466248036</v>
      </c>
      <c r="E49" s="120">
        <f t="shared" ref="E49:E54" si="21">D49*C49</f>
        <v>8.1244919095954007E-2</v>
      </c>
      <c r="F49" s="94"/>
      <c r="G49" s="128" t="s">
        <v>154</v>
      </c>
      <c r="H49" s="129">
        <f>J15</f>
        <v>14.47</v>
      </c>
      <c r="I49" s="120">
        <f>L15</f>
        <v>0.17934600773329312</v>
      </c>
      <c r="J49" s="94">
        <f>H49*(1+I49)^(9)</f>
        <v>63.86158631875783</v>
      </c>
      <c r="K49" s="94"/>
      <c r="L49" s="94"/>
      <c r="M49" s="94"/>
      <c r="N49" s="94"/>
      <c r="O49" s="94"/>
      <c r="P49" s="94"/>
      <c r="Q49" s="94"/>
      <c r="R49" s="94"/>
    </row>
    <row r="50" spans="1:18">
      <c r="A50" s="126" t="str">
        <f t="shared" si="18"/>
        <v>Advertising and sales promotion</v>
      </c>
      <c r="B50" s="127">
        <f t="shared" si="18"/>
        <v>0</v>
      </c>
      <c r="C50" s="120">
        <f t="shared" si="19"/>
        <v>-1</v>
      </c>
      <c r="D50" s="120">
        <f t="shared" si="20"/>
        <v>0</v>
      </c>
      <c r="E50" s="120">
        <f t="shared" si="21"/>
        <v>0</v>
      </c>
      <c r="F50" s="94"/>
      <c r="G50" s="94" t="s">
        <v>223</v>
      </c>
      <c r="H50" s="127">
        <f>J11</f>
        <v>6.23</v>
      </c>
      <c r="I50" s="120" t="e">
        <f>E55</f>
        <v>#DIV/0!</v>
      </c>
      <c r="J50" s="94" t="e">
        <f>H50*(1+I50)^(9)</f>
        <v>#DIV/0!</v>
      </c>
      <c r="K50" s="94"/>
      <c r="L50" s="94"/>
      <c r="M50" s="94"/>
      <c r="N50" s="94"/>
      <c r="O50" s="94"/>
      <c r="P50" s="94"/>
      <c r="Q50" s="94"/>
      <c r="R50" s="94"/>
    </row>
    <row r="51" spans="1:18">
      <c r="A51" s="126" t="str">
        <f t="shared" si="18"/>
        <v>Freight, transport and distribution</v>
      </c>
      <c r="B51" s="127">
        <f t="shared" si="18"/>
        <v>0</v>
      </c>
      <c r="C51" s="120" t="e">
        <f t="shared" si="19"/>
        <v>#DIV/0!</v>
      </c>
      <c r="D51" s="120">
        <f t="shared" si="20"/>
        <v>0</v>
      </c>
      <c r="E51" s="120" t="e">
        <f t="shared" si="21"/>
        <v>#DIV/0!</v>
      </c>
      <c r="F51" s="94"/>
      <c r="G51" s="94" t="s">
        <v>224</v>
      </c>
      <c r="H51" s="129">
        <f>H49-H50</f>
        <v>8.24</v>
      </c>
      <c r="I51" s="120" t="e">
        <f>(J51/H51)^(1/9)-1</f>
        <v>#DIV/0!</v>
      </c>
      <c r="J51" s="129" t="e">
        <f>J49-J50</f>
        <v>#DIV/0!</v>
      </c>
      <c r="K51" s="129"/>
      <c r="L51" s="94"/>
      <c r="M51" s="94"/>
      <c r="N51" s="94"/>
      <c r="O51" s="94"/>
      <c r="P51" s="94"/>
      <c r="Q51" s="94"/>
      <c r="R51" s="94"/>
    </row>
    <row r="52" spans="1:18">
      <c r="A52" s="126" t="str">
        <f t="shared" si="18"/>
        <v>Other Manufacturing Expesnses</v>
      </c>
      <c r="B52" s="127">
        <f t="shared" si="18"/>
        <v>6.86</v>
      </c>
      <c r="C52" s="120">
        <f t="shared" si="19"/>
        <v>0.24092500448078402</v>
      </c>
      <c r="D52" s="120">
        <f t="shared" si="20"/>
        <v>0.2153846153846154</v>
      </c>
      <c r="E52" s="120">
        <f t="shared" si="21"/>
        <v>5.1891539426630405E-2</v>
      </c>
      <c r="F52" s="94"/>
      <c r="L52" s="94"/>
      <c r="M52" s="94"/>
      <c r="N52" s="94"/>
      <c r="O52" s="94"/>
      <c r="P52" s="94"/>
      <c r="Q52" s="94"/>
      <c r="R52" s="94"/>
    </row>
    <row r="53" spans="1:18">
      <c r="A53" s="126" t="str">
        <f t="shared" si="18"/>
        <v>power and fuel</v>
      </c>
      <c r="B53" s="127">
        <f t="shared" si="18"/>
        <v>4.2699999999999996</v>
      </c>
      <c r="C53" s="120">
        <f t="shared" si="19"/>
        <v>0.28069874198882561</v>
      </c>
      <c r="D53" s="120">
        <f t="shared" si="20"/>
        <v>0.13406593406593403</v>
      </c>
      <c r="E53" s="120">
        <f t="shared" si="21"/>
        <v>3.7632139035864522E-2</v>
      </c>
      <c r="F53" s="94"/>
      <c r="L53" s="94"/>
      <c r="M53" s="94"/>
      <c r="N53" s="94"/>
      <c r="O53" s="94"/>
      <c r="P53" s="94"/>
      <c r="Q53" s="94"/>
      <c r="R53" s="94"/>
    </row>
    <row r="54" spans="1:18" ht="15">
      <c r="A54" s="126" t="str">
        <f t="shared" si="18"/>
        <v>Miscellaneous expenses</v>
      </c>
      <c r="B54" s="127">
        <f t="shared" si="18"/>
        <v>10.88</v>
      </c>
      <c r="C54" s="120">
        <f t="shared" si="19"/>
        <v>0.47334380691660694</v>
      </c>
      <c r="D54" s="120">
        <f t="shared" si="20"/>
        <v>0.34160125588697016</v>
      </c>
      <c r="E54" s="120">
        <f t="shared" si="21"/>
        <v>0.16169483890903244</v>
      </c>
      <c r="F54" s="94"/>
      <c r="G54" s="94"/>
      <c r="H54" s="130"/>
      <c r="I54" s="120"/>
      <c r="J54" s="130"/>
      <c r="K54" s="130"/>
      <c r="L54" s="94"/>
      <c r="M54" s="94"/>
      <c r="N54" s="94"/>
      <c r="O54" s="94"/>
      <c r="P54" s="94"/>
      <c r="Q54" s="94"/>
      <c r="R54" s="94"/>
    </row>
    <row r="55" spans="1:18">
      <c r="A55" s="126" t="str">
        <f t="shared" si="18"/>
        <v>total</v>
      </c>
      <c r="B55" s="127">
        <f t="shared" si="18"/>
        <v>31.85</v>
      </c>
      <c r="C55" s="120">
        <f t="shared" si="19"/>
        <v>0.2262461977172352</v>
      </c>
      <c r="D55" s="94"/>
      <c r="E55" s="107" t="e">
        <f>SUM(E49:E54)</f>
        <v>#DIV/0!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</row>
    <row r="56" spans="1:18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</row>
    <row r="57" spans="1:18">
      <c r="L57" s="103"/>
      <c r="M57" s="94"/>
      <c r="N57" s="94"/>
      <c r="O57" s="94"/>
      <c r="P57" s="94"/>
      <c r="Q57" s="94"/>
      <c r="R57" s="94"/>
    </row>
    <row r="58" spans="1:18">
      <c r="L58" s="107"/>
      <c r="M58" s="94"/>
      <c r="N58" s="94"/>
      <c r="O58" s="94"/>
      <c r="P58" s="94"/>
      <c r="Q58" s="94"/>
      <c r="R58" s="94"/>
    </row>
    <row r="59" spans="1:18">
      <c r="L59" s="107"/>
      <c r="M59" s="94"/>
      <c r="N59" s="94"/>
      <c r="O59" s="94"/>
      <c r="P59" s="94"/>
      <c r="Q59" s="94"/>
      <c r="R59" s="94"/>
    </row>
    <row r="60" spans="1:18">
      <c r="L60" s="103"/>
      <c r="M60" s="94"/>
      <c r="N60" s="94"/>
      <c r="O60" s="94"/>
      <c r="P60" s="94"/>
      <c r="Q60" s="94"/>
      <c r="R60" s="94"/>
    </row>
    <row r="62" spans="1:18" ht="15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3"/>
    </row>
  </sheetData>
  <sheetProtection selectLockedCells="1" selectUnlockedCells="1"/>
  <mergeCells count="1">
    <mergeCell ref="A12:L1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I19" sqref="I19"/>
    </sheetView>
  </sheetViews>
  <sheetFormatPr defaultRowHeight="12.75"/>
  <cols>
    <col min="1" max="1" width="19.28515625" customWidth="1"/>
    <col min="2" max="2" width="12.7109375" customWidth="1"/>
    <col min="3" max="3" width="11.28515625" customWidth="1"/>
    <col min="4" max="4" width="12.7109375" customWidth="1"/>
    <col min="5" max="5" width="11.5703125" customWidth="1"/>
    <col min="6" max="6" width="11.140625" customWidth="1"/>
    <col min="9" max="9" width="25.140625" customWidth="1"/>
    <col min="10" max="10" width="12.85546875" customWidth="1"/>
    <col min="11" max="11" width="11.140625" customWidth="1"/>
    <col min="12" max="12" width="9.85546875" customWidth="1"/>
  </cols>
  <sheetData>
    <row r="1" spans="1:12">
      <c r="B1" s="167">
        <v>2010</v>
      </c>
      <c r="C1" s="167">
        <v>2011</v>
      </c>
      <c r="D1" s="167">
        <v>2012</v>
      </c>
      <c r="E1" s="167">
        <v>2013</v>
      </c>
      <c r="F1" s="167">
        <v>2014</v>
      </c>
      <c r="I1" s="165" t="s">
        <v>269</v>
      </c>
      <c r="J1" s="165">
        <v>2013</v>
      </c>
      <c r="K1" s="165">
        <v>2014</v>
      </c>
      <c r="L1" s="165">
        <v>2015</v>
      </c>
    </row>
    <row r="2" spans="1:12">
      <c r="A2" t="s">
        <v>244</v>
      </c>
      <c r="B2" s="158">
        <v>0.30199999999999999</v>
      </c>
      <c r="C2" s="158">
        <v>0.33500000000000002</v>
      </c>
      <c r="D2" s="158">
        <v>0.34499999999999997</v>
      </c>
      <c r="E2" s="158">
        <v>0.39900000000000002</v>
      </c>
      <c r="F2" s="158">
        <v>0.42299999999999999</v>
      </c>
      <c r="I2" t="s">
        <v>271</v>
      </c>
      <c r="J2" s="161">
        <v>637287961</v>
      </c>
      <c r="K2" s="161">
        <v>660873516</v>
      </c>
      <c r="L2">
        <f>21.94+19.9+20.5</f>
        <v>62.34</v>
      </c>
    </row>
    <row r="3" spans="1:12">
      <c r="A3" t="s">
        <v>246</v>
      </c>
      <c r="B3" s="158"/>
      <c r="C3" s="158"/>
      <c r="D3" s="158"/>
      <c r="E3" s="158"/>
      <c r="F3" s="158"/>
      <c r="I3" t="s">
        <v>272</v>
      </c>
      <c r="J3" s="161">
        <v>28569206</v>
      </c>
      <c r="K3" s="161">
        <v>45548178</v>
      </c>
      <c r="L3">
        <f>1.36+1.6+1.38</f>
        <v>4.34</v>
      </c>
    </row>
    <row r="4" spans="1:12" ht="15">
      <c r="A4" t="s">
        <v>245</v>
      </c>
      <c r="B4" s="159">
        <f>'Data Sheet'!G15</f>
        <v>6.03</v>
      </c>
      <c r="C4" s="159">
        <f>'Data Sheet'!H15</f>
        <v>7.6</v>
      </c>
      <c r="D4" s="159">
        <f>'Data Sheet'!I15</f>
        <v>7.79</v>
      </c>
      <c r="E4" s="159">
        <f>'Data Sheet'!J15</f>
        <v>9.69</v>
      </c>
      <c r="F4" s="159">
        <f>'Data Sheet'!K15</f>
        <v>10.09</v>
      </c>
      <c r="G4" s="9"/>
      <c r="J4" s="164">
        <f>J3/(J2+J3)</f>
        <v>4.290590747670063E-2</v>
      </c>
      <c r="K4" s="164">
        <f t="shared" ref="K4:L4" si="0">K3/(K2+K3)</f>
        <v>6.4477320539366112E-2</v>
      </c>
      <c r="L4" s="164">
        <f t="shared" si="0"/>
        <v>6.5086982603479296E-2</v>
      </c>
    </row>
    <row r="5" spans="1:12">
      <c r="B5" s="160">
        <f>(B2+B3)/B4</f>
        <v>5.0082918739635156E-2</v>
      </c>
      <c r="C5" s="160">
        <f t="shared" ref="C5:F5" si="1">(C2+C3)/C4</f>
        <v>4.4078947368421058E-2</v>
      </c>
      <c r="D5" s="160">
        <f t="shared" si="1"/>
        <v>4.4287548138639277E-2</v>
      </c>
      <c r="E5" s="160">
        <f t="shared" si="1"/>
        <v>4.11764705882353E-2</v>
      </c>
      <c r="F5" s="160">
        <f t="shared" si="1"/>
        <v>4.1922695738354804E-2</v>
      </c>
    </row>
    <row r="8" spans="1:12">
      <c r="A8" s="165" t="s">
        <v>270</v>
      </c>
      <c r="B8" s="167">
        <v>2010</v>
      </c>
      <c r="C8" s="167">
        <v>2011</v>
      </c>
      <c r="D8" s="167">
        <v>2012</v>
      </c>
      <c r="E8" s="167">
        <v>2013</v>
      </c>
      <c r="F8" s="167">
        <v>2014</v>
      </c>
    </row>
    <row r="9" spans="1:12">
      <c r="A9" t="s">
        <v>247</v>
      </c>
      <c r="B9" s="161">
        <v>367540344</v>
      </c>
      <c r="C9" s="161">
        <v>386736752</v>
      </c>
      <c r="D9" s="161">
        <v>455965722</v>
      </c>
      <c r="E9" s="161">
        <v>589083029</v>
      </c>
      <c r="F9" s="161">
        <v>621446473</v>
      </c>
    </row>
    <row r="10" spans="1:12">
      <c r="A10" t="s">
        <v>248</v>
      </c>
      <c r="B10" s="161">
        <v>7782394</v>
      </c>
      <c r="C10" s="161">
        <v>32977671</v>
      </c>
      <c r="D10" s="161">
        <v>29208328</v>
      </c>
      <c r="E10" s="161">
        <v>43815657</v>
      </c>
      <c r="F10" s="161">
        <v>32837840</v>
      </c>
    </row>
    <row r="11" spans="1:12">
      <c r="A11" t="s">
        <v>268</v>
      </c>
      <c r="B11" s="161"/>
      <c r="C11" s="161"/>
      <c r="D11" s="161">
        <v>3417180</v>
      </c>
      <c r="E11" s="161">
        <v>32958481</v>
      </c>
      <c r="F11" s="161">
        <v>52137381</v>
      </c>
    </row>
    <row r="12" spans="1:12">
      <c r="B12" s="161"/>
      <c r="C12" s="161"/>
      <c r="D12" s="161"/>
    </row>
    <row r="13" spans="1:12">
      <c r="A13" t="s">
        <v>276</v>
      </c>
      <c r="B13" s="168">
        <f>B9/(B11+B9+B10)</f>
        <v>0.9792647947697749</v>
      </c>
      <c r="C13" s="168">
        <f t="shared" ref="C13:F13" si="2">C9/(C11+C9+C10)</f>
        <v>0.92142831126868374</v>
      </c>
      <c r="D13" s="168">
        <f t="shared" si="2"/>
        <v>0.9332253507702134</v>
      </c>
      <c r="E13" s="168">
        <f t="shared" si="2"/>
        <v>0.88469878856166162</v>
      </c>
      <c r="F13" s="168">
        <f t="shared" si="2"/>
        <v>0.87971034621142308</v>
      </c>
    </row>
    <row r="14" spans="1:12">
      <c r="A14" t="s">
        <v>277</v>
      </c>
      <c r="B14" s="168">
        <f>B10/(B11+B9+B10)</f>
        <v>2.0735205230225089E-2</v>
      </c>
      <c r="C14" s="168">
        <f t="shared" ref="C14:F14" si="3">C10/(C11+C9+C10)</f>
        <v>7.8571688731316244E-2</v>
      </c>
      <c r="D14" s="168">
        <f t="shared" si="3"/>
        <v>5.9780704618869231E-2</v>
      </c>
      <c r="E14" s="168">
        <f t="shared" si="3"/>
        <v>6.5803387230042379E-2</v>
      </c>
      <c r="F14" s="168">
        <f t="shared" si="3"/>
        <v>4.6484755888598177E-2</v>
      </c>
    </row>
    <row r="15" spans="1:12">
      <c r="A15" t="s">
        <v>278</v>
      </c>
      <c r="B15" s="168">
        <f>B11/(B11+B9+B10)</f>
        <v>0</v>
      </c>
      <c r="C15" s="168">
        <f t="shared" ref="C15:F15" si="4">C11/(C11+C9+C10)</f>
        <v>0</v>
      </c>
      <c r="D15" s="168">
        <f t="shared" si="4"/>
        <v>6.9939446109173924E-3</v>
      </c>
      <c r="E15" s="168">
        <f t="shared" si="4"/>
        <v>4.9497824208296008E-2</v>
      </c>
      <c r="F15" s="168">
        <f t="shared" si="4"/>
        <v>7.3804897899978711E-2</v>
      </c>
    </row>
    <row r="16" spans="1:12">
      <c r="B16" s="168"/>
      <c r="C16" s="168"/>
      <c r="D16" s="168"/>
      <c r="E16" s="168"/>
      <c r="F16" s="168"/>
    </row>
    <row r="17" spans="1:6">
      <c r="B17" t="s">
        <v>251</v>
      </c>
    </row>
    <row r="18" spans="1:6">
      <c r="A18" t="s">
        <v>249</v>
      </c>
      <c r="B18" s="161">
        <v>4800</v>
      </c>
      <c r="C18">
        <v>4800</v>
      </c>
    </row>
    <row r="19" spans="1:6">
      <c r="A19" t="s">
        <v>250</v>
      </c>
      <c r="B19" s="162">
        <v>2494.9899999999998</v>
      </c>
      <c r="C19">
        <v>2763.25</v>
      </c>
      <c r="D19" t="s">
        <v>267</v>
      </c>
    </row>
    <row r="20" spans="1:6">
      <c r="A20" s="165" t="s">
        <v>257</v>
      </c>
    </row>
    <row r="21" spans="1:6">
      <c r="A21" t="s">
        <v>258</v>
      </c>
      <c r="B21">
        <v>210649468</v>
      </c>
      <c r="C21">
        <v>256560711</v>
      </c>
      <c r="D21" s="161">
        <v>303820052</v>
      </c>
      <c r="E21" t="s">
        <v>267</v>
      </c>
      <c r="F21" t="s">
        <v>267</v>
      </c>
    </row>
    <row r="22" spans="1:6">
      <c r="A22" t="s">
        <v>252</v>
      </c>
      <c r="B22">
        <v>1185988</v>
      </c>
      <c r="C22">
        <v>1112398</v>
      </c>
      <c r="D22" s="161">
        <v>1534293</v>
      </c>
      <c r="E22" t="s">
        <v>267</v>
      </c>
      <c r="F22" t="s">
        <v>267</v>
      </c>
    </row>
    <row r="23" spans="1:6">
      <c r="A23" s="169" t="s">
        <v>260</v>
      </c>
      <c r="B23" s="163">
        <f>B21/B22</f>
        <v>177.61517654478797</v>
      </c>
      <c r="C23" s="163">
        <f>C21/C22</f>
        <v>230.63751552951371</v>
      </c>
      <c r="D23" s="163">
        <f>D21/D22</f>
        <v>198.01957774688407</v>
      </c>
      <c r="E23" t="s">
        <v>267</v>
      </c>
      <c r="F23" t="s">
        <v>267</v>
      </c>
    </row>
    <row r="24" spans="1:6">
      <c r="B24" s="163"/>
      <c r="C24" s="164">
        <f>(C23-B23)/B23</f>
        <v>0.29852369609505447</v>
      </c>
      <c r="D24" s="164">
        <f>(D23-C23)/C23</f>
        <v>-0.14142511771228156</v>
      </c>
      <c r="E24" t="s">
        <v>267</v>
      </c>
      <c r="F24" t="s">
        <v>267</v>
      </c>
    </row>
    <row r="25" spans="1:6">
      <c r="B25" s="163"/>
      <c r="C25" s="164"/>
      <c r="E25" t="s">
        <v>267</v>
      </c>
      <c r="F25" t="s">
        <v>267</v>
      </c>
    </row>
    <row r="26" spans="1:6">
      <c r="A26" t="s">
        <v>259</v>
      </c>
      <c r="B26">
        <v>157145075</v>
      </c>
      <c r="C26">
        <v>160167822</v>
      </c>
      <c r="D26" s="161">
        <v>175324707</v>
      </c>
      <c r="E26" t="s">
        <v>267</v>
      </c>
      <c r="F26" t="s">
        <v>267</v>
      </c>
    </row>
    <row r="27" spans="1:6">
      <c r="A27" t="s">
        <v>253</v>
      </c>
      <c r="B27">
        <v>187104</v>
      </c>
      <c r="C27">
        <v>150263</v>
      </c>
      <c r="D27" s="161">
        <v>182538</v>
      </c>
      <c r="E27" t="s">
        <v>267</v>
      </c>
      <c r="F27" t="s">
        <v>267</v>
      </c>
    </row>
    <row r="28" spans="1:6">
      <c r="A28" s="169" t="s">
        <v>260</v>
      </c>
      <c r="B28" s="163">
        <f>B26/B27</f>
        <v>839.88089511715407</v>
      </c>
      <c r="C28" s="163">
        <f>C26/C27</f>
        <v>1065.9165729421081</v>
      </c>
      <c r="D28" s="163">
        <f>D26/D27</f>
        <v>960.48333497682677</v>
      </c>
      <c r="E28" t="s">
        <v>267</v>
      </c>
      <c r="F28" t="s">
        <v>267</v>
      </c>
    </row>
    <row r="29" spans="1:6">
      <c r="B29" s="163"/>
      <c r="C29" s="164">
        <f>(C28-B28)/B28</f>
        <v>0.26912825275472496</v>
      </c>
      <c r="D29" s="164">
        <f>(D28-C28)/C28</f>
        <v>-9.8913217639789552E-2</v>
      </c>
      <c r="E29" t="s">
        <v>267</v>
      </c>
      <c r="F29" t="s">
        <v>267</v>
      </c>
    </row>
    <row r="30" spans="1:6">
      <c r="A30" t="s">
        <v>261</v>
      </c>
      <c r="B30" s="163">
        <v>34185</v>
      </c>
      <c r="C30" s="163"/>
      <c r="E30" t="s">
        <v>267</v>
      </c>
      <c r="F30" t="s">
        <v>267</v>
      </c>
    </row>
    <row r="31" spans="1:6">
      <c r="A31" t="s">
        <v>266</v>
      </c>
      <c r="B31" s="163"/>
      <c r="C31" s="163"/>
      <c r="D31">
        <v>72222</v>
      </c>
      <c r="E31" t="s">
        <v>267</v>
      </c>
      <c r="F31" t="s">
        <v>267</v>
      </c>
    </row>
    <row r="32" spans="1:6">
      <c r="B32" s="163"/>
      <c r="C32" s="163"/>
      <c r="E32" t="s">
        <v>267</v>
      </c>
      <c r="F32" t="s">
        <v>267</v>
      </c>
    </row>
    <row r="33" spans="1:6">
      <c r="A33" s="165" t="s">
        <v>262</v>
      </c>
      <c r="B33" s="163"/>
      <c r="C33" s="163"/>
      <c r="E33" t="s">
        <v>267</v>
      </c>
      <c r="F33" t="s">
        <v>267</v>
      </c>
    </row>
    <row r="34" spans="1:6">
      <c r="A34" t="s">
        <v>254</v>
      </c>
      <c r="B34">
        <v>194</v>
      </c>
      <c r="C34">
        <v>105</v>
      </c>
      <c r="D34">
        <v>128</v>
      </c>
      <c r="E34" t="s">
        <v>267</v>
      </c>
      <c r="F34" t="s">
        <v>267</v>
      </c>
    </row>
    <row r="35" spans="1:6">
      <c r="B35" s="161">
        <v>5972004</v>
      </c>
      <c r="C35" s="161">
        <v>2942890</v>
      </c>
      <c r="D35">
        <v>3417110</v>
      </c>
      <c r="E35" t="s">
        <v>267</v>
      </c>
      <c r="F35" t="s">
        <v>267</v>
      </c>
    </row>
    <row r="36" spans="1:6">
      <c r="A36" t="s">
        <v>255</v>
      </c>
      <c r="B36">
        <v>9</v>
      </c>
      <c r="E36" t="s">
        <v>267</v>
      </c>
      <c r="F36" t="s">
        <v>267</v>
      </c>
    </row>
    <row r="37" spans="1:6">
      <c r="A37" t="s">
        <v>256</v>
      </c>
      <c r="B37">
        <v>8400</v>
      </c>
      <c r="E37" t="s">
        <v>267</v>
      </c>
      <c r="F37" t="s">
        <v>267</v>
      </c>
    </row>
    <row r="38" spans="1:6">
      <c r="A38" t="s">
        <v>263</v>
      </c>
      <c r="C38">
        <v>29900</v>
      </c>
      <c r="E38" t="s">
        <v>267</v>
      </c>
      <c r="F38" t="s">
        <v>267</v>
      </c>
    </row>
    <row r="39" spans="1:6">
      <c r="A39" t="s">
        <v>264</v>
      </c>
      <c r="C39">
        <v>100</v>
      </c>
      <c r="E39" t="s">
        <v>267</v>
      </c>
      <c r="F39" t="s">
        <v>267</v>
      </c>
    </row>
    <row r="40" spans="1:6">
      <c r="A40" t="s">
        <v>265</v>
      </c>
      <c r="C40">
        <v>110</v>
      </c>
      <c r="E40" t="s">
        <v>267</v>
      </c>
      <c r="F40" t="s">
        <v>267</v>
      </c>
    </row>
    <row r="42" spans="1:6">
      <c r="A42" s="166" t="s">
        <v>273</v>
      </c>
    </row>
    <row r="44" spans="1:6">
      <c r="B44" t="s">
        <v>274</v>
      </c>
      <c r="C44" s="161">
        <v>6932300</v>
      </c>
      <c r="D44" s="161">
        <v>11291874</v>
      </c>
      <c r="E44" s="161">
        <v>5948614</v>
      </c>
      <c r="F44" s="161">
        <v>12825005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Profit &amp; Loss</vt:lpstr>
      <vt:lpstr>Quarters</vt:lpstr>
      <vt:lpstr>Balance Sheet</vt:lpstr>
      <vt:lpstr>Cash Flow</vt:lpstr>
      <vt:lpstr>Customization</vt:lpstr>
      <vt:lpstr>Other Input Data</vt:lpstr>
      <vt:lpstr>Data Sheet</vt:lpstr>
      <vt:lpstr>Cost Analysis</vt:lpstr>
      <vt:lpstr>My Checks</vt:lpstr>
      <vt:lpstr>BS</vt:lpstr>
      <vt:lpstr>PL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</cp:lastModifiedBy>
  <dcterms:created xsi:type="dcterms:W3CDTF">2013-02-24T16:00:09Z</dcterms:created>
  <dcterms:modified xsi:type="dcterms:W3CDTF">2015-05-06T19:20:09Z</dcterms:modified>
</cp:coreProperties>
</file>